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updateLinks="always" defaultThemeVersion="166925"/>
  <mc:AlternateContent xmlns:mc="http://schemas.openxmlformats.org/markup-compatibility/2006">
    <mc:Choice Requires="x15">
      <x15ac:absPath xmlns:x15ac="http://schemas.microsoft.com/office/spreadsheetml/2010/11/ac" url="https://nixalsl-my.sharepoint.com/personal/alberto_carmona_nixal_es/Documents/Nixal (1)/"/>
    </mc:Choice>
  </mc:AlternateContent>
  <xr:revisionPtr revIDLastSave="16851" documentId="8_{C69FD0CA-EDF1-451A-98F0-AEE975372391}" xr6:coauthVersionLast="47" xr6:coauthVersionMax="47" xr10:uidLastSave="{57CA22E3-D8C1-478F-9F0B-B25F44B5A13A}"/>
  <bookViews>
    <workbookView xWindow="0" yWindow="0" windowWidth="10200" windowHeight="10920" firstSheet="10" activeTab="11" xr2:uid="{00000000-000D-0000-FFFF-FFFF00000000}"/>
  </bookViews>
  <sheets>
    <sheet name="P&amp;L" sheetId="1" r:id="rId1"/>
    <sheet name="Tesoreria" sheetId="3" r:id="rId2"/>
    <sheet name="Resumen cierre" sheetId="5" r:id="rId3"/>
    <sheet name="Clientes" sheetId="4" r:id="rId4"/>
    <sheet name="Consolidado" sheetId="12" r:id="rId5"/>
    <sheet name="NC-Ingresos" sheetId="7" r:id="rId6"/>
    <sheet name="NC-Gastos" sheetId="8" r:id="rId7"/>
    <sheet name="Trade-Ingresos" sheetId="14" r:id="rId8"/>
    <sheet name="Trade-Gastos" sheetId="15" r:id="rId9"/>
    <sheet name="Act.Ganadera" sheetId="9" r:id="rId10"/>
    <sheet name="Inversiones" sheetId="10" r:id="rId11"/>
    <sheet name="Financiación" sheetId="11" r:id="rId12"/>
  </sheets>
  <externalReferences>
    <externalReference r:id="rId13"/>
    <externalReference r:id="rId14"/>
    <externalReference r:id="rId15"/>
    <externalReference r:id="rId16"/>
    <externalReference r:id="rId17"/>
    <externalReference r:id="rId18"/>
    <externalReference r:id="rId19"/>
    <externalReference r:id="rId20"/>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P9" i="9" l="1"/>
  <c r="DH23" i="8"/>
  <c r="DH27" i="8"/>
  <c r="AK58" i="12"/>
  <c r="DK9" i="7" l="1"/>
  <c r="DH7" i="8"/>
  <c r="P10" i="4"/>
  <c r="P6" i="4"/>
  <c r="P7" i="4"/>
  <c r="P8" i="4" s="1"/>
  <c r="P9" i="4" s="1"/>
  <c r="P5" i="4"/>
  <c r="P3" i="4"/>
  <c r="P4" i="4"/>
  <c r="O10" i="4"/>
  <c r="O6" i="4"/>
  <c r="O7" i="4" s="1"/>
  <c r="O8" i="4" s="1"/>
  <c r="O9" i="4" s="1"/>
  <c r="O5" i="4"/>
  <c r="O4" i="4"/>
  <c r="DI8" i="7"/>
  <c r="DJ21" i="7"/>
  <c r="AP14" i="12"/>
  <c r="DH28" i="8"/>
  <c r="DI33" i="8" l="1"/>
  <c r="DH19" i="8"/>
  <c r="DG16" i="11"/>
  <c r="DH78" i="15"/>
  <c r="DH25" i="14"/>
  <c r="DG27" i="8"/>
  <c r="DG16" i="8"/>
  <c r="DG33" i="8"/>
  <c r="DG8" i="8"/>
  <c r="DG34" i="8"/>
  <c r="DG42" i="8"/>
  <c r="DG9" i="8"/>
  <c r="DH10" i="11"/>
  <c r="DH7" i="11"/>
  <c r="DG78" i="15"/>
  <c r="DH17" i="11"/>
  <c r="AJ58" i="12"/>
  <c r="DG48" i="7"/>
  <c r="AK49" i="12" l="1"/>
  <c r="DH26" i="8"/>
  <c r="AL57" i="12"/>
  <c r="AK57" i="12"/>
  <c r="AK46" i="12"/>
  <c r="DI6" i="10"/>
  <c r="DH6" i="10"/>
  <c r="DH21" i="8"/>
  <c r="DG23" i="8"/>
  <c r="DI9" i="10" l="1"/>
  <c r="DH9" i="10"/>
  <c r="DH23" i="14"/>
  <c r="DH69" i="15"/>
  <c r="DL78" i="15" l="1"/>
  <c r="DI49" i="7" l="1"/>
  <c r="DH24" i="7"/>
  <c r="DH20" i="7"/>
  <c r="DK83" i="7" l="1"/>
  <c r="DK84" i="7"/>
  <c r="DK85" i="7"/>
  <c r="DK86" i="7"/>
  <c r="DH48" i="7"/>
  <c r="DG9" i="7"/>
  <c r="DJ7" i="8" l="1"/>
  <c r="DH6" i="8"/>
  <c r="DH54" i="7"/>
  <c r="DF9" i="8"/>
  <c r="DG51" i="9"/>
  <c r="DK41" i="8"/>
  <c r="DK43" i="8"/>
  <c r="AJ46" i="12" l="1"/>
  <c r="DF27" i="8"/>
  <c r="DF31" i="7"/>
  <c r="DF52" i="7"/>
  <c r="DF55" i="7"/>
  <c r="DF23" i="11" l="1"/>
  <c r="DF15" i="8"/>
  <c r="AJ49" i="12"/>
  <c r="DF33" i="8"/>
  <c r="DX50" i="8"/>
  <c r="DX51" i="8"/>
  <c r="DK47" i="8"/>
  <c r="DK48" i="8"/>
  <c r="DK50" i="8"/>
  <c r="DK52" i="8"/>
  <c r="CX50" i="8"/>
  <c r="DF34" i="8"/>
  <c r="DF49" i="8"/>
  <c r="DF42" i="8"/>
  <c r="DF19" i="11"/>
  <c r="DF51" i="8"/>
  <c r="DF78" i="15"/>
  <c r="DG25" i="14"/>
  <c r="DI17" i="10"/>
  <c r="DG6" i="10"/>
  <c r="DG17" i="10" l="1"/>
  <c r="DF14" i="8"/>
  <c r="DF13" i="8"/>
  <c r="DF8" i="8" l="1"/>
  <c r="DF26" i="11"/>
  <c r="DF16" i="11" l="1"/>
  <c r="DX60" i="7"/>
  <c r="DK60" i="7"/>
  <c r="CX34" i="11"/>
  <c r="CX33" i="11"/>
  <c r="CX32" i="11"/>
  <c r="DK34" i="11"/>
  <c r="DK33" i="11"/>
  <c r="DK32" i="11"/>
  <c r="DX34" i="11"/>
  <c r="DX33" i="11"/>
  <c r="DX32" i="11"/>
  <c r="EK34" i="11"/>
  <c r="EK33" i="11"/>
  <c r="EK32" i="11"/>
  <c r="EK31" i="11"/>
  <c r="DX31" i="11"/>
  <c r="DK31" i="11"/>
  <c r="CX31" i="11"/>
  <c r="EK30" i="11"/>
  <c r="DX30" i="11"/>
  <c r="DK30" i="11"/>
  <c r="CX30" i="11"/>
  <c r="EK29" i="11"/>
  <c r="DX29" i="11"/>
  <c r="DK29" i="11"/>
  <c r="CX29" i="11"/>
  <c r="DX26" i="11"/>
  <c r="DX25" i="11"/>
  <c r="DM25" i="10"/>
  <c r="CK5" i="11"/>
  <c r="BC27" i="12"/>
  <c r="BC30" i="12" s="1"/>
  <c r="BC23" i="12"/>
  <c r="BC22" i="12"/>
  <c r="BC26" i="12" s="1"/>
  <c r="BC20" i="12"/>
  <c r="BC17" i="12"/>
  <c r="BC16" i="12"/>
  <c r="BC11" i="12"/>
  <c r="BC10" i="12"/>
  <c r="BC5" i="12"/>
  <c r="BC4" i="12"/>
  <c r="BC8" i="12" s="1"/>
  <c r="DK6" i="11"/>
  <c r="DK8" i="11"/>
  <c r="DK9" i="11"/>
  <c r="DK11" i="11"/>
  <c r="DK13" i="11"/>
  <c r="DK14" i="11"/>
  <c r="DK15" i="11"/>
  <c r="DK17" i="11"/>
  <c r="DK20" i="11"/>
  <c r="DK21" i="11"/>
  <c r="DK27" i="11"/>
  <c r="DK28" i="11"/>
  <c r="DK35" i="11"/>
  <c r="DK5" i="11"/>
  <c r="CY54" i="9"/>
  <c r="CK54" i="9"/>
  <c r="DM12" i="11"/>
  <c r="DJ12" i="11"/>
  <c r="DK12" i="11" s="1"/>
  <c r="DX11" i="10"/>
  <c r="DW11" i="10"/>
  <c r="DV11" i="10"/>
  <c r="DU11" i="10"/>
  <c r="DT11" i="10"/>
  <c r="DS11" i="10"/>
  <c r="DR11" i="10"/>
  <c r="DQ11" i="10"/>
  <c r="DP11" i="10"/>
  <c r="DO11" i="10"/>
  <c r="DN11" i="10"/>
  <c r="DM11" i="10"/>
  <c r="CZ11" i="10"/>
  <c r="DB11" i="10"/>
  <c r="DE11" i="10"/>
  <c r="DG11" i="10"/>
  <c r="DH11" i="10"/>
  <c r="DI11" i="10"/>
  <c r="DJ11" i="10"/>
  <c r="DK11" i="10"/>
  <c r="DJ26" i="10"/>
  <c r="DX26" i="10"/>
  <c r="DW26" i="10"/>
  <c r="DV26" i="10"/>
  <c r="DU26" i="10"/>
  <c r="DT26" i="10"/>
  <c r="DS26" i="10"/>
  <c r="DR26" i="10"/>
  <c r="DQ26" i="10"/>
  <c r="DP26" i="10"/>
  <c r="DO26" i="10"/>
  <c r="DN26" i="10"/>
  <c r="DM26" i="10"/>
  <c r="DY25" i="10"/>
  <c r="DY24" i="10"/>
  <c r="DY23" i="10"/>
  <c r="DY22" i="10"/>
  <c r="DY21" i="10"/>
  <c r="DY20" i="10"/>
  <c r="DY19" i="10"/>
  <c r="DY18" i="10"/>
  <c r="DY17" i="10"/>
  <c r="DY16" i="10"/>
  <c r="DY15" i="10"/>
  <c r="DY10" i="10"/>
  <c r="DY9" i="10"/>
  <c r="DY8" i="10"/>
  <c r="DY7" i="10"/>
  <c r="DY6" i="10"/>
  <c r="DY26" i="10" l="1"/>
  <c r="DY27" i="10" s="1"/>
  <c r="BC14" i="12"/>
  <c r="BC32" i="12"/>
  <c r="BC33" i="12" s="1"/>
  <c r="DY11" i="10"/>
  <c r="DY12" i="10" s="1"/>
  <c r="C58" i="4" l="1"/>
  <c r="C36" i="4"/>
  <c r="C57" i="4"/>
  <c r="G56" i="4"/>
  <c r="DE9" i="8"/>
  <c r="DE7" i="8"/>
  <c r="DE27" i="8" l="1"/>
  <c r="DF9" i="10" l="1"/>
  <c r="DE18" i="8"/>
  <c r="DF40" i="9"/>
  <c r="DF25" i="14"/>
  <c r="DX42" i="8" l="1"/>
  <c r="DX43" i="8"/>
  <c r="DX44" i="8"/>
  <c r="DX45" i="8"/>
  <c r="DX46" i="8"/>
  <c r="DX47" i="8"/>
  <c r="DX48" i="8"/>
  <c r="DX49" i="8"/>
  <c r="DX30" i="8"/>
  <c r="DX31" i="8"/>
  <c r="DX32" i="8"/>
  <c r="DX34" i="8"/>
  <c r="DX35" i="8"/>
  <c r="DX36" i="8"/>
  <c r="DX37" i="8"/>
  <c r="DX38" i="8"/>
  <c r="DX39" i="8"/>
  <c r="DX40" i="8"/>
  <c r="DX41" i="8"/>
  <c r="DF19" i="8" l="1"/>
  <c r="DE16" i="11" l="1"/>
  <c r="DE10" i="11"/>
  <c r="DE34" i="8"/>
  <c r="DE42" i="8"/>
  <c r="DE33" i="8"/>
  <c r="DE78" i="15"/>
  <c r="DE21" i="8"/>
  <c r="DE48" i="7"/>
  <c r="DE37" i="7"/>
  <c r="DE59" i="7"/>
  <c r="DK59" i="7" s="1"/>
  <c r="DE25" i="11" l="1"/>
  <c r="AI46" i="12"/>
  <c r="AI58" i="12"/>
  <c r="AI49" i="12" l="1"/>
  <c r="AI47" i="12"/>
  <c r="EK17" i="11"/>
  <c r="DX17" i="11"/>
  <c r="DX18" i="11"/>
  <c r="DE15" i="8"/>
  <c r="DE16" i="8" l="1"/>
  <c r="DO25" i="8" l="1"/>
  <c r="DM25" i="8"/>
  <c r="DF25" i="8"/>
  <c r="DF4" i="8" s="1"/>
  <c r="DE8" i="8"/>
  <c r="DT50" i="7"/>
  <c r="DH50" i="7"/>
  <c r="C37" i="4"/>
  <c r="DF6" i="10"/>
  <c r="DF11" i="10" s="1"/>
  <c r="DH18" i="11" l="1"/>
  <c r="DG18" i="11"/>
  <c r="DF18" i="11"/>
  <c r="DK18" i="11" l="1"/>
  <c r="DE25" i="8"/>
  <c r="C47" i="4" l="1"/>
  <c r="G4" i="4"/>
  <c r="DE10" i="7" l="1"/>
  <c r="DF21" i="10"/>
  <c r="DF26" i="10" s="1"/>
  <c r="DF38" i="9" l="1"/>
  <c r="DL38" i="9"/>
  <c r="DH51" i="7"/>
  <c r="DY25" i="9"/>
  <c r="DY24" i="9"/>
  <c r="DY16" i="9"/>
  <c r="DY17" i="9"/>
  <c r="DY18" i="9"/>
  <c r="DY19" i="9"/>
  <c r="DY20" i="9"/>
  <c r="DY21" i="9"/>
  <c r="DY22" i="9"/>
  <c r="DY23" i="9"/>
  <c r="DY15" i="9"/>
  <c r="DY14" i="9"/>
  <c r="DL24" i="9"/>
  <c r="DL16" i="9"/>
  <c r="DL17" i="9"/>
  <c r="DL18" i="9"/>
  <c r="DL19" i="9"/>
  <c r="DL20" i="9"/>
  <c r="DL21" i="9"/>
  <c r="DL22" i="9"/>
  <c r="DL23" i="9"/>
  <c r="DL15" i="9"/>
  <c r="DL14" i="9"/>
  <c r="CY52" i="9"/>
  <c r="CY51" i="9"/>
  <c r="CY25" i="9"/>
  <c r="CY24" i="9"/>
  <c r="CY23" i="9"/>
  <c r="CY16" i="9"/>
  <c r="CY17" i="9"/>
  <c r="CY18" i="9"/>
  <c r="CY19" i="9"/>
  <c r="CY20" i="9"/>
  <c r="CY21" i="9"/>
  <c r="CY22" i="9"/>
  <c r="CY15" i="9"/>
  <c r="CY14" i="9"/>
  <c r="CY7" i="9"/>
  <c r="CK7" i="9"/>
  <c r="CY11" i="9"/>
  <c r="BY51" i="9"/>
  <c r="DL49" i="9"/>
  <c r="DL48" i="9"/>
  <c r="DL47" i="9"/>
  <c r="DL37" i="9"/>
  <c r="DL32" i="9"/>
  <c r="DL30" i="9"/>
  <c r="DL25" i="9" l="1"/>
  <c r="CY8" i="9"/>
  <c r="CY50" i="9"/>
  <c r="CY40" i="9"/>
  <c r="CY39" i="9"/>
  <c r="CY38" i="9"/>
  <c r="CY37" i="9"/>
  <c r="CY35" i="9"/>
  <c r="CY34" i="9"/>
  <c r="CY33" i="9"/>
  <c r="CY32" i="9"/>
  <c r="CY30" i="9"/>
  <c r="DL16" i="10"/>
  <c r="DL15" i="10"/>
  <c r="DN8" i="9"/>
  <c r="DJ37" i="8" l="1"/>
  <c r="DD37" i="8"/>
  <c r="DE23" i="8" l="1"/>
  <c r="DE25" i="14" l="1"/>
  <c r="DD27" i="8" l="1"/>
  <c r="DD54" i="8"/>
  <c r="DD42" i="8"/>
  <c r="AH49" i="12"/>
  <c r="DD16" i="11"/>
  <c r="DD33" i="8" l="1"/>
  <c r="DE7" i="11" l="1"/>
  <c r="DD7" i="11"/>
  <c r="AH46" i="12"/>
  <c r="AH47" i="12"/>
  <c r="DD34" i="8" l="1"/>
  <c r="DD16" i="8"/>
  <c r="CX45" i="8"/>
  <c r="DD48" i="7"/>
  <c r="DD78" i="15" l="1"/>
  <c r="DD15" i="8"/>
  <c r="DX19" i="11" l="1"/>
  <c r="DX20" i="11"/>
  <c r="DX21" i="11"/>
  <c r="DX22" i="11"/>
  <c r="DE17" i="10" l="1"/>
  <c r="C53" i="4" l="1"/>
  <c r="DL21" i="10" l="1"/>
  <c r="DD25" i="11" l="1"/>
  <c r="CX40" i="8"/>
  <c r="CX41" i="8"/>
  <c r="CX42" i="8"/>
  <c r="DC9" i="8" l="1"/>
  <c r="CX21" i="11"/>
  <c r="CK21" i="11"/>
  <c r="DC23" i="11"/>
  <c r="DC54" i="8" l="1"/>
  <c r="AG49" i="12"/>
  <c r="DC42" i="8"/>
  <c r="DK42" i="8" s="1"/>
  <c r="DX72" i="15" l="1"/>
  <c r="DX73" i="15"/>
  <c r="DX74" i="15"/>
  <c r="DX75" i="15"/>
  <c r="DX76" i="15"/>
  <c r="DX77" i="15"/>
  <c r="DX70" i="15"/>
  <c r="DP78" i="15"/>
  <c r="DD51" i="8"/>
  <c r="DC27" i="8"/>
  <c r="DC34" i="8"/>
  <c r="DD33" i="9"/>
  <c r="DC8" i="8"/>
  <c r="DC49" i="8"/>
  <c r="DI26" i="8"/>
  <c r="DD18" i="8"/>
  <c r="DC33" i="8"/>
  <c r="DB33" i="8"/>
  <c r="DD25" i="14"/>
  <c r="DP25" i="14"/>
  <c r="DC19" i="11"/>
  <c r="DD38" i="9"/>
  <c r="DI32" i="9"/>
  <c r="DH70" i="15"/>
  <c r="DC70" i="15"/>
  <c r="DC20" i="8"/>
  <c r="DD40" i="9" l="1"/>
  <c r="DC16" i="11"/>
  <c r="AG46" i="12"/>
  <c r="AG59" i="12" s="1"/>
  <c r="DD23" i="8"/>
  <c r="DC25" i="11"/>
  <c r="DC26" i="11" l="1"/>
  <c r="DE48" i="9" l="1"/>
  <c r="DC6" i="8" l="1"/>
  <c r="DC15" i="8" l="1"/>
  <c r="DD6" i="10"/>
  <c r="DD11" i="10" s="1"/>
  <c r="EK35" i="11" l="1"/>
  <c r="EK28" i="11"/>
  <c r="EK27" i="11"/>
  <c r="EK26" i="11"/>
  <c r="EK25" i="11"/>
  <c r="EK23" i="11"/>
  <c r="EK22" i="11"/>
  <c r="EK20" i="11"/>
  <c r="EK19" i="11"/>
  <c r="EK18" i="11"/>
  <c r="EK16" i="11"/>
  <c r="EK15" i="11"/>
  <c r="EK13" i="11"/>
  <c r="EK12" i="11"/>
  <c r="EK11" i="11"/>
  <c r="EK10" i="11"/>
  <c r="EK9" i="11"/>
  <c r="EK8" i="11"/>
  <c r="EK7" i="11"/>
  <c r="EK6" i="11"/>
  <c r="EK5" i="11"/>
  <c r="EC14" i="11"/>
  <c r="EK14" i="11" s="1"/>
  <c r="EJ4" i="11"/>
  <c r="EI4" i="11"/>
  <c r="EH4" i="11"/>
  <c r="EG4" i="11"/>
  <c r="EF4" i="11"/>
  <c r="EE4" i="11"/>
  <c r="ED4" i="11"/>
  <c r="EC4" i="11"/>
  <c r="EB4" i="11"/>
  <c r="EA4" i="11"/>
  <c r="DZ4" i="11"/>
  <c r="DY4" i="11"/>
  <c r="DP14" i="11"/>
  <c r="DB9" i="8"/>
  <c r="DB54" i="8"/>
  <c r="DB8" i="8"/>
  <c r="DB27" i="8"/>
  <c r="EK4" i="11" l="1"/>
  <c r="EK36" i="11" s="1"/>
  <c r="DB16" i="11"/>
  <c r="DB34" i="8"/>
  <c r="DP48" i="7"/>
  <c r="DO48" i="7"/>
  <c r="DN48" i="7"/>
  <c r="DM48" i="7"/>
  <c r="DL48" i="7"/>
  <c r="DJ48" i="7"/>
  <c r="DI48" i="7"/>
  <c r="DB46" i="7" l="1"/>
  <c r="DB51" i="8" l="1"/>
  <c r="AF46" i="12"/>
  <c r="AF49" i="12"/>
  <c r="C45" i="4" l="1"/>
  <c r="DK70" i="15" l="1"/>
  <c r="DC40" i="9"/>
  <c r="DB23" i="8" l="1"/>
  <c r="DC34" i="9" l="1"/>
  <c r="G21" i="4" l="1"/>
  <c r="DB15" i="8" l="1"/>
  <c r="DC6" i="10" l="1"/>
  <c r="DC11" i="10" s="1"/>
  <c r="DZ31" i="7" l="1"/>
  <c r="DM31" i="7"/>
  <c r="DH56" i="7"/>
  <c r="G24" i="4" l="1"/>
  <c r="G13" i="4"/>
  <c r="DA27" i="8" l="1"/>
  <c r="DA54" i="8"/>
  <c r="DA33" i="8"/>
  <c r="DB16" i="8"/>
  <c r="DB10" i="11"/>
  <c r="DB7" i="11"/>
  <c r="DJ48" i="9"/>
  <c r="AE46" i="12" l="1"/>
  <c r="AE49" i="12"/>
  <c r="DA16" i="11"/>
  <c r="DC71" i="15" l="1"/>
  <c r="DC77" i="15"/>
  <c r="DK77" i="15" s="1"/>
  <c r="DC76" i="15"/>
  <c r="DK76" i="15" s="1"/>
  <c r="DC75" i="15"/>
  <c r="DK75" i="15" s="1"/>
  <c r="DG74" i="15"/>
  <c r="DK74" i="15" s="1"/>
  <c r="DG73" i="15"/>
  <c r="DK73" i="15" s="1"/>
  <c r="DC72" i="15"/>
  <c r="DK72" i="15" s="1"/>
  <c r="DA26" i="11"/>
  <c r="DK26" i="11" s="1"/>
  <c r="DB24" i="14"/>
  <c r="DB38" i="9"/>
  <c r="DM32" i="9"/>
  <c r="DA26" i="8"/>
  <c r="DM78" i="15" l="1"/>
  <c r="DN78" i="15"/>
  <c r="DO78" i="15"/>
  <c r="DI78" i="15"/>
  <c r="DJ78" i="15"/>
  <c r="DM25" i="14"/>
  <c r="DN25" i="14"/>
  <c r="DO25" i="14"/>
  <c r="DL25" i="14"/>
  <c r="DI25" i="14"/>
  <c r="DJ25" i="14"/>
  <c r="DK78" i="15" l="1"/>
  <c r="DA34" i="8"/>
  <c r="DB39" i="9"/>
  <c r="DA15" i="8" l="1"/>
  <c r="DL39" i="9"/>
  <c r="CZ54" i="8" l="1"/>
  <c r="CZ49" i="8"/>
  <c r="DK49" i="8" s="1"/>
  <c r="CZ16" i="8"/>
  <c r="CZ16" i="11"/>
  <c r="DK45" i="8" l="1"/>
  <c r="CZ27" i="8"/>
  <c r="CY27" i="8"/>
  <c r="CZ19" i="11" l="1"/>
  <c r="DK19" i="11" s="1"/>
  <c r="CZ34" i="8"/>
  <c r="DA40" i="9"/>
  <c r="DA38" i="9" l="1"/>
  <c r="AD46" i="12" l="1"/>
  <c r="AD49" i="12"/>
  <c r="DX57" i="7"/>
  <c r="DX58" i="7"/>
  <c r="DX61" i="7"/>
  <c r="DX62" i="7"/>
  <c r="DW59" i="7"/>
  <c r="DP59" i="7"/>
  <c r="DX59" i="7" s="1"/>
  <c r="CX59" i="7"/>
  <c r="CZ48" i="7"/>
  <c r="DA6" i="10" l="1"/>
  <c r="DA11" i="10" s="1"/>
  <c r="DL11" i="10" s="1"/>
  <c r="DL6" i="10" l="1"/>
  <c r="AC47" i="12"/>
  <c r="G22" i="4" l="1"/>
  <c r="CZ25" i="11" l="1"/>
  <c r="DK25" i="11" s="1"/>
  <c r="CZ33" i="8" l="1"/>
  <c r="DB68" i="15"/>
  <c r="DB67" i="15"/>
  <c r="DB61" i="15"/>
  <c r="DA22" i="14"/>
  <c r="DB66" i="15"/>
  <c r="DB65" i="15"/>
  <c r="DB64" i="15"/>
  <c r="DB63" i="15"/>
  <c r="DB62" i="15"/>
  <c r="DA60" i="15"/>
  <c r="DA59" i="15"/>
  <c r="DA58" i="15"/>
  <c r="DA57" i="15"/>
  <c r="DA56" i="15"/>
  <c r="CZ23" i="11" l="1"/>
  <c r="DK23" i="11" s="1"/>
  <c r="CZ15" i="8"/>
  <c r="DK58" i="7" l="1"/>
  <c r="DK61" i="7"/>
  <c r="DC57" i="7"/>
  <c r="CZ57" i="7"/>
  <c r="CX57" i="7"/>
  <c r="CX58" i="7"/>
  <c r="CK56" i="7"/>
  <c r="CK57" i="7"/>
  <c r="CZ9" i="8"/>
  <c r="DK57" i="7" l="1"/>
  <c r="DM23" i="11"/>
  <c r="DX23" i="11" s="1"/>
  <c r="CK54" i="7"/>
  <c r="CK55" i="7"/>
  <c r="CK58" i="7"/>
  <c r="CZ51" i="8"/>
  <c r="DK51" i="8" s="1"/>
  <c r="G43" i="4"/>
  <c r="G54" i="4"/>
  <c r="CY10" i="10"/>
  <c r="DX13" i="11"/>
  <c r="DX14" i="11"/>
  <c r="DX15" i="11"/>
  <c r="CK14" i="11"/>
  <c r="CZ10" i="8" l="1"/>
  <c r="AC46" i="12"/>
  <c r="CY10" i="11"/>
  <c r="DK10" i="11" s="1"/>
  <c r="CY54" i="8"/>
  <c r="AA46" i="12"/>
  <c r="CY4" i="14"/>
  <c r="CY34" i="8"/>
  <c r="CY33" i="8"/>
  <c r="CY48" i="7"/>
  <c r="CY4" i="7" s="1"/>
  <c r="CZ40" i="9" l="1"/>
  <c r="DL40" i="9" s="1"/>
  <c r="CZ22" i="11" l="1"/>
  <c r="DK22" i="11" s="1"/>
  <c r="CZ48" i="9"/>
  <c r="CZ38" i="9"/>
  <c r="CZ32" i="9"/>
  <c r="CY16" i="8" l="1"/>
  <c r="DB22" i="10" l="1"/>
  <c r="DL22" i="10" s="1"/>
  <c r="DI7" i="9"/>
  <c r="AC49" i="12"/>
  <c r="AC59" i="12" s="1"/>
  <c r="CY16" i="11" l="1"/>
  <c r="DK16" i="11" s="1"/>
  <c r="CY15" i="8"/>
  <c r="DA30" i="9" l="1"/>
  <c r="CY23" i="8"/>
  <c r="DC36" i="10" l="1"/>
  <c r="DL10" i="10" l="1"/>
  <c r="CK10" i="10"/>
  <c r="DK12" i="14" l="1"/>
  <c r="DK13" i="14"/>
  <c r="DK14" i="14"/>
  <c r="DK15" i="14"/>
  <c r="DK16" i="14"/>
  <c r="DK17" i="14"/>
  <c r="DK18" i="14"/>
  <c r="DK19" i="14"/>
  <c r="DK20" i="14"/>
  <c r="DL8" i="10"/>
  <c r="CY7" i="8"/>
  <c r="CY4" i="8" s="1"/>
  <c r="CW27" i="8"/>
  <c r="CW48" i="7" l="1"/>
  <c r="CX38" i="9" l="1"/>
  <c r="CZ55" i="15"/>
  <c r="CZ54" i="15"/>
  <c r="CZ53" i="15"/>
  <c r="CZ52" i="15"/>
  <c r="CZ51" i="15"/>
  <c r="CZ50" i="15"/>
  <c r="CZ49" i="15"/>
  <c r="CZ4" i="15" l="1"/>
  <c r="CY7" i="11"/>
  <c r="CW16" i="11"/>
  <c r="AA49" i="12"/>
  <c r="CW15" i="8"/>
  <c r="DK7" i="11" l="1"/>
  <c r="CY4" i="11"/>
  <c r="CW33" i="8"/>
  <c r="CW23" i="8"/>
  <c r="DJ55" i="8"/>
  <c r="CW51" i="8"/>
  <c r="CW54" i="8"/>
  <c r="CY21" i="14"/>
  <c r="CW21" i="14"/>
  <c r="DJ17" i="10"/>
  <c r="DL17" i="10" s="1"/>
  <c r="CW34" i="8"/>
  <c r="DI69" i="7"/>
  <c r="DJ47" i="9"/>
  <c r="DJ49" i="9" l="1"/>
  <c r="CX34" i="9"/>
  <c r="DK34" i="9"/>
  <c r="DI34" i="9"/>
  <c r="DF34" i="9"/>
  <c r="CR45" i="9"/>
  <c r="CR34" i="9"/>
  <c r="CK34" i="9"/>
  <c r="DL34" i="9" l="1"/>
  <c r="CW18" i="8"/>
  <c r="DH76" i="7" l="1"/>
  <c r="CZ9" i="7"/>
  <c r="CW8" i="7" l="1"/>
  <c r="CV55" i="15"/>
  <c r="CV54" i="15"/>
  <c r="CV53" i="15"/>
  <c r="CV52" i="15"/>
  <c r="CV51" i="15"/>
  <c r="CW40" i="9" l="1"/>
  <c r="CV8" i="8" l="1"/>
  <c r="CV54" i="8"/>
  <c r="DK44" i="8"/>
  <c r="DK46" i="8"/>
  <c r="CX43" i="8"/>
  <c r="CX47" i="8"/>
  <c r="CX48" i="8"/>
  <c r="CX52" i="8"/>
  <c r="CW16" i="8"/>
  <c r="CV16" i="8"/>
  <c r="CW38" i="9"/>
  <c r="CV15" i="8"/>
  <c r="CV27" i="8"/>
  <c r="CW11" i="11"/>
  <c r="CV9" i="8" l="1"/>
  <c r="Z46" i="12"/>
  <c r="CV19" i="11" l="1"/>
  <c r="CV33" i="8" l="1"/>
  <c r="CV34" i="8"/>
  <c r="CV49" i="8"/>
  <c r="CV48" i="7"/>
  <c r="CV50" i="7"/>
  <c r="CV51" i="7"/>
  <c r="CV21" i="7"/>
  <c r="CV46" i="8" l="1"/>
  <c r="CX46" i="8" s="1"/>
  <c r="CV44" i="8"/>
  <c r="CX44" i="8" s="1"/>
  <c r="Z49" i="12"/>
  <c r="CW17" i="10" l="1"/>
  <c r="DX11" i="11"/>
  <c r="DX12" i="11"/>
  <c r="CX11" i="11"/>
  <c r="CX12" i="11"/>
  <c r="G40" i="4" l="1"/>
  <c r="CV16" i="11"/>
  <c r="CV26" i="11" l="1"/>
  <c r="CV49" i="15"/>
  <c r="CV50" i="15"/>
  <c r="CU4" i="15"/>
  <c r="CV21" i="14"/>
  <c r="CV15" i="11" l="1"/>
  <c r="CV69" i="7"/>
  <c r="DK32" i="9"/>
  <c r="DH32" i="9"/>
  <c r="CX20" i="11" l="1"/>
  <c r="CX27" i="11"/>
  <c r="CX28" i="11"/>
  <c r="DG60" i="11"/>
  <c r="DG59" i="11"/>
  <c r="DG52" i="11"/>
  <c r="DP48" i="9" l="1"/>
  <c r="DY48" i="9" s="1"/>
  <c r="DX51" i="9"/>
  <c r="DW51" i="9"/>
  <c r="DV51" i="9"/>
  <c r="DU51" i="9"/>
  <c r="DT51" i="9"/>
  <c r="DS51" i="9"/>
  <c r="DR51" i="9"/>
  <c r="DP32" i="9"/>
  <c r="DO51" i="9"/>
  <c r="DQ30" i="9"/>
  <c r="DQ51" i="9" s="1"/>
  <c r="DN30" i="9"/>
  <c r="DM30" i="9"/>
  <c r="DM51" i="9" s="1"/>
  <c r="DX25" i="9"/>
  <c r="DW25" i="9"/>
  <c r="DV25" i="9"/>
  <c r="DU25" i="9"/>
  <c r="DT25" i="9"/>
  <c r="DS25" i="9"/>
  <c r="DR25" i="9"/>
  <c r="DQ25" i="9"/>
  <c r="DP25" i="9"/>
  <c r="DO25" i="9"/>
  <c r="DN25" i="9"/>
  <c r="DM25" i="9"/>
  <c r="DX11" i="9"/>
  <c r="DW11" i="9"/>
  <c r="DV11" i="9"/>
  <c r="DU11" i="9"/>
  <c r="DT11" i="9"/>
  <c r="DS11" i="9"/>
  <c r="DR11" i="9"/>
  <c r="DQ11" i="9"/>
  <c r="DO11" i="9"/>
  <c r="DN11" i="9"/>
  <c r="DM11" i="9"/>
  <c r="DY50" i="9"/>
  <c r="DY49" i="9"/>
  <c r="DY47" i="9"/>
  <c r="DY46" i="9"/>
  <c r="DY45" i="9"/>
  <c r="DY44" i="9"/>
  <c r="DY43" i="9"/>
  <c r="DY42" i="9"/>
  <c r="DY41" i="9"/>
  <c r="DY40" i="9"/>
  <c r="DY38" i="9"/>
  <c r="DY37" i="9"/>
  <c r="DY36" i="9"/>
  <c r="DY35" i="9"/>
  <c r="DY33" i="9"/>
  <c r="DY31" i="9"/>
  <c r="DY10" i="9"/>
  <c r="DY8" i="9"/>
  <c r="DY7" i="9"/>
  <c r="DY9" i="9"/>
  <c r="DV24" i="8"/>
  <c r="DS24" i="8"/>
  <c r="DP24" i="8"/>
  <c r="DM24" i="8"/>
  <c r="DO21" i="8"/>
  <c r="DS9" i="8"/>
  <c r="DR9" i="8"/>
  <c r="DN9" i="8"/>
  <c r="DU8" i="8"/>
  <c r="DP8" i="8"/>
  <c r="CU18" i="8"/>
  <c r="DK37" i="9"/>
  <c r="DH8" i="8"/>
  <c r="DM53" i="9" l="1"/>
  <c r="DM54" i="9" s="1"/>
  <c r="DY32" i="9"/>
  <c r="DR53" i="9"/>
  <c r="DV53" i="9"/>
  <c r="DO53" i="9"/>
  <c r="DP51" i="9"/>
  <c r="DQ53" i="9"/>
  <c r="DU53" i="9"/>
  <c r="DU26" i="9"/>
  <c r="DS26" i="9"/>
  <c r="DW26" i="9"/>
  <c r="DX26" i="9"/>
  <c r="DN51" i="9"/>
  <c r="DN53" i="9" s="1"/>
  <c r="DN54" i="9" s="1"/>
  <c r="DY30" i="9"/>
  <c r="DS53" i="9"/>
  <c r="DW53" i="9"/>
  <c r="DO26" i="9"/>
  <c r="DP11" i="9"/>
  <c r="DP26" i="9" s="1"/>
  <c r="DT26" i="9"/>
  <c r="DM26" i="9"/>
  <c r="DM27" i="9" s="1"/>
  <c r="DQ26" i="9"/>
  <c r="DN26" i="9"/>
  <c r="DR26" i="9"/>
  <c r="DV26" i="9"/>
  <c r="DT53" i="9"/>
  <c r="DX53" i="9"/>
  <c r="DY51" i="9"/>
  <c r="DY11" i="9"/>
  <c r="CV23" i="11"/>
  <c r="DN27" i="9" l="1"/>
  <c r="DO54" i="9"/>
  <c r="DP53" i="9"/>
  <c r="DO27" i="9"/>
  <c r="DP27" i="9" s="1"/>
  <c r="DQ27" i="9" s="1"/>
  <c r="DR27" i="9" s="1"/>
  <c r="DS27" i="9" s="1"/>
  <c r="DT27" i="9" s="1"/>
  <c r="DU27" i="9" s="1"/>
  <c r="DV27" i="9" s="1"/>
  <c r="DW27" i="9" s="1"/>
  <c r="DX27" i="9" s="1"/>
  <c r="DY52" i="9"/>
  <c r="DP54" i="9" l="1"/>
  <c r="DQ54" i="9" s="1"/>
  <c r="DR54" i="9" s="1"/>
  <c r="DS54" i="9" s="1"/>
  <c r="DT54" i="9" s="1"/>
  <c r="DU54" i="9" s="1"/>
  <c r="DV54" i="9" s="1"/>
  <c r="DW54" i="9" s="1"/>
  <c r="DX54" i="9" s="1"/>
  <c r="DY54" i="9" s="1"/>
  <c r="DK6" i="7"/>
  <c r="DS56" i="7"/>
  <c r="DS55" i="7"/>
  <c r="DT54" i="7"/>
  <c r="DS52" i="7"/>
  <c r="DT51" i="7"/>
  <c r="DP49" i="7"/>
  <c r="DM46" i="7"/>
  <c r="DP37" i="7"/>
  <c r="DN31" i="7"/>
  <c r="DV28" i="7"/>
  <c r="DS24" i="7"/>
  <c r="DR21" i="7"/>
  <c r="DS20" i="7"/>
  <c r="DK80" i="7"/>
  <c r="DK81" i="7"/>
  <c r="DK82" i="7"/>
  <c r="DK56" i="7"/>
  <c r="CK34" i="11"/>
  <c r="CK32" i="11"/>
  <c r="CK31" i="11" l="1"/>
  <c r="CK30" i="11"/>
  <c r="CK29" i="11"/>
  <c r="CK25" i="11"/>
  <c r="CU33" i="8"/>
  <c r="CU8" i="8"/>
  <c r="CV48" i="9"/>
  <c r="CU15" i="8"/>
  <c r="CV40" i="9"/>
  <c r="CU42" i="7" l="1"/>
  <c r="CU56" i="7"/>
  <c r="CU27" i="8" l="1"/>
  <c r="CV22" i="11"/>
  <c r="Y46" i="12"/>
  <c r="Y49" i="12" l="1"/>
  <c r="CV17" i="10"/>
  <c r="DA20" i="10"/>
  <c r="DL20" i="10" s="1"/>
  <c r="CW20" i="10"/>
  <c r="CU55" i="8"/>
  <c r="CU16" i="11" l="1"/>
  <c r="DA48" i="9" l="1"/>
  <c r="CU10" i="8"/>
  <c r="CU19" i="8"/>
  <c r="CU7" i="8" l="1"/>
  <c r="G5" i="4" l="1"/>
  <c r="G46" i="4"/>
  <c r="G31" i="4"/>
  <c r="CU51" i="8"/>
  <c r="CU54" i="8"/>
  <c r="CV33" i="9" l="1"/>
  <c r="CV51" i="9" s="1"/>
  <c r="CW41" i="7"/>
  <c r="CV28" i="7"/>
  <c r="CU69" i="7"/>
  <c r="CU4" i="7" s="1"/>
  <c r="CU9" i="8" l="1"/>
  <c r="CU26" i="8"/>
  <c r="CU34" i="8"/>
  <c r="CU16" i="8"/>
  <c r="CT27" i="8" l="1"/>
  <c r="CU10" i="11"/>
  <c r="CU7" i="11"/>
  <c r="CT26" i="8"/>
  <c r="CU32" i="9"/>
  <c r="CT34" i="8" l="1"/>
  <c r="CT16" i="8"/>
  <c r="G15" i="4"/>
  <c r="G6" i="4"/>
  <c r="CT24" i="7"/>
  <c r="CT54" i="7"/>
  <c r="CT48" i="7"/>
  <c r="X46" i="12" l="1"/>
  <c r="X49" i="12"/>
  <c r="CU33" i="9"/>
  <c r="CT26" i="11" l="1"/>
  <c r="DW4" i="11"/>
  <c r="DV4" i="11"/>
  <c r="DU4" i="11"/>
  <c r="DT4" i="11"/>
  <c r="DS4" i="11"/>
  <c r="DR4" i="11"/>
  <c r="DQ4" i="11"/>
  <c r="DP4" i="11"/>
  <c r="DO4" i="11"/>
  <c r="DN4" i="11"/>
  <c r="DM4" i="11"/>
  <c r="DL4" i="11"/>
  <c r="DX35" i="11"/>
  <c r="DX28" i="11"/>
  <c r="DX27" i="11"/>
  <c r="DX16" i="11"/>
  <c r="DX10" i="11"/>
  <c r="DX9" i="11"/>
  <c r="DX8" i="11"/>
  <c r="DX7" i="11"/>
  <c r="DX6" i="11"/>
  <c r="DX5" i="11"/>
  <c r="CT13" i="11"/>
  <c r="CX13" i="11" s="1"/>
  <c r="CK15" i="11"/>
  <c r="CK18" i="11"/>
  <c r="CK20" i="11"/>
  <c r="CK23" i="11"/>
  <c r="CK13" i="11"/>
  <c r="CT23" i="8"/>
  <c r="DX69" i="7"/>
  <c r="DK68" i="7"/>
  <c r="DK69" i="7"/>
  <c r="CX69" i="7"/>
  <c r="CK68" i="7"/>
  <c r="CK69" i="7"/>
  <c r="CK70" i="7"/>
  <c r="DX4" i="11" l="1"/>
  <c r="CU31" i="9"/>
  <c r="CY22" i="15"/>
  <c r="CT16" i="11" l="1"/>
  <c r="CU38" i="9"/>
  <c r="CT15" i="8" l="1"/>
  <c r="CU17" i="10"/>
  <c r="CY17" i="10" s="1"/>
  <c r="CY42" i="15"/>
  <c r="CY41" i="15"/>
  <c r="CY38" i="15"/>
  <c r="CY4" i="15" l="1"/>
  <c r="CS39" i="15"/>
  <c r="CK19" i="9" l="1"/>
  <c r="CT43" i="15" l="1"/>
  <c r="CT44" i="15"/>
  <c r="CS23" i="11" l="1"/>
  <c r="CS16" i="11"/>
  <c r="CS27" i="8"/>
  <c r="CT48" i="9" l="1"/>
  <c r="CS49" i="8"/>
  <c r="CS34" i="8"/>
  <c r="CS55" i="7"/>
  <c r="CS20" i="7"/>
  <c r="CS52" i="7"/>
  <c r="W46" i="12" l="1"/>
  <c r="W49" i="12" l="1"/>
  <c r="CU6" i="10" l="1"/>
  <c r="CS47" i="15"/>
  <c r="CX42" i="15" l="1"/>
  <c r="CS43" i="15" l="1"/>
  <c r="CX43" i="15" s="1"/>
  <c r="CS44" i="15"/>
  <c r="CX44" i="15" s="1"/>
  <c r="CS46" i="15"/>
  <c r="CX46" i="15" s="1"/>
  <c r="CS45" i="15"/>
  <c r="CX45" i="15" s="1"/>
  <c r="CX47" i="15" l="1"/>
  <c r="CS9" i="8"/>
  <c r="CX41" i="15"/>
  <c r="CT38" i="9"/>
  <c r="CS26" i="11"/>
  <c r="CT33" i="9" l="1"/>
  <c r="CS16" i="8" l="1"/>
  <c r="CS25" i="8" l="1"/>
  <c r="CV18" i="11"/>
  <c r="CS18" i="11"/>
  <c r="CX18" i="11" s="1"/>
  <c r="CX49" i="15" l="1"/>
  <c r="CS51" i="8" l="1"/>
  <c r="G29" i="4" l="1"/>
  <c r="CX50" i="15"/>
  <c r="CK43" i="15"/>
  <c r="CS40" i="9" l="1"/>
  <c r="CR27" i="8"/>
  <c r="CR33" i="8"/>
  <c r="CR8" i="8"/>
  <c r="CS40" i="15"/>
  <c r="CX40" i="15" s="1"/>
  <c r="CX39" i="15"/>
  <c r="CS36" i="15"/>
  <c r="CS37" i="15"/>
  <c r="CS35" i="15" l="1"/>
  <c r="CX35" i="15" s="1"/>
  <c r="CR16" i="11"/>
  <c r="CX36" i="15"/>
  <c r="CX37" i="15"/>
  <c r="CX38" i="15"/>
  <c r="CT19" i="9"/>
  <c r="DX50" i="7" l="1"/>
  <c r="DX51" i="7"/>
  <c r="DX52" i="7"/>
  <c r="DX53" i="7"/>
  <c r="DX54" i="7"/>
  <c r="DX55" i="7"/>
  <c r="DX56" i="7"/>
  <c r="DK51" i="7"/>
  <c r="DK52" i="7"/>
  <c r="DK53" i="7"/>
  <c r="DK54" i="7"/>
  <c r="DK55" i="7"/>
  <c r="CX52" i="7"/>
  <c r="CX53" i="7"/>
  <c r="CX55" i="7"/>
  <c r="CX56" i="7"/>
  <c r="CW48" i="9" l="1"/>
  <c r="CR34" i="8" l="1"/>
  <c r="CR15" i="8"/>
  <c r="CS38" i="9"/>
  <c r="CS48" i="9"/>
  <c r="CR21" i="8"/>
  <c r="CR48" i="7"/>
  <c r="CX19" i="14" l="1"/>
  <c r="CS20" i="14"/>
  <c r="CX20" i="14" s="1"/>
  <c r="CS19" i="14"/>
  <c r="CR22" i="11" l="1"/>
  <c r="V46" i="12" l="1"/>
  <c r="V49" i="12"/>
  <c r="CS34" i="15"/>
  <c r="CX34" i="15" s="1"/>
  <c r="CS33" i="15"/>
  <c r="CX33" i="15" s="1"/>
  <c r="CS32" i="15"/>
  <c r="CX32" i="15" s="1"/>
  <c r="CS18" i="14" l="1"/>
  <c r="CX18" i="14" s="1"/>
  <c r="CS17" i="14"/>
  <c r="CX17" i="14" s="1"/>
  <c r="DK34" i="8" l="1"/>
  <c r="DK35" i="8"/>
  <c r="DK36" i="8"/>
  <c r="DK37" i="8"/>
  <c r="DK38" i="8"/>
  <c r="CR18" i="8"/>
  <c r="DB25" i="8" l="1"/>
  <c r="CZ25" i="8"/>
  <c r="CZ4" i="8" s="1"/>
  <c r="CQ25" i="8"/>
  <c r="CR25" i="8" l="1"/>
  <c r="CN47" i="9" l="1"/>
  <c r="CS31" i="15" l="1"/>
  <c r="CX31" i="15" s="1"/>
  <c r="CR30" i="15"/>
  <c r="CX30" i="15" s="1"/>
  <c r="CR29" i="15"/>
  <c r="CX29" i="15" s="1"/>
  <c r="CR28" i="15"/>
  <c r="CX28" i="15" s="1"/>
  <c r="CR27" i="15"/>
  <c r="CX27" i="15" s="1"/>
  <c r="CS15" i="8" l="1"/>
  <c r="CS16" i="14"/>
  <c r="CX16" i="14" s="1"/>
  <c r="CR15" i="14"/>
  <c r="CX15" i="14" s="1"/>
  <c r="CX54" i="7" l="1"/>
  <c r="CK51" i="7" l="1"/>
  <c r="CK52" i="7"/>
  <c r="CK53" i="7"/>
  <c r="BX50" i="7"/>
  <c r="BX51" i="7"/>
  <c r="BX52" i="7"/>
  <c r="BX53" i="7"/>
  <c r="BK49" i="7"/>
  <c r="BK50" i="7"/>
  <c r="BK51" i="7"/>
  <c r="BK52" i="7"/>
  <c r="BK53" i="7"/>
  <c r="BK56" i="7"/>
  <c r="AX47" i="7"/>
  <c r="AX48" i="7"/>
  <c r="AX49" i="7"/>
  <c r="AX50" i="7"/>
  <c r="AX51" i="7"/>
  <c r="AX52" i="7"/>
  <c r="AX53" i="7"/>
  <c r="AX56" i="7"/>
  <c r="G53" i="4"/>
  <c r="CT9" i="7" l="1"/>
  <c r="CR14" i="14"/>
  <c r="CX14" i="14" s="1"/>
  <c r="G18" i="4"/>
  <c r="CR13" i="14" l="1"/>
  <c r="CX13" i="14" s="1"/>
  <c r="C38" i="4" l="1"/>
  <c r="G50" i="4"/>
  <c r="N4" i="4"/>
  <c r="N5" i="4" s="1"/>
  <c r="CX48" i="15"/>
  <c r="CR9" i="8"/>
  <c r="N6" i="4" l="1"/>
  <c r="N7" i="4" s="1"/>
  <c r="N8" i="4" s="1"/>
  <c r="N9" i="4" s="1"/>
  <c r="CW37" i="8"/>
  <c r="N10" i="4" l="1"/>
  <c r="DN33" i="8"/>
  <c r="DM33" i="8"/>
  <c r="DO33" i="8"/>
  <c r="DP33" i="8"/>
  <c r="DQ33" i="8"/>
  <c r="DR33" i="8"/>
  <c r="DS33" i="8"/>
  <c r="DT33" i="8"/>
  <c r="DU33" i="8"/>
  <c r="DV33" i="8"/>
  <c r="DW33" i="8"/>
  <c r="DL33" i="8"/>
  <c r="DX33" i="8" l="1"/>
  <c r="CR26" i="15"/>
  <c r="CX26" i="15" s="1"/>
  <c r="CR25" i="15"/>
  <c r="CX25" i="15" s="1"/>
  <c r="CR24" i="15"/>
  <c r="CX24" i="15" s="1"/>
  <c r="CR23" i="15"/>
  <c r="CX23" i="15" s="1"/>
  <c r="CR12" i="14"/>
  <c r="CX12" i="14" s="1"/>
  <c r="CF47" i="9" l="1"/>
  <c r="G51" i="4" l="1"/>
  <c r="G52" i="4"/>
  <c r="CR16" i="8" l="1"/>
  <c r="CQ16" i="8"/>
  <c r="CQ27" i="8" l="1"/>
  <c r="CQ15" i="8"/>
  <c r="CQ34" i="8" l="1"/>
  <c r="CR48" i="9"/>
  <c r="CQ49" i="8" l="1"/>
  <c r="U46" i="12"/>
  <c r="CP27" i="8"/>
  <c r="CQ84" i="7"/>
  <c r="CQ48" i="7"/>
  <c r="CQ49" i="7"/>
  <c r="U49" i="12" l="1"/>
  <c r="CX51" i="7" l="1"/>
  <c r="CQ21" i="15"/>
  <c r="CK82" i="7" l="1"/>
  <c r="CI48" i="7" l="1"/>
  <c r="CQ25" i="11"/>
  <c r="CQ16" i="11" l="1"/>
  <c r="CQ20" i="15" l="1"/>
  <c r="CX20" i="15" s="1"/>
  <c r="CQ16" i="15"/>
  <c r="CR6" i="10" l="1"/>
  <c r="CO6" i="10" l="1"/>
  <c r="CQ51" i="8" l="1"/>
  <c r="CQ17" i="15" l="1"/>
  <c r="CX17" i="15" s="1"/>
  <c r="CP21" i="15"/>
  <c r="CP9" i="8" l="1"/>
  <c r="T37" i="12" l="1"/>
  <c r="CX21" i="15"/>
  <c r="CX22" i="15"/>
  <c r="C16" i="4"/>
  <c r="CP84" i="7" l="1"/>
  <c r="CP22" i="11" l="1"/>
  <c r="CP6" i="14"/>
  <c r="CP23" i="11"/>
  <c r="CP16" i="11"/>
  <c r="CO16" i="11"/>
  <c r="CQ40" i="9"/>
  <c r="CT6" i="15"/>
  <c r="CP49" i="8"/>
  <c r="CP34" i="8"/>
  <c r="CQ38" i="9" l="1"/>
  <c r="CP15" i="8"/>
  <c r="CP37" i="7"/>
  <c r="T49" i="12" l="1"/>
  <c r="T46" i="12"/>
  <c r="T59" i="12" s="1"/>
  <c r="CP6" i="8"/>
  <c r="CP14" i="8" l="1"/>
  <c r="CP13" i="8"/>
  <c r="CQ19" i="15"/>
  <c r="CX19" i="15" s="1"/>
  <c r="CQ18" i="15"/>
  <c r="CX18" i="15" s="1"/>
  <c r="CX16" i="15"/>
  <c r="CQ15" i="15"/>
  <c r="CX15" i="15" s="1"/>
  <c r="CQ14" i="15"/>
  <c r="CX14" i="15" s="1"/>
  <c r="CQ11" i="14"/>
  <c r="CQ10" i="14"/>
  <c r="CP25" i="11" l="1"/>
  <c r="CQ48" i="9"/>
  <c r="CQ33" i="9"/>
  <c r="CQ6" i="10" l="1"/>
  <c r="CQ11" i="10" s="1"/>
  <c r="CQ9" i="14" l="1"/>
  <c r="CP8" i="14" l="1"/>
  <c r="CQ13" i="15"/>
  <c r="CP12" i="15"/>
  <c r="CP11" i="15"/>
  <c r="CP10" i="15"/>
  <c r="CP9" i="15"/>
  <c r="CP8" i="15"/>
  <c r="CP7" i="14"/>
  <c r="CP4" i="14" l="1"/>
  <c r="CP33" i="8"/>
  <c r="CP7" i="15"/>
  <c r="CP4" i="15" s="1"/>
  <c r="G28" i="4"/>
  <c r="AK105" i="3" l="1"/>
  <c r="AB105" i="3"/>
  <c r="BG160" i="3"/>
  <c r="G32" i="4" l="1"/>
  <c r="CY9" i="9"/>
  <c r="CX15" i="11"/>
  <c r="DL9" i="9"/>
  <c r="DL8" i="9"/>
  <c r="DL10" i="9"/>
  <c r="G10" i="4" l="1"/>
  <c r="CP16" i="8"/>
  <c r="CX8" i="14" l="1"/>
  <c r="CX9" i="14"/>
  <c r="CX10" i="14"/>
  <c r="CX11" i="14"/>
  <c r="DM4" i="15"/>
  <c r="DN4" i="15"/>
  <c r="DO4" i="15"/>
  <c r="DP4" i="15"/>
  <c r="DQ4" i="15"/>
  <c r="DR4" i="15"/>
  <c r="DS4" i="15"/>
  <c r="DT4" i="15"/>
  <c r="DU4" i="15"/>
  <c r="DV4" i="15"/>
  <c r="DW4" i="15"/>
  <c r="DL4" i="15"/>
  <c r="AD11" i="12"/>
  <c r="DA4" i="15"/>
  <c r="AE11" i="12" s="1"/>
  <c r="DB4" i="15"/>
  <c r="AF11" i="12" s="1"/>
  <c r="DC4" i="15"/>
  <c r="AG11" i="12" s="1"/>
  <c r="DD4" i="15"/>
  <c r="AH11" i="12" s="1"/>
  <c r="DE4" i="15"/>
  <c r="AI11" i="12" s="1"/>
  <c r="DF4" i="15"/>
  <c r="AJ11" i="12" s="1"/>
  <c r="DG4" i="15"/>
  <c r="AK11" i="12" s="1"/>
  <c r="DH4" i="15"/>
  <c r="AL11" i="12" s="1"/>
  <c r="DI4" i="15"/>
  <c r="AM11" i="12" s="1"/>
  <c r="DJ4" i="15"/>
  <c r="AN11" i="12" s="1"/>
  <c r="AC11" i="12"/>
  <c r="CX8" i="15"/>
  <c r="CX9" i="15"/>
  <c r="CX10" i="15"/>
  <c r="CX11" i="15"/>
  <c r="CM4" i="15"/>
  <c r="Q11" i="12" s="1"/>
  <c r="CN4" i="15"/>
  <c r="R11" i="12" s="1"/>
  <c r="CO4" i="15"/>
  <c r="S11" i="12" s="1"/>
  <c r="T11" i="12"/>
  <c r="CQ4" i="15"/>
  <c r="U11" i="12" s="1"/>
  <c r="CR4" i="15"/>
  <c r="V11" i="12" s="1"/>
  <c r="CS4" i="15"/>
  <c r="W11" i="12" s="1"/>
  <c r="CT4" i="15"/>
  <c r="X11" i="12" s="1"/>
  <c r="Y11" i="12"/>
  <c r="CV4" i="15"/>
  <c r="Z11" i="12" s="1"/>
  <c r="CW4" i="15"/>
  <c r="AA11" i="12" s="1"/>
  <c r="CL4" i="15"/>
  <c r="P11" i="12" s="1"/>
  <c r="DX112" i="15"/>
  <c r="DK112" i="15"/>
  <c r="CX112" i="15"/>
  <c r="CK112" i="15"/>
  <c r="BX112" i="15"/>
  <c r="BK112" i="15"/>
  <c r="AK112" i="15"/>
  <c r="AB112" i="15"/>
  <c r="DX111" i="15"/>
  <c r="DK111" i="15"/>
  <c r="CX111" i="15"/>
  <c r="CK111" i="15"/>
  <c r="BX111" i="15"/>
  <c r="BK111" i="15"/>
  <c r="AX111" i="15"/>
  <c r="AK111" i="15"/>
  <c r="AB111" i="15"/>
  <c r="O111" i="15"/>
  <c r="DX110" i="15"/>
  <c r="DK110" i="15"/>
  <c r="CX110" i="15"/>
  <c r="CK110" i="15"/>
  <c r="BX110" i="15"/>
  <c r="BK110" i="15"/>
  <c r="AX110" i="15"/>
  <c r="AK110" i="15"/>
  <c r="AB110" i="15"/>
  <c r="O110" i="15"/>
  <c r="DX109" i="15"/>
  <c r="DK109" i="15"/>
  <c r="CX109" i="15"/>
  <c r="CK109" i="15"/>
  <c r="BX109" i="15"/>
  <c r="O109" i="15"/>
  <c r="CX108" i="15"/>
  <c r="DX107" i="15"/>
  <c r="DK107" i="15"/>
  <c r="CX107" i="15"/>
  <c r="CK107" i="15"/>
  <c r="BX107" i="15"/>
  <c r="BK107" i="15"/>
  <c r="DX106" i="15"/>
  <c r="DK106" i="15"/>
  <c r="CX106" i="15"/>
  <c r="CK106" i="15"/>
  <c r="BX106" i="15"/>
  <c r="BK106" i="15"/>
  <c r="AX106" i="15"/>
  <c r="DX105" i="15"/>
  <c r="DK105" i="15"/>
  <c r="CX105" i="15"/>
  <c r="CK105" i="15"/>
  <c r="BX105" i="15"/>
  <c r="BK105" i="15"/>
  <c r="AX105" i="15"/>
  <c r="AK105" i="15"/>
  <c r="AB105" i="15"/>
  <c r="DX104" i="15"/>
  <c r="DK104" i="15"/>
  <c r="CX104" i="15"/>
  <c r="CK104" i="15"/>
  <c r="BX104" i="15"/>
  <c r="BK104" i="15"/>
  <c r="AX104" i="15"/>
  <c r="AK104" i="15"/>
  <c r="O104" i="15"/>
  <c r="DX103" i="15"/>
  <c r="DK103" i="15"/>
  <c r="CX103" i="15"/>
  <c r="CK103" i="15"/>
  <c r="BX103" i="15"/>
  <c r="BK103" i="15"/>
  <c r="AX103" i="15"/>
  <c r="AK103" i="15"/>
  <c r="O103" i="15"/>
  <c r="DX102" i="15"/>
  <c r="DK102" i="15"/>
  <c r="CX102" i="15"/>
  <c r="CK102" i="15"/>
  <c r="BX102" i="15"/>
  <c r="BK102" i="15"/>
  <c r="AX102" i="15"/>
  <c r="AK102" i="15"/>
  <c r="O102" i="15"/>
  <c r="DX101" i="15"/>
  <c r="DK101" i="15"/>
  <c r="CX101" i="15"/>
  <c r="CK101" i="15"/>
  <c r="BX101" i="15"/>
  <c r="BK101" i="15"/>
  <c r="AX101" i="15"/>
  <c r="AK101" i="15"/>
  <c r="AB101" i="15"/>
  <c r="O101" i="15"/>
  <c r="DX100" i="15"/>
  <c r="DK100" i="15"/>
  <c r="CX100" i="15"/>
  <c r="CK100" i="15"/>
  <c r="BX100" i="15"/>
  <c r="BK100" i="15"/>
  <c r="AX100" i="15"/>
  <c r="AK100" i="15"/>
  <c r="AB100" i="15"/>
  <c r="O100" i="15"/>
  <c r="DX99" i="15"/>
  <c r="DK99" i="15"/>
  <c r="CX99" i="15"/>
  <c r="CK99" i="15"/>
  <c r="BX99" i="15"/>
  <c r="BK99" i="15"/>
  <c r="AX99" i="15"/>
  <c r="AK99" i="15"/>
  <c r="AB99" i="15"/>
  <c r="O99" i="15"/>
  <c r="DX98" i="15"/>
  <c r="DK98" i="15"/>
  <c r="CX98" i="15"/>
  <c r="CK98" i="15"/>
  <c r="BX98" i="15"/>
  <c r="BK98" i="15"/>
  <c r="AX98" i="15"/>
  <c r="AK98" i="15"/>
  <c r="AB98" i="15"/>
  <c r="O98" i="15"/>
  <c r="DX97" i="15"/>
  <c r="DK97" i="15"/>
  <c r="CX97" i="15"/>
  <c r="CK97" i="15"/>
  <c r="BX97" i="15"/>
  <c r="BK97" i="15"/>
  <c r="AX97" i="15"/>
  <c r="AK97" i="15"/>
  <c r="AB97" i="15"/>
  <c r="O97" i="15"/>
  <c r="DX96" i="15"/>
  <c r="DK96" i="15"/>
  <c r="CX96" i="15"/>
  <c r="CK96" i="15"/>
  <c r="BX96" i="15"/>
  <c r="O96" i="15"/>
  <c r="DX95" i="15"/>
  <c r="DK95" i="15"/>
  <c r="CX95" i="15"/>
  <c r="CK95" i="15"/>
  <c r="BX95" i="15"/>
  <c r="BK95" i="15"/>
  <c r="AX95" i="15"/>
  <c r="AK95" i="15"/>
  <c r="AB95" i="15"/>
  <c r="DX94" i="15"/>
  <c r="DK94" i="15"/>
  <c r="CX94" i="15"/>
  <c r="CK94" i="15"/>
  <c r="BX94" i="15"/>
  <c r="BK94" i="15"/>
  <c r="AX94" i="15"/>
  <c r="AK94" i="15"/>
  <c r="AB94" i="15"/>
  <c r="O94" i="15"/>
  <c r="DX93" i="15"/>
  <c r="DK93" i="15"/>
  <c r="CX93" i="15"/>
  <c r="CK93" i="15"/>
  <c r="BX93" i="15"/>
  <c r="BK93" i="15"/>
  <c r="AX93" i="15"/>
  <c r="AK93" i="15"/>
  <c r="AB93" i="15"/>
  <c r="O93" i="15"/>
  <c r="DX92" i="15"/>
  <c r="DK92" i="15"/>
  <c r="CX92" i="15"/>
  <c r="CK92" i="15"/>
  <c r="BX92" i="15"/>
  <c r="BK92" i="15"/>
  <c r="AX92" i="15"/>
  <c r="AK92" i="15"/>
  <c r="AB92" i="15"/>
  <c r="O92" i="15"/>
  <c r="DX91" i="15"/>
  <c r="DK91" i="15"/>
  <c r="CX91" i="15"/>
  <c r="CK91" i="15"/>
  <c r="BX91" i="15"/>
  <c r="BK91" i="15"/>
  <c r="AX91" i="15"/>
  <c r="AK91" i="15"/>
  <c r="AB91" i="15"/>
  <c r="G91" i="15"/>
  <c r="O91" i="15" s="1"/>
  <c r="DX90" i="15"/>
  <c r="DK90" i="15"/>
  <c r="CX90" i="15"/>
  <c r="CK90" i="15"/>
  <c r="BX90" i="15"/>
  <c r="BK90" i="15"/>
  <c r="AX90" i="15"/>
  <c r="AK90" i="15"/>
  <c r="AB90" i="15"/>
  <c r="O90" i="15"/>
  <c r="DX89" i="15"/>
  <c r="DK89" i="15"/>
  <c r="CX89" i="15"/>
  <c r="CK89" i="15"/>
  <c r="BX89" i="15"/>
  <c r="BK89" i="15"/>
  <c r="AX89" i="15"/>
  <c r="AK89" i="15"/>
  <c r="AB89" i="15"/>
  <c r="O89" i="15"/>
  <c r="DX88" i="15"/>
  <c r="DK88" i="15"/>
  <c r="CX88" i="15"/>
  <c r="CK88" i="15"/>
  <c r="BX88" i="15"/>
  <c r="O88" i="15"/>
  <c r="CX87" i="15"/>
  <c r="CK87" i="15"/>
  <c r="DK86" i="15"/>
  <c r="CX86" i="15"/>
  <c r="CK86" i="15"/>
  <c r="DX85" i="15"/>
  <c r="DK85" i="15"/>
  <c r="CX85" i="15"/>
  <c r="CK85" i="15"/>
  <c r="BX85" i="15"/>
  <c r="BK85" i="15"/>
  <c r="AX85" i="15"/>
  <c r="AK85" i="15"/>
  <c r="DX84" i="15"/>
  <c r="DK84" i="15"/>
  <c r="CX84" i="15"/>
  <c r="CK84" i="15"/>
  <c r="BX84" i="15"/>
  <c r="BK84" i="15"/>
  <c r="AX84" i="15"/>
  <c r="AK84" i="15"/>
  <c r="DX83" i="15"/>
  <c r="DK83" i="15"/>
  <c r="CX83" i="15"/>
  <c r="CK83" i="15"/>
  <c r="BX83" i="15"/>
  <c r="BK83" i="15"/>
  <c r="AX83" i="15"/>
  <c r="AK83" i="15"/>
  <c r="DX82" i="15"/>
  <c r="DK82" i="15"/>
  <c r="CX82" i="15"/>
  <c r="CK82" i="15"/>
  <c r="BX82" i="15"/>
  <c r="BK82" i="15"/>
  <c r="AX82" i="15"/>
  <c r="AK82" i="15"/>
  <c r="DX81" i="15"/>
  <c r="DK81" i="15"/>
  <c r="CX81" i="15"/>
  <c r="CK81" i="15"/>
  <c r="BX81" i="15"/>
  <c r="BK81" i="15"/>
  <c r="AX81" i="15"/>
  <c r="AK81" i="15"/>
  <c r="DX80" i="15"/>
  <c r="DK80" i="15"/>
  <c r="CX80" i="15"/>
  <c r="CK80" i="15"/>
  <c r="BX80" i="15"/>
  <c r="BK80" i="15"/>
  <c r="AX80" i="15"/>
  <c r="AK80" i="15"/>
  <c r="DX79" i="15"/>
  <c r="DK79" i="15"/>
  <c r="CX79" i="15"/>
  <c r="CK79" i="15"/>
  <c r="BX79" i="15"/>
  <c r="BK79" i="15"/>
  <c r="AX79" i="15"/>
  <c r="AK79" i="15"/>
  <c r="DX78" i="15"/>
  <c r="CX78" i="15"/>
  <c r="CK78" i="15"/>
  <c r="BX78" i="15"/>
  <c r="BK78" i="15"/>
  <c r="AX78" i="15"/>
  <c r="AK78" i="15"/>
  <c r="DX71" i="15"/>
  <c r="DK71" i="15"/>
  <c r="CX71" i="15"/>
  <c r="CK71" i="15"/>
  <c r="BX71" i="15"/>
  <c r="BK71" i="15"/>
  <c r="AX71" i="15"/>
  <c r="AK71" i="15"/>
  <c r="DX69" i="15"/>
  <c r="DK69" i="15"/>
  <c r="CX69" i="15"/>
  <c r="CK69" i="15"/>
  <c r="BX69" i="15"/>
  <c r="BK69" i="15"/>
  <c r="AX69" i="15"/>
  <c r="AK69" i="15"/>
  <c r="DX68" i="15"/>
  <c r="DK68" i="15"/>
  <c r="CX68" i="15"/>
  <c r="CK68" i="15"/>
  <c r="BX68" i="15"/>
  <c r="BK68" i="15"/>
  <c r="AX68" i="15"/>
  <c r="AK68" i="15"/>
  <c r="DX67" i="15"/>
  <c r="DK67" i="15"/>
  <c r="CX67" i="15"/>
  <c r="CK67" i="15"/>
  <c r="BX67" i="15"/>
  <c r="BK67" i="15"/>
  <c r="AX67" i="15"/>
  <c r="AK67" i="15"/>
  <c r="DX66" i="15"/>
  <c r="DK66" i="15"/>
  <c r="CX66" i="15"/>
  <c r="CK66" i="15"/>
  <c r="BX66" i="15"/>
  <c r="BK66" i="15"/>
  <c r="AX66" i="15"/>
  <c r="AK66" i="15"/>
  <c r="DX65" i="15"/>
  <c r="DK65" i="15"/>
  <c r="CX65" i="15"/>
  <c r="CK65" i="15"/>
  <c r="BX65" i="15"/>
  <c r="BK65" i="15"/>
  <c r="AX65" i="15"/>
  <c r="AK65" i="15"/>
  <c r="O65" i="15"/>
  <c r="DX64" i="15"/>
  <c r="DK64" i="15"/>
  <c r="CX64" i="15"/>
  <c r="CK64" i="15"/>
  <c r="BX64" i="15"/>
  <c r="BK64" i="15"/>
  <c r="AX64" i="15"/>
  <c r="AK64" i="15"/>
  <c r="AB64" i="15"/>
  <c r="O64" i="15"/>
  <c r="DX63" i="15"/>
  <c r="DK63" i="15"/>
  <c r="CX63" i="15"/>
  <c r="CK63" i="15"/>
  <c r="BX63" i="15"/>
  <c r="BK63" i="15"/>
  <c r="AX63" i="15"/>
  <c r="AK63" i="15"/>
  <c r="AB63" i="15"/>
  <c r="O63" i="15"/>
  <c r="DX62" i="15"/>
  <c r="DK62" i="15"/>
  <c r="CX62" i="15"/>
  <c r="CK62" i="15"/>
  <c r="BX62" i="15"/>
  <c r="BK62" i="15"/>
  <c r="AX62" i="15"/>
  <c r="AK62" i="15"/>
  <c r="AB62" i="15"/>
  <c r="O62" i="15"/>
  <c r="DX61" i="15"/>
  <c r="DK61" i="15"/>
  <c r="CX61" i="15"/>
  <c r="CK61" i="15"/>
  <c r="BX61" i="15"/>
  <c r="BK61" i="15"/>
  <c r="AX61" i="15"/>
  <c r="AK61" i="15"/>
  <c r="AB61" i="15"/>
  <c r="O61" i="15"/>
  <c r="DX60" i="15"/>
  <c r="DK60" i="15"/>
  <c r="CX60" i="15"/>
  <c r="CK60" i="15"/>
  <c r="BX60" i="15"/>
  <c r="BK60" i="15"/>
  <c r="AX60" i="15"/>
  <c r="AK60" i="15"/>
  <c r="AB60" i="15"/>
  <c r="O60" i="15"/>
  <c r="DX59" i="15"/>
  <c r="DK59" i="15"/>
  <c r="CX59" i="15"/>
  <c r="CK59" i="15"/>
  <c r="BX59" i="15"/>
  <c r="BK59" i="15"/>
  <c r="AX59" i="15"/>
  <c r="AK59" i="15"/>
  <c r="AB59" i="15"/>
  <c r="O59" i="15"/>
  <c r="DX58" i="15"/>
  <c r="DK58" i="15"/>
  <c r="CX58" i="15"/>
  <c r="CK58" i="15"/>
  <c r="BX58" i="15"/>
  <c r="BK58" i="15"/>
  <c r="AX58" i="15"/>
  <c r="AK58" i="15"/>
  <c r="AB58" i="15"/>
  <c r="O58" i="15"/>
  <c r="DX57" i="15"/>
  <c r="DK57" i="15"/>
  <c r="CX57" i="15"/>
  <c r="CK57" i="15"/>
  <c r="BX57" i="15"/>
  <c r="BK57" i="15"/>
  <c r="AX57" i="15"/>
  <c r="AK57" i="15"/>
  <c r="AB57" i="15"/>
  <c r="O57" i="15"/>
  <c r="DX56" i="15"/>
  <c r="DK56" i="15"/>
  <c r="CX56" i="15"/>
  <c r="CK56" i="15"/>
  <c r="BX56" i="15"/>
  <c r="BK56" i="15"/>
  <c r="AX56" i="15"/>
  <c r="AK56" i="15"/>
  <c r="AB56" i="15"/>
  <c r="O56" i="15"/>
  <c r="DX55" i="15"/>
  <c r="DK55" i="15"/>
  <c r="CX55" i="15"/>
  <c r="CK55" i="15"/>
  <c r="BX55" i="15"/>
  <c r="BK55" i="15"/>
  <c r="AX55" i="15"/>
  <c r="AK55" i="15"/>
  <c r="AB55" i="15"/>
  <c r="DX54" i="15"/>
  <c r="DK54" i="15"/>
  <c r="CX54" i="15"/>
  <c r="CK54" i="15"/>
  <c r="BX54" i="15"/>
  <c r="BK54" i="15"/>
  <c r="AX54" i="15"/>
  <c r="AK54" i="15"/>
  <c r="AB54" i="15"/>
  <c r="O54" i="15"/>
  <c r="DX53" i="15"/>
  <c r="DK53" i="15"/>
  <c r="CX53" i="15"/>
  <c r="CK53" i="15"/>
  <c r="BX53" i="15"/>
  <c r="BK53" i="15"/>
  <c r="AX53" i="15"/>
  <c r="AK53" i="15"/>
  <c r="AB53" i="15"/>
  <c r="O53" i="15"/>
  <c r="DX52" i="15"/>
  <c r="DK52" i="15"/>
  <c r="CX52" i="15"/>
  <c r="CK52" i="15"/>
  <c r="BX52" i="15"/>
  <c r="BK52" i="15"/>
  <c r="AX52" i="15"/>
  <c r="AK52" i="15"/>
  <c r="AB52" i="15"/>
  <c r="O52" i="15"/>
  <c r="DX51" i="15"/>
  <c r="DK51" i="15"/>
  <c r="CX51" i="15"/>
  <c r="CK51" i="15"/>
  <c r="BX51" i="15"/>
  <c r="BK51" i="15"/>
  <c r="AX51" i="15"/>
  <c r="AK51" i="15"/>
  <c r="AB51" i="15"/>
  <c r="O51" i="15"/>
  <c r="DX50" i="15"/>
  <c r="DK50" i="15"/>
  <c r="CK50" i="15"/>
  <c r="BX50" i="15"/>
  <c r="BK50" i="15"/>
  <c r="AX50" i="15"/>
  <c r="AK50" i="15"/>
  <c r="AB50" i="15"/>
  <c r="O50" i="15"/>
  <c r="DX49" i="15"/>
  <c r="DK49" i="15"/>
  <c r="CK49" i="15"/>
  <c r="BX49" i="15"/>
  <c r="BK49" i="15"/>
  <c r="AX49" i="15"/>
  <c r="AK49" i="15"/>
  <c r="AB49" i="15"/>
  <c r="O49" i="15"/>
  <c r="DX48" i="15"/>
  <c r="DK48" i="15"/>
  <c r="CK48" i="15"/>
  <c r="BX48" i="15"/>
  <c r="BK48" i="15"/>
  <c r="AX48" i="15"/>
  <c r="AK48" i="15"/>
  <c r="AB48" i="15"/>
  <c r="O48" i="15"/>
  <c r="DX22" i="15"/>
  <c r="DK22" i="15"/>
  <c r="CK22" i="15"/>
  <c r="BX22" i="15"/>
  <c r="BK22" i="15"/>
  <c r="AX22" i="15"/>
  <c r="AK22" i="15"/>
  <c r="AB22" i="15"/>
  <c r="O22" i="15"/>
  <c r="DX21" i="15"/>
  <c r="DK21" i="15"/>
  <c r="CK21" i="15"/>
  <c r="BX21" i="15"/>
  <c r="BK21" i="15"/>
  <c r="AX21" i="15"/>
  <c r="AK21" i="15"/>
  <c r="AB21" i="15"/>
  <c r="O21" i="15"/>
  <c r="DX13" i="15"/>
  <c r="DK13" i="15"/>
  <c r="CX13" i="15"/>
  <c r="CK13" i="15"/>
  <c r="BX13" i="15"/>
  <c r="BK13" i="15"/>
  <c r="AX13" i="15"/>
  <c r="AK13" i="15"/>
  <c r="AB13" i="15"/>
  <c r="O13" i="15"/>
  <c r="DX12" i="15"/>
  <c r="DK12" i="15"/>
  <c r="CX12" i="15"/>
  <c r="CK12" i="15"/>
  <c r="BX12" i="15"/>
  <c r="BK12" i="15"/>
  <c r="AX12" i="15"/>
  <c r="AK12" i="15"/>
  <c r="AB12" i="15"/>
  <c r="O12" i="15"/>
  <c r="DX11" i="15"/>
  <c r="DK11" i="15"/>
  <c r="CK11" i="15"/>
  <c r="BX11" i="15"/>
  <c r="BK11" i="15"/>
  <c r="AX11" i="15"/>
  <c r="AK11" i="15"/>
  <c r="AB11" i="15"/>
  <c r="O11" i="15"/>
  <c r="DX10" i="15"/>
  <c r="DK10" i="15"/>
  <c r="CK10" i="15"/>
  <c r="BX10" i="15"/>
  <c r="BK10" i="15"/>
  <c r="AX10" i="15"/>
  <c r="AK10" i="15"/>
  <c r="AB10" i="15"/>
  <c r="O10" i="15"/>
  <c r="DX9" i="15"/>
  <c r="DK9" i="15"/>
  <c r="CK9" i="15"/>
  <c r="BX9" i="15"/>
  <c r="BK9" i="15"/>
  <c r="AX9" i="15"/>
  <c r="AK9" i="15"/>
  <c r="AB9" i="15"/>
  <c r="O9" i="15"/>
  <c r="DX8" i="15"/>
  <c r="DK8" i="15"/>
  <c r="CK8" i="15"/>
  <c r="BX8" i="15"/>
  <c r="BK8" i="15"/>
  <c r="AX8" i="15"/>
  <c r="AK8" i="15"/>
  <c r="AB8" i="15"/>
  <c r="O8" i="15"/>
  <c r="DX7" i="15"/>
  <c r="DK7" i="15"/>
  <c r="CX7" i="15"/>
  <c r="CK7" i="15"/>
  <c r="BX7" i="15"/>
  <c r="BK7" i="15"/>
  <c r="AX7" i="15"/>
  <c r="AK7" i="15"/>
  <c r="AB7" i="15"/>
  <c r="O7" i="15"/>
  <c r="DX6" i="15"/>
  <c r="DK6" i="15"/>
  <c r="CX6" i="15"/>
  <c r="CK6" i="15"/>
  <c r="BX6" i="15"/>
  <c r="BK6" i="15"/>
  <c r="AX6" i="15"/>
  <c r="AK6" i="15"/>
  <c r="AB6" i="15"/>
  <c r="O6" i="15"/>
  <c r="AK5" i="15"/>
  <c r="CJ4" i="15"/>
  <c r="CI4" i="15"/>
  <c r="CH4" i="15"/>
  <c r="CG4" i="15"/>
  <c r="CF4" i="15"/>
  <c r="CE4" i="15"/>
  <c r="CD4" i="15"/>
  <c r="CC4" i="15"/>
  <c r="CB4" i="15"/>
  <c r="CA4" i="15"/>
  <c r="BZ4" i="15"/>
  <c r="BY4" i="15"/>
  <c r="BW4" i="15"/>
  <c r="BV4" i="15"/>
  <c r="BU4" i="15"/>
  <c r="BT4" i="15"/>
  <c r="BS4" i="15"/>
  <c r="BR4" i="15"/>
  <c r="BQ4" i="15"/>
  <c r="BP4" i="15"/>
  <c r="BO4" i="15"/>
  <c r="BN4" i="15"/>
  <c r="BM4" i="15"/>
  <c r="BL4" i="15"/>
  <c r="BJ4" i="15"/>
  <c r="BI4" i="15"/>
  <c r="BH4" i="15"/>
  <c r="BG4" i="15"/>
  <c r="BF4" i="15"/>
  <c r="BE4" i="15"/>
  <c r="BD4" i="15"/>
  <c r="BC4" i="15"/>
  <c r="BB4" i="15"/>
  <c r="BA4" i="15"/>
  <c r="AZ4" i="15"/>
  <c r="AY4" i="15"/>
  <c r="AW4" i="15"/>
  <c r="AV4" i="15"/>
  <c r="AU4" i="15"/>
  <c r="AT4" i="15"/>
  <c r="AS4" i="15"/>
  <c r="AR4" i="15"/>
  <c r="AQ4" i="15"/>
  <c r="AP4" i="15"/>
  <c r="AO4" i="15"/>
  <c r="AN4" i="15"/>
  <c r="AM4" i="15"/>
  <c r="AL4" i="15"/>
  <c r="AJ4" i="15"/>
  <c r="AI4" i="15"/>
  <c r="AH4" i="15"/>
  <c r="AG4" i="15"/>
  <c r="AF4" i="15"/>
  <c r="AE4" i="15"/>
  <c r="AD4" i="15"/>
  <c r="AC4" i="15"/>
  <c r="AA4" i="15"/>
  <c r="Z4" i="15"/>
  <c r="Y4" i="15"/>
  <c r="X4" i="15"/>
  <c r="W4" i="15"/>
  <c r="V4" i="15"/>
  <c r="U4" i="15"/>
  <c r="T4" i="15"/>
  <c r="S4" i="15"/>
  <c r="R4" i="15"/>
  <c r="Q4" i="15"/>
  <c r="P4" i="15"/>
  <c r="DX84" i="14"/>
  <c r="DK84" i="14"/>
  <c r="CX84" i="14"/>
  <c r="CK84" i="14"/>
  <c r="BX84" i="14"/>
  <c r="BK84" i="14"/>
  <c r="AK84" i="14"/>
  <c r="AB84" i="14"/>
  <c r="DX83" i="14"/>
  <c r="DK83" i="14"/>
  <c r="CX83" i="14"/>
  <c r="CK83" i="14"/>
  <c r="BX83" i="14"/>
  <c r="BK83" i="14"/>
  <c r="AX83" i="14"/>
  <c r="AK83" i="14"/>
  <c r="AB83" i="14"/>
  <c r="O83" i="14"/>
  <c r="DX82" i="14"/>
  <c r="DK82" i="14"/>
  <c r="CX82" i="14"/>
  <c r="CK82" i="14"/>
  <c r="BX82" i="14"/>
  <c r="BK82" i="14"/>
  <c r="AX82" i="14"/>
  <c r="AK82" i="14"/>
  <c r="AB82" i="14"/>
  <c r="O82" i="14"/>
  <c r="DX81" i="14"/>
  <c r="DK81" i="14"/>
  <c r="CX81" i="14"/>
  <c r="CK81" i="14"/>
  <c r="BX81" i="14"/>
  <c r="O81" i="14"/>
  <c r="CX80" i="14"/>
  <c r="DX79" i="14"/>
  <c r="DK79" i="14"/>
  <c r="CX79" i="14"/>
  <c r="CK79" i="14"/>
  <c r="BX79" i="14"/>
  <c r="BK79" i="14"/>
  <c r="DX78" i="14"/>
  <c r="DK78" i="14"/>
  <c r="CX78" i="14"/>
  <c r="CK78" i="14"/>
  <c r="BX78" i="14"/>
  <c r="BK78" i="14"/>
  <c r="AX78" i="14"/>
  <c r="DX77" i="14"/>
  <c r="DK77" i="14"/>
  <c r="CX77" i="14"/>
  <c r="CK77" i="14"/>
  <c r="BX77" i="14"/>
  <c r="BK77" i="14"/>
  <c r="AX77" i="14"/>
  <c r="AK77" i="14"/>
  <c r="AB77" i="14"/>
  <c r="DX76" i="14"/>
  <c r="DK76" i="14"/>
  <c r="CX76" i="14"/>
  <c r="CK76" i="14"/>
  <c r="BX76" i="14"/>
  <c r="BK76" i="14"/>
  <c r="AX76" i="14"/>
  <c r="AK76" i="14"/>
  <c r="O76" i="14"/>
  <c r="DX75" i="14"/>
  <c r="DK75" i="14"/>
  <c r="CX75" i="14"/>
  <c r="CK75" i="14"/>
  <c r="BX75" i="14"/>
  <c r="BK75" i="14"/>
  <c r="AX75" i="14"/>
  <c r="AK75" i="14"/>
  <c r="O75" i="14"/>
  <c r="DX74" i="14"/>
  <c r="DK74" i="14"/>
  <c r="CX74" i="14"/>
  <c r="CK74" i="14"/>
  <c r="BX74" i="14"/>
  <c r="BK74" i="14"/>
  <c r="AX74" i="14"/>
  <c r="AK74" i="14"/>
  <c r="O74" i="14"/>
  <c r="DX73" i="14"/>
  <c r="DK73" i="14"/>
  <c r="CX73" i="14"/>
  <c r="CK73" i="14"/>
  <c r="BX73" i="14"/>
  <c r="BK73" i="14"/>
  <c r="AX73" i="14"/>
  <c r="AK73" i="14"/>
  <c r="AB73" i="14"/>
  <c r="O73" i="14"/>
  <c r="DX72" i="14"/>
  <c r="DK72" i="14"/>
  <c r="CX72" i="14"/>
  <c r="CK72" i="14"/>
  <c r="BL4" i="14"/>
  <c r="BK72" i="14"/>
  <c r="AS4" i="14"/>
  <c r="AK72" i="14"/>
  <c r="AB72" i="14"/>
  <c r="O72" i="14"/>
  <c r="DX71" i="14"/>
  <c r="DK71" i="14"/>
  <c r="CX71" i="14"/>
  <c r="CK71" i="14"/>
  <c r="BX71" i="14"/>
  <c r="BK71" i="14"/>
  <c r="AX71" i="14"/>
  <c r="AK71" i="14"/>
  <c r="AB71" i="14"/>
  <c r="O71" i="14"/>
  <c r="DX70" i="14"/>
  <c r="DK70" i="14"/>
  <c r="CX70" i="14"/>
  <c r="CK70" i="14"/>
  <c r="BX70" i="14"/>
  <c r="BK70" i="14"/>
  <c r="AX70" i="14"/>
  <c r="AK70" i="14"/>
  <c r="AB70" i="14"/>
  <c r="O70" i="14"/>
  <c r="DX69" i="14"/>
  <c r="DK69" i="14"/>
  <c r="CX69" i="14"/>
  <c r="CK69" i="14"/>
  <c r="BX69" i="14"/>
  <c r="BK69" i="14"/>
  <c r="AX69" i="14"/>
  <c r="AK69" i="14"/>
  <c r="AB69" i="14"/>
  <c r="O69" i="14"/>
  <c r="DX68" i="14"/>
  <c r="DK68" i="14"/>
  <c r="CX68" i="14"/>
  <c r="CK68" i="14"/>
  <c r="BX68" i="14"/>
  <c r="O68" i="14"/>
  <c r="DX67" i="14"/>
  <c r="DK67" i="14"/>
  <c r="CX67" i="14"/>
  <c r="CK67" i="14"/>
  <c r="BX67" i="14"/>
  <c r="BK67" i="14"/>
  <c r="AX67" i="14"/>
  <c r="AK67" i="14"/>
  <c r="AB67" i="14"/>
  <c r="DX66" i="14"/>
  <c r="DK66" i="14"/>
  <c r="CX66" i="14"/>
  <c r="CK66" i="14"/>
  <c r="BX66" i="14"/>
  <c r="BK66" i="14"/>
  <c r="AX66" i="14"/>
  <c r="AK66" i="14"/>
  <c r="AB66" i="14"/>
  <c r="O66" i="14"/>
  <c r="DX65" i="14"/>
  <c r="DK65" i="14"/>
  <c r="CX65" i="14"/>
  <c r="CK65" i="14"/>
  <c r="BX65" i="14"/>
  <c r="BK65" i="14"/>
  <c r="AX65" i="14"/>
  <c r="AK65" i="14"/>
  <c r="AB65" i="14"/>
  <c r="O65" i="14"/>
  <c r="DX64" i="14"/>
  <c r="DK64" i="14"/>
  <c r="CX64" i="14"/>
  <c r="CK64" i="14"/>
  <c r="BX64" i="14"/>
  <c r="BK64" i="14"/>
  <c r="AX64" i="14"/>
  <c r="AK64" i="14"/>
  <c r="AB64" i="14"/>
  <c r="O64" i="14"/>
  <c r="DX63" i="14"/>
  <c r="DK63" i="14"/>
  <c r="CX63" i="14"/>
  <c r="CK63" i="14"/>
  <c r="BX63" i="14"/>
  <c r="BK63" i="14"/>
  <c r="AX63" i="14"/>
  <c r="AK63" i="14"/>
  <c r="AB63" i="14"/>
  <c r="G63" i="14"/>
  <c r="O63" i="14" s="1"/>
  <c r="DX62" i="14"/>
  <c r="DK62" i="14"/>
  <c r="CX62" i="14"/>
  <c r="CK62" i="14"/>
  <c r="BX62" i="14"/>
  <c r="BK62" i="14"/>
  <c r="AX62" i="14"/>
  <c r="AK62" i="14"/>
  <c r="AB62" i="14"/>
  <c r="O62" i="14"/>
  <c r="DX61" i="14"/>
  <c r="DK61" i="14"/>
  <c r="CX61" i="14"/>
  <c r="CK61" i="14"/>
  <c r="BX61" i="14"/>
  <c r="BK61" i="14"/>
  <c r="AX61" i="14"/>
  <c r="AK61" i="14"/>
  <c r="AB61" i="14"/>
  <c r="O61" i="14"/>
  <c r="DX60" i="14"/>
  <c r="DK60" i="14"/>
  <c r="CX60" i="14"/>
  <c r="CK60" i="14"/>
  <c r="BX60" i="14"/>
  <c r="O60" i="14"/>
  <c r="CX59" i="14"/>
  <c r="CK59" i="14"/>
  <c r="DK58" i="14"/>
  <c r="CX58" i="14"/>
  <c r="CK58" i="14"/>
  <c r="DX57" i="14"/>
  <c r="DK57" i="14"/>
  <c r="CX57" i="14"/>
  <c r="CK57" i="14"/>
  <c r="BX57" i="14"/>
  <c r="BK57" i="14"/>
  <c r="AX57" i="14"/>
  <c r="AK57" i="14"/>
  <c r="DX56" i="14"/>
  <c r="DK56" i="14"/>
  <c r="CO4" i="14"/>
  <c r="S10" i="12" s="1"/>
  <c r="CX56" i="14"/>
  <c r="CJ4" i="14"/>
  <c r="CE4" i="14"/>
  <c r="CC4" i="14"/>
  <c r="CK56" i="14"/>
  <c r="BX56" i="14"/>
  <c r="BK56" i="14"/>
  <c r="AX56" i="14"/>
  <c r="AK56" i="14"/>
  <c r="DX55" i="14"/>
  <c r="DK55" i="14"/>
  <c r="CX55" i="14"/>
  <c r="CK55" i="14"/>
  <c r="BX55" i="14"/>
  <c r="BK55" i="14"/>
  <c r="AX55" i="14"/>
  <c r="AK55" i="14"/>
  <c r="DX54" i="14"/>
  <c r="DK54" i="14"/>
  <c r="CM4" i="14"/>
  <c r="Q10" i="12" s="1"/>
  <c r="CK54" i="14"/>
  <c r="BX54" i="14"/>
  <c r="BK54" i="14"/>
  <c r="AX54" i="14"/>
  <c r="AK54" i="14"/>
  <c r="DX53" i="14"/>
  <c r="DK53" i="14"/>
  <c r="CX53" i="14"/>
  <c r="CK53" i="14"/>
  <c r="BX53" i="14"/>
  <c r="BK53" i="14"/>
  <c r="AX53" i="14"/>
  <c r="AK53" i="14"/>
  <c r="DX52" i="14"/>
  <c r="DK52" i="14"/>
  <c r="CX52" i="14"/>
  <c r="CK52" i="14"/>
  <c r="BX52" i="14"/>
  <c r="BK52" i="14"/>
  <c r="AX52" i="14"/>
  <c r="AK52" i="14"/>
  <c r="DX51" i="14"/>
  <c r="DK51" i="14"/>
  <c r="CX51" i="14"/>
  <c r="CK51" i="14"/>
  <c r="BX51" i="14"/>
  <c r="BK51" i="14"/>
  <c r="AX51" i="14"/>
  <c r="AK51" i="14"/>
  <c r="DX50" i="14"/>
  <c r="DK50" i="14"/>
  <c r="CX50" i="14"/>
  <c r="CK50" i="14"/>
  <c r="BX50" i="14"/>
  <c r="BK50" i="14"/>
  <c r="AX50" i="14"/>
  <c r="AK50" i="14"/>
  <c r="DX49" i="14"/>
  <c r="DK49" i="14"/>
  <c r="CX49" i="14"/>
  <c r="CK49" i="14"/>
  <c r="BX49" i="14"/>
  <c r="BK49" i="14"/>
  <c r="AX49" i="14"/>
  <c r="AK49" i="14"/>
  <c r="DX48" i="14"/>
  <c r="DK48" i="14"/>
  <c r="CX48" i="14"/>
  <c r="CK48" i="14"/>
  <c r="BX48" i="14"/>
  <c r="BK48" i="14"/>
  <c r="AX48" i="14"/>
  <c r="AK48" i="14"/>
  <c r="DX47" i="14"/>
  <c r="DK47" i="14"/>
  <c r="CX47" i="14"/>
  <c r="CK47" i="14"/>
  <c r="BX47" i="14"/>
  <c r="BK47" i="14"/>
  <c r="AX47" i="14"/>
  <c r="AK47" i="14"/>
  <c r="DX46" i="14"/>
  <c r="DK46" i="14"/>
  <c r="CX46" i="14"/>
  <c r="CK46" i="14"/>
  <c r="BX46" i="14"/>
  <c r="BK46" i="14"/>
  <c r="AX46" i="14"/>
  <c r="AK46" i="14"/>
  <c r="DX45" i="14"/>
  <c r="DK45" i="14"/>
  <c r="CX45" i="14"/>
  <c r="CK45" i="14"/>
  <c r="BX45" i="14"/>
  <c r="BK45" i="14"/>
  <c r="AX45" i="14"/>
  <c r="AK45" i="14"/>
  <c r="DX44" i="14"/>
  <c r="DK44" i="14"/>
  <c r="CX44" i="14"/>
  <c r="CK44" i="14"/>
  <c r="BX44" i="14"/>
  <c r="BK44" i="14"/>
  <c r="AX44" i="14"/>
  <c r="AK44" i="14"/>
  <c r="O44" i="14"/>
  <c r="DX43" i="14"/>
  <c r="DK43" i="14"/>
  <c r="CX43" i="14"/>
  <c r="CK43" i="14"/>
  <c r="BX43" i="14"/>
  <c r="BK43" i="14"/>
  <c r="AX43" i="14"/>
  <c r="AK43" i="14"/>
  <c r="AB43" i="14"/>
  <c r="O43" i="14"/>
  <c r="DX42" i="14"/>
  <c r="DK42" i="14"/>
  <c r="CX42" i="14"/>
  <c r="CK42" i="14"/>
  <c r="BX42" i="14"/>
  <c r="BK42" i="14"/>
  <c r="AX42" i="14"/>
  <c r="AK42" i="14"/>
  <c r="AB42" i="14"/>
  <c r="O42" i="14"/>
  <c r="DX41" i="14"/>
  <c r="DK41" i="14"/>
  <c r="CX41" i="14"/>
  <c r="CK41" i="14"/>
  <c r="BQ4" i="14"/>
  <c r="BX41" i="14"/>
  <c r="BK41" i="14"/>
  <c r="AW4" i="14"/>
  <c r="AX41" i="14"/>
  <c r="AK41" i="14"/>
  <c r="AB41" i="14"/>
  <c r="O41" i="14"/>
  <c r="DX40" i="14"/>
  <c r="DK40" i="14"/>
  <c r="CX40" i="14"/>
  <c r="CK40" i="14"/>
  <c r="BX40" i="14"/>
  <c r="AZ4" i="14"/>
  <c r="AX40" i="14"/>
  <c r="AK40" i="14"/>
  <c r="AB40" i="14"/>
  <c r="O40" i="14"/>
  <c r="DX39" i="14"/>
  <c r="DK39" i="14"/>
  <c r="CN4" i="14"/>
  <c r="R10" i="12" s="1"/>
  <c r="CK39" i="14"/>
  <c r="BX39" i="14"/>
  <c r="BK39" i="14"/>
  <c r="AO4" i="14"/>
  <c r="AK39" i="14"/>
  <c r="AB39" i="14"/>
  <c r="O39" i="14"/>
  <c r="DX38" i="14"/>
  <c r="DK38" i="14"/>
  <c r="CX38" i="14"/>
  <c r="CK38" i="14"/>
  <c r="BX38" i="14"/>
  <c r="BK38" i="14"/>
  <c r="AX38" i="14"/>
  <c r="AK38" i="14"/>
  <c r="AB38" i="14"/>
  <c r="O38" i="14"/>
  <c r="DX37" i="14"/>
  <c r="DK37" i="14"/>
  <c r="CX37" i="14"/>
  <c r="CK37" i="14"/>
  <c r="BX37" i="14"/>
  <c r="BK37" i="14"/>
  <c r="AX37" i="14"/>
  <c r="AK37" i="14"/>
  <c r="Y4" i="14"/>
  <c r="O37" i="14"/>
  <c r="DX36" i="14"/>
  <c r="DK36" i="14"/>
  <c r="CX36" i="14"/>
  <c r="CK36" i="14"/>
  <c r="BX36" i="14"/>
  <c r="BK36" i="14"/>
  <c r="AX36" i="14"/>
  <c r="AK36" i="14"/>
  <c r="AB36" i="14"/>
  <c r="O36" i="14"/>
  <c r="DX35" i="14"/>
  <c r="DK35" i="14"/>
  <c r="CX35" i="14"/>
  <c r="CK35" i="14"/>
  <c r="BX35" i="14"/>
  <c r="BK35" i="14"/>
  <c r="AX35" i="14"/>
  <c r="AK35" i="14"/>
  <c r="AB35" i="14"/>
  <c r="O35" i="14"/>
  <c r="DX34" i="14"/>
  <c r="DK34" i="14"/>
  <c r="CX34" i="14"/>
  <c r="CK34" i="14"/>
  <c r="BX34" i="14"/>
  <c r="BK34" i="14"/>
  <c r="AX34" i="14"/>
  <c r="AK34" i="14"/>
  <c r="AB34" i="14"/>
  <c r="O34" i="14"/>
  <c r="DX33" i="14"/>
  <c r="DK33" i="14"/>
  <c r="CX33" i="14"/>
  <c r="CK33" i="14"/>
  <c r="BU4" i="14"/>
  <c r="BI4" i="14"/>
  <c r="AX33" i="14"/>
  <c r="AK33" i="14"/>
  <c r="AB33" i="14"/>
  <c r="DX32" i="14"/>
  <c r="DK32" i="14"/>
  <c r="CX32" i="14"/>
  <c r="CK32" i="14"/>
  <c r="BX32" i="14"/>
  <c r="BK32" i="14"/>
  <c r="AX32" i="14"/>
  <c r="AK32" i="14"/>
  <c r="AB32" i="14"/>
  <c r="DX31" i="14"/>
  <c r="DK31" i="14"/>
  <c r="CX31" i="14"/>
  <c r="CK31" i="14"/>
  <c r="BX31" i="14"/>
  <c r="BK31" i="14"/>
  <c r="AX31" i="14"/>
  <c r="AK31" i="14"/>
  <c r="AB31" i="14"/>
  <c r="O31" i="14"/>
  <c r="DX30" i="14"/>
  <c r="DK30" i="14"/>
  <c r="CX30" i="14"/>
  <c r="CG4" i="14"/>
  <c r="BX30" i="14"/>
  <c r="BK30" i="14"/>
  <c r="AX30" i="14"/>
  <c r="AK30" i="14"/>
  <c r="AB30" i="14"/>
  <c r="O30" i="14"/>
  <c r="DX29" i="14"/>
  <c r="DK29" i="14"/>
  <c r="DE4" i="14"/>
  <c r="AI10" i="12" s="1"/>
  <c r="CX29" i="14"/>
  <c r="CK29" i="14"/>
  <c r="BX29" i="14"/>
  <c r="BK29" i="14"/>
  <c r="AX29" i="14"/>
  <c r="AK29" i="14"/>
  <c r="AB29" i="14"/>
  <c r="O29" i="14"/>
  <c r="DX28" i="14"/>
  <c r="DK28" i="14"/>
  <c r="CX28" i="14"/>
  <c r="CK28" i="14"/>
  <c r="BX28" i="14"/>
  <c r="BH4" i="14"/>
  <c r="AX28" i="14"/>
  <c r="AI4" i="14"/>
  <c r="AB28" i="14"/>
  <c r="O28" i="14"/>
  <c r="DX27" i="14"/>
  <c r="DK27" i="14"/>
  <c r="CX27" i="14"/>
  <c r="CK27" i="14"/>
  <c r="BX27" i="14"/>
  <c r="BK27" i="14"/>
  <c r="AX27" i="14"/>
  <c r="AK27" i="14"/>
  <c r="AB27" i="14"/>
  <c r="O27" i="14"/>
  <c r="DX26" i="14"/>
  <c r="DK26" i="14"/>
  <c r="CX26" i="14"/>
  <c r="CK26" i="14"/>
  <c r="BX26" i="14"/>
  <c r="BK26" i="14"/>
  <c r="AX26" i="14"/>
  <c r="AK26" i="14"/>
  <c r="AB26" i="14"/>
  <c r="O26" i="14"/>
  <c r="DX25" i="14"/>
  <c r="DK25" i="14"/>
  <c r="CX25" i="14"/>
  <c r="CK25" i="14"/>
  <c r="BX25" i="14"/>
  <c r="BK25" i="14"/>
  <c r="AX25" i="14"/>
  <c r="AC4" i="14"/>
  <c r="AB25" i="14"/>
  <c r="O25" i="14"/>
  <c r="DX24" i="14"/>
  <c r="DK24" i="14"/>
  <c r="CX24" i="14"/>
  <c r="BY4" i="14"/>
  <c r="BX24" i="14"/>
  <c r="BK24" i="14"/>
  <c r="AX24" i="14"/>
  <c r="AK24" i="14"/>
  <c r="AB24" i="14"/>
  <c r="O24" i="14"/>
  <c r="DX23" i="14"/>
  <c r="DK23" i="14"/>
  <c r="CX23" i="14"/>
  <c r="CK23" i="14"/>
  <c r="BX23" i="14"/>
  <c r="BK23" i="14"/>
  <c r="AX23" i="14"/>
  <c r="AK23" i="14"/>
  <c r="AB23" i="14"/>
  <c r="O23" i="14"/>
  <c r="DX22" i="14"/>
  <c r="DK22" i="14"/>
  <c r="CX22" i="14"/>
  <c r="CK22" i="14"/>
  <c r="BX22" i="14"/>
  <c r="BK22" i="14"/>
  <c r="AX22" i="14"/>
  <c r="AK22" i="14"/>
  <c r="AB22" i="14"/>
  <c r="O22" i="14"/>
  <c r="DX21" i="14"/>
  <c r="DK21" i="14"/>
  <c r="CX21" i="14"/>
  <c r="CK21" i="14"/>
  <c r="BX21" i="14"/>
  <c r="BK21" i="14"/>
  <c r="AX21" i="14"/>
  <c r="AK21" i="14"/>
  <c r="AB21" i="14"/>
  <c r="O21" i="14"/>
  <c r="DX11" i="14"/>
  <c r="DK11" i="14"/>
  <c r="CK11" i="14"/>
  <c r="BX11" i="14"/>
  <c r="BK11" i="14"/>
  <c r="AX11" i="14"/>
  <c r="AK11" i="14"/>
  <c r="AB11" i="14"/>
  <c r="O11" i="14"/>
  <c r="DX10" i="14"/>
  <c r="DK10" i="14"/>
  <c r="CK10" i="14"/>
  <c r="BX10" i="14"/>
  <c r="BK10" i="14"/>
  <c r="AX10" i="14"/>
  <c r="AK10" i="14"/>
  <c r="AB10" i="14"/>
  <c r="O10" i="14"/>
  <c r="DX9" i="14"/>
  <c r="DK9" i="14"/>
  <c r="CK9" i="14"/>
  <c r="BX9" i="14"/>
  <c r="BF4" i="14"/>
  <c r="AX9" i="14"/>
  <c r="AK9" i="14"/>
  <c r="AB9" i="14"/>
  <c r="O9" i="14"/>
  <c r="DX8" i="14"/>
  <c r="DK8" i="14"/>
  <c r="CK8" i="14"/>
  <c r="BX8" i="14"/>
  <c r="BK8" i="14"/>
  <c r="AX8" i="14"/>
  <c r="AK8" i="14"/>
  <c r="AB8" i="14"/>
  <c r="O8" i="14"/>
  <c r="DX7" i="14"/>
  <c r="DK7" i="14"/>
  <c r="CX7" i="14"/>
  <c r="CK7" i="14"/>
  <c r="BP4" i="14"/>
  <c r="BK7" i="14"/>
  <c r="AX7" i="14"/>
  <c r="AK7" i="14"/>
  <c r="AB7" i="14"/>
  <c r="O7" i="14"/>
  <c r="DX6" i="14"/>
  <c r="DK6" i="14"/>
  <c r="CX6" i="14"/>
  <c r="CK6" i="14"/>
  <c r="BX6" i="14"/>
  <c r="BK6" i="14"/>
  <c r="AX6" i="14"/>
  <c r="AK6" i="14"/>
  <c r="AB6" i="14"/>
  <c r="O6" i="14"/>
  <c r="AK5" i="14"/>
  <c r="DW4" i="14"/>
  <c r="DV4" i="14"/>
  <c r="DU4" i="14"/>
  <c r="DT4" i="14"/>
  <c r="DS4" i="14"/>
  <c r="DR4" i="14"/>
  <c r="DQ4" i="14"/>
  <c r="DP4" i="14"/>
  <c r="DO4" i="14"/>
  <c r="DN4" i="14"/>
  <c r="DM4" i="14"/>
  <c r="DL4" i="14"/>
  <c r="DJ4" i="14"/>
  <c r="AN10" i="12" s="1"/>
  <c r="DI4" i="14"/>
  <c r="AM10" i="12" s="1"/>
  <c r="DH4" i="14"/>
  <c r="AL10" i="12" s="1"/>
  <c r="DG4" i="14"/>
  <c r="AK10" i="12" s="1"/>
  <c r="DF4" i="14"/>
  <c r="AJ10" i="12" s="1"/>
  <c r="DD4" i="14"/>
  <c r="AH10" i="12" s="1"/>
  <c r="DC4" i="14"/>
  <c r="AG10" i="12" s="1"/>
  <c r="DB4" i="14"/>
  <c r="AF10" i="12" s="1"/>
  <c r="DA4" i="14"/>
  <c r="AE10" i="12" s="1"/>
  <c r="CZ4" i="14"/>
  <c r="AD10" i="12" s="1"/>
  <c r="AC10" i="12"/>
  <c r="CW4" i="14"/>
  <c r="AA10" i="12" s="1"/>
  <c r="CV4" i="14"/>
  <c r="Z10" i="12" s="1"/>
  <c r="CU4" i="14"/>
  <c r="Y10" i="12" s="1"/>
  <c r="CT4" i="14"/>
  <c r="X10" i="12" s="1"/>
  <c r="T10" i="12"/>
  <c r="CL4" i="14"/>
  <c r="P10" i="12" s="1"/>
  <c r="CH4" i="14"/>
  <c r="CD4" i="14"/>
  <c r="CB4" i="14"/>
  <c r="BZ4" i="14"/>
  <c r="BW4" i="14"/>
  <c r="BV4" i="14"/>
  <c r="BT4" i="14"/>
  <c r="BR4" i="14"/>
  <c r="BO4" i="14"/>
  <c r="BN4" i="14"/>
  <c r="BJ4" i="14"/>
  <c r="BG4" i="14"/>
  <c r="BC4" i="14"/>
  <c r="BB4" i="14"/>
  <c r="AY4" i="14"/>
  <c r="AT4" i="14"/>
  <c r="AR4" i="14"/>
  <c r="AQ4" i="14"/>
  <c r="AP4" i="14"/>
  <c r="AN4" i="14"/>
  <c r="AM4" i="14"/>
  <c r="AL4" i="14"/>
  <c r="AJ4" i="14"/>
  <c r="AH4" i="14"/>
  <c r="AF4" i="14"/>
  <c r="AE4" i="14"/>
  <c r="AD4" i="14"/>
  <c r="AA4" i="14"/>
  <c r="Z4" i="14"/>
  <c r="W4" i="14"/>
  <c r="V4" i="14"/>
  <c r="U4" i="14"/>
  <c r="T4" i="14"/>
  <c r="S4" i="14"/>
  <c r="R4" i="14"/>
  <c r="Q4" i="14"/>
  <c r="P4" i="14"/>
  <c r="R13" i="12" l="1"/>
  <c r="T13" i="12"/>
  <c r="AH13" i="12"/>
  <c r="AD13" i="12"/>
  <c r="AK4" i="15"/>
  <c r="BK4" i="15"/>
  <c r="CK4" i="15"/>
  <c r="AO11" i="12"/>
  <c r="AF13" i="12"/>
  <c r="AN13" i="12"/>
  <c r="AX4" i="15"/>
  <c r="AL13" i="12"/>
  <c r="AB4" i="15"/>
  <c r="BX4" i="15"/>
  <c r="DK4" i="15"/>
  <c r="DX4" i="15"/>
  <c r="AJ13" i="12"/>
  <c r="AC13" i="12"/>
  <c r="AC14" i="12" s="1"/>
  <c r="AO10" i="12"/>
  <c r="AA13" i="12"/>
  <c r="DX4" i="14"/>
  <c r="Q13" i="12"/>
  <c r="X13" i="12"/>
  <c r="P13" i="12"/>
  <c r="P14" i="12" s="1"/>
  <c r="S13" i="12"/>
  <c r="AM13" i="12"/>
  <c r="AE13" i="12"/>
  <c r="Z13" i="12"/>
  <c r="AK13" i="12"/>
  <c r="AG13" i="12"/>
  <c r="Y13" i="12"/>
  <c r="AI13" i="12"/>
  <c r="AB11" i="12"/>
  <c r="CX4" i="15"/>
  <c r="DK4" i="14"/>
  <c r="AU4" i="14"/>
  <c r="BS4" i="14"/>
  <c r="CA4" i="14"/>
  <c r="CI4" i="14"/>
  <c r="CQ4" i="14"/>
  <c r="U10" i="12" s="1"/>
  <c r="BK9" i="14"/>
  <c r="AK25" i="14"/>
  <c r="AK28" i="14"/>
  <c r="BX33" i="14"/>
  <c r="AB37" i="14"/>
  <c r="CX54" i="14"/>
  <c r="BX72" i="14"/>
  <c r="X4" i="14"/>
  <c r="AB4" i="14" s="1"/>
  <c r="AV4" i="14"/>
  <c r="BD4" i="14"/>
  <c r="CR4" i="14"/>
  <c r="V10" i="12" s="1"/>
  <c r="V13" i="12" s="1"/>
  <c r="CK24" i="14"/>
  <c r="AX39" i="14"/>
  <c r="AG4" i="14"/>
  <c r="AK4" i="14" s="1"/>
  <c r="BE4" i="14"/>
  <c r="BM4" i="14"/>
  <c r="BX4" i="14" s="1"/>
  <c r="CS4" i="14"/>
  <c r="W10" i="12" s="1"/>
  <c r="W13" i="12" s="1"/>
  <c r="CK30" i="14"/>
  <c r="CX39" i="14"/>
  <c r="BX7" i="14"/>
  <c r="BK28" i="14"/>
  <c r="BK40" i="14"/>
  <c r="CF4" i="14"/>
  <c r="BK33" i="14"/>
  <c r="AX72" i="14"/>
  <c r="BA4" i="14"/>
  <c r="AO14" i="12" l="1"/>
  <c r="BK4" i="14"/>
  <c r="AD14" i="12"/>
  <c r="AE14" i="12" s="1"/>
  <c r="AF14" i="12" s="1"/>
  <c r="AG14" i="12" s="1"/>
  <c r="AH14" i="12" s="1"/>
  <c r="AI14" i="12" s="1"/>
  <c r="AJ14" i="12" s="1"/>
  <c r="AK14" i="12" s="1"/>
  <c r="AL14" i="12" s="1"/>
  <c r="AM14" i="12" s="1"/>
  <c r="AN14" i="12" s="1"/>
  <c r="Q14" i="12"/>
  <c r="R14" i="12" s="1"/>
  <c r="S14" i="12" s="1"/>
  <c r="T14" i="12" s="1"/>
  <c r="AB10" i="12"/>
  <c r="AB14" i="12" s="1"/>
  <c r="U13" i="12"/>
  <c r="CX4" i="14"/>
  <c r="CK4" i="14"/>
  <c r="AX4" i="14"/>
  <c r="U14" i="12" l="1"/>
  <c r="V14" i="12" s="1"/>
  <c r="W14" i="12" s="1"/>
  <c r="X14" i="12" s="1"/>
  <c r="Y14" i="12" s="1"/>
  <c r="Z14" i="12" s="1"/>
  <c r="AA14" i="12" s="1"/>
  <c r="CP8" i="8" l="1"/>
  <c r="CQ30" i="9" l="1"/>
  <c r="CQ51" i="9" s="1"/>
  <c r="CO8" i="8" l="1"/>
  <c r="CO27" i="8"/>
  <c r="CO15" i="8"/>
  <c r="CO51" i="8"/>
  <c r="CO49" i="8"/>
  <c r="CO34" i="8"/>
  <c r="CO33" i="8"/>
  <c r="CP23" i="8"/>
  <c r="G34" i="4" l="1"/>
  <c r="G33" i="4"/>
  <c r="CO16" i="8" l="1"/>
  <c r="S46" i="12"/>
  <c r="CO20" i="8"/>
  <c r="CO21" i="8"/>
  <c r="CO48" i="7"/>
  <c r="CO50" i="7"/>
  <c r="S49" i="12" l="1"/>
  <c r="S59" i="12" s="1"/>
  <c r="G49" i="4" l="1"/>
  <c r="G45" i="4" l="1"/>
  <c r="G25" i="4" l="1"/>
  <c r="G26" i="4"/>
  <c r="CP48" i="9"/>
  <c r="R49" i="12" l="1"/>
  <c r="CN27" i="8"/>
  <c r="CO25" i="11"/>
  <c r="CX25" i="11" s="1"/>
  <c r="CO25" i="8" l="1"/>
  <c r="G42" i="4" l="1"/>
  <c r="CP82" i="7"/>
  <c r="CP4" i="7" s="1"/>
  <c r="CX82" i="7" l="1"/>
  <c r="CX83" i="7"/>
  <c r="CP30" i="9"/>
  <c r="CP51" i="9" s="1"/>
  <c r="AE59" i="12" l="1"/>
  <c r="AD59" i="12"/>
  <c r="AN37" i="12"/>
  <c r="AM37" i="12"/>
  <c r="AL37" i="12"/>
  <c r="AK37" i="12"/>
  <c r="AJ37" i="12"/>
  <c r="AI37" i="12"/>
  <c r="AH37" i="12"/>
  <c r="AG37" i="12"/>
  <c r="AF37" i="12"/>
  <c r="AE37" i="12"/>
  <c r="AD37" i="12"/>
  <c r="AC37" i="12"/>
  <c r="CN84" i="7"/>
  <c r="CX84" i="7" s="1"/>
  <c r="CX36" i="8" l="1"/>
  <c r="CK36" i="8"/>
  <c r="BX36" i="8"/>
  <c r="CN15" i="8" l="1"/>
  <c r="CN9" i="8" l="1"/>
  <c r="CT25" i="10"/>
  <c r="CN49" i="8" l="1"/>
  <c r="CN34" i="8"/>
  <c r="CN16" i="11" l="1"/>
  <c r="CN50" i="7" l="1"/>
  <c r="CN31" i="7"/>
  <c r="CN4" i="7" l="1"/>
  <c r="R46" i="12"/>
  <c r="G48" i="4" l="1"/>
  <c r="CQ10" i="7"/>
  <c r="CN26" i="11" l="1"/>
  <c r="CX26" i="11" s="1"/>
  <c r="CO48" i="9"/>
  <c r="CY48" i="9" s="1"/>
  <c r="CK48" i="9" l="1"/>
  <c r="DW4" i="7" l="1"/>
  <c r="DV4" i="7"/>
  <c r="DU4" i="7"/>
  <c r="DT4" i="7"/>
  <c r="DS4" i="7"/>
  <c r="DR4" i="7"/>
  <c r="DQ4" i="7"/>
  <c r="DP4" i="7"/>
  <c r="DO4" i="7"/>
  <c r="DN4" i="7"/>
  <c r="DM4" i="7"/>
  <c r="DL4" i="7"/>
  <c r="DK50" i="7"/>
  <c r="DX87" i="7"/>
  <c r="DX86" i="7"/>
  <c r="DX84" i="7"/>
  <c r="DX83" i="7"/>
  <c r="DX81" i="7"/>
  <c r="DX80" i="7"/>
  <c r="DX79" i="7"/>
  <c r="DX78" i="7"/>
  <c r="DX77" i="7"/>
  <c r="DX76" i="7"/>
  <c r="DX75" i="7"/>
  <c r="DX74" i="7"/>
  <c r="DX73" i="7"/>
  <c r="DX72" i="7"/>
  <c r="DX71" i="7"/>
  <c r="DX70" i="7"/>
  <c r="DX68" i="7"/>
  <c r="DX67" i="7"/>
  <c r="DX66" i="7"/>
  <c r="DX65" i="7"/>
  <c r="DX64" i="7"/>
  <c r="DX63" i="7"/>
  <c r="DX49" i="7"/>
  <c r="DX48" i="7"/>
  <c r="DX47" i="7"/>
  <c r="DX46" i="7"/>
  <c r="DX45" i="7"/>
  <c r="DX44" i="7"/>
  <c r="DX43" i="7"/>
  <c r="DX42" i="7"/>
  <c r="DX41" i="7"/>
  <c r="DX40" i="7"/>
  <c r="DX39" i="7"/>
  <c r="DX38" i="7"/>
  <c r="DX37" i="7"/>
  <c r="DX36" i="7"/>
  <c r="DX35" i="7"/>
  <c r="DX34" i="7"/>
  <c r="DX33" i="7"/>
  <c r="DX32" i="7"/>
  <c r="DX31" i="7"/>
  <c r="DX30" i="7"/>
  <c r="DX29" i="7"/>
  <c r="DX28" i="7"/>
  <c r="DX27" i="7"/>
  <c r="DX26" i="7"/>
  <c r="DX25" i="7"/>
  <c r="DX24" i="7"/>
  <c r="DX23" i="7"/>
  <c r="DX22" i="7"/>
  <c r="DX21" i="7"/>
  <c r="DX20" i="7"/>
  <c r="DX19" i="7"/>
  <c r="DX18" i="7"/>
  <c r="DX17" i="7"/>
  <c r="DX16" i="7"/>
  <c r="DX15" i="7"/>
  <c r="DX14" i="7"/>
  <c r="DX13" i="7"/>
  <c r="DX12" i="7"/>
  <c r="DX11" i="7"/>
  <c r="DX10" i="7"/>
  <c r="DX9" i="7"/>
  <c r="DX8" i="7"/>
  <c r="DX7" i="7"/>
  <c r="DX6" i="7"/>
  <c r="DX4" i="7" l="1"/>
  <c r="CM27" i="8" l="1"/>
  <c r="CM26" i="8" l="1"/>
  <c r="CM34" i="8"/>
  <c r="CM23" i="11"/>
  <c r="CX23" i="11" s="1"/>
  <c r="CX50" i="7"/>
  <c r="CM46" i="7"/>
  <c r="Q46" i="12" l="1"/>
  <c r="Q49" i="12"/>
  <c r="CN16" i="8" l="1"/>
  <c r="G35" i="4" l="1"/>
  <c r="G23" i="4"/>
  <c r="Q56" i="12" l="1"/>
  <c r="CM51" i="8" l="1"/>
  <c r="CX51" i="8" s="1"/>
  <c r="CN32" i="9"/>
  <c r="CM16" i="11" l="1"/>
  <c r="BY40" i="9" l="1"/>
  <c r="CM16" i="8" l="1"/>
  <c r="CT20" i="9" l="1"/>
  <c r="CN20" i="9"/>
  <c r="CM49" i="8" l="1"/>
  <c r="CM19" i="11" l="1"/>
  <c r="CX19" i="11" s="1"/>
  <c r="CM9" i="8"/>
  <c r="CM76" i="7" l="1"/>
  <c r="CL27" i="8"/>
  <c r="CL16" i="11"/>
  <c r="CX16" i="11" s="1"/>
  <c r="CM22" i="11" l="1"/>
  <c r="CX22" i="11" s="1"/>
  <c r="CM48" i="7"/>
  <c r="CL76" i="7"/>
  <c r="CL48" i="7"/>
  <c r="CH48" i="7"/>
  <c r="CM8" i="8" l="1"/>
  <c r="CX37" i="8" l="1"/>
  <c r="DX55" i="8"/>
  <c r="DX54" i="8"/>
  <c r="DX52" i="8"/>
  <c r="DX29" i="8"/>
  <c r="DX28" i="8"/>
  <c r="DX27" i="8"/>
  <c r="DX26" i="8"/>
  <c r="DX25" i="8"/>
  <c r="DX24" i="8"/>
  <c r="DX23" i="8"/>
  <c r="DX22" i="8"/>
  <c r="DX21" i="8"/>
  <c r="DX20" i="8"/>
  <c r="DX19" i="8"/>
  <c r="DX18" i="8"/>
  <c r="DX17" i="8"/>
  <c r="DX16" i="8"/>
  <c r="DX15" i="8"/>
  <c r="DX14" i="8"/>
  <c r="DX13" i="8"/>
  <c r="DX12" i="8"/>
  <c r="DX11" i="8"/>
  <c r="DX10" i="8"/>
  <c r="DX9" i="8"/>
  <c r="DX8" i="8"/>
  <c r="DX7" i="8"/>
  <c r="DX6" i="8"/>
  <c r="DX4" i="8"/>
  <c r="CN38" i="9"/>
  <c r="CJ9" i="8"/>
  <c r="CJ28" i="8"/>
  <c r="CL15" i="8" l="1"/>
  <c r="P49" i="12"/>
  <c r="P46" i="12" l="1"/>
  <c r="P59" i="12" s="1"/>
  <c r="CL8" i="8" l="1"/>
  <c r="BZ19" i="11" l="1"/>
  <c r="CL34" i="8" l="1"/>
  <c r="CL49" i="8"/>
  <c r="CX49" i="8" s="1"/>
  <c r="CL16" i="8" l="1"/>
  <c r="CJ48" i="7" l="1"/>
  <c r="CJ27" i="8" l="1"/>
  <c r="CJ84" i="7"/>
  <c r="CJ16" i="11" l="1"/>
  <c r="N46" i="12"/>
  <c r="N49" i="12"/>
  <c r="N59" i="12" l="1"/>
  <c r="CJ15" i="8"/>
  <c r="CJ23" i="8"/>
  <c r="G3" i="4" l="1"/>
  <c r="G8" i="4"/>
  <c r="CJ45" i="9" l="1"/>
  <c r="CJ38" i="9" l="1"/>
  <c r="G7" i="4" l="1"/>
  <c r="CR51" i="9" l="1"/>
  <c r="CJ49" i="8" l="1"/>
  <c r="CJ34" i="8"/>
  <c r="CJ32" i="8"/>
  <c r="CJ51" i="8" l="1"/>
  <c r="CI27" i="8" l="1"/>
  <c r="CI16" i="8"/>
  <c r="CI6" i="10"/>
  <c r="CI38" i="9"/>
  <c r="CI34" i="8"/>
  <c r="CM8" i="7"/>
  <c r="M46" i="12"/>
  <c r="G19" i="4" l="1"/>
  <c r="CI32" i="8"/>
  <c r="CI16" i="11"/>
  <c r="CI84" i="7" l="1"/>
  <c r="M49" i="12" l="1"/>
  <c r="CI15" i="8" l="1"/>
  <c r="CI24" i="8" l="1"/>
  <c r="CK50" i="7" l="1"/>
  <c r="CI23" i="8" l="1"/>
  <c r="CI49" i="8"/>
  <c r="CI76" i="7"/>
  <c r="CH27" i="8"/>
  <c r="CI19" i="11" l="1"/>
  <c r="CK19" i="11" s="1"/>
  <c r="CH16" i="11"/>
  <c r="CH84" i="7" l="1"/>
  <c r="CI40" i="9" l="1"/>
  <c r="CH40" i="9" l="1"/>
  <c r="CH25" i="7" l="1"/>
  <c r="CH24" i="7"/>
  <c r="CH21" i="7"/>
  <c r="CH22" i="11" l="1"/>
  <c r="L46" i="12"/>
  <c r="L49" i="12" l="1"/>
  <c r="CM7" i="8"/>
  <c r="BV7" i="8"/>
  <c r="CD47" i="9" l="1"/>
  <c r="CH26" i="8" l="1"/>
  <c r="CE303" i="3" l="1"/>
  <c r="CD303" i="3"/>
  <c r="CC303" i="3"/>
  <c r="CB303" i="3"/>
  <c r="CA303" i="3"/>
  <c r="BZ303" i="3"/>
  <c r="BY303" i="3"/>
  <c r="BW303" i="3"/>
  <c r="BV303" i="3"/>
  <c r="BU303" i="3"/>
  <c r="BT303" i="3"/>
  <c r="BS303" i="3"/>
  <c r="BR303" i="3"/>
  <c r="CB26" i="11" l="1"/>
  <c r="CE26" i="11"/>
  <c r="CK26" i="11" l="1"/>
  <c r="CL37" i="9"/>
  <c r="CH7" i="10" l="1"/>
  <c r="CH51" i="8" l="1"/>
  <c r="CH34" i="8"/>
  <c r="CH49" i="8"/>
  <c r="CH20" i="9" l="1"/>
  <c r="CG27" i="8" l="1"/>
  <c r="CM19" i="8" l="1"/>
  <c r="CJ20" i="9" l="1"/>
  <c r="CY8" i="10" l="1"/>
  <c r="CH8" i="10"/>
  <c r="CK8" i="10" s="1"/>
  <c r="K46" i="12" l="1"/>
  <c r="J46" i="12"/>
  <c r="I46" i="12"/>
  <c r="H46" i="12"/>
  <c r="H59" i="12" s="1"/>
  <c r="CI20" i="9"/>
  <c r="CG38" i="9" l="1"/>
  <c r="DL31" i="9" l="1"/>
  <c r="CY31" i="9"/>
  <c r="CK31" i="9"/>
  <c r="BG31" i="9"/>
  <c r="AQ31" i="9"/>
  <c r="AB31" i="9"/>
  <c r="O31" i="9"/>
  <c r="CG16" i="11"/>
  <c r="CG50" i="9"/>
  <c r="CM50" i="9"/>
  <c r="CM25" i="8" l="1"/>
  <c r="CH25" i="8"/>
  <c r="CH8" i="8"/>
  <c r="CG8" i="8" l="1"/>
  <c r="CG42" i="7"/>
  <c r="CG37" i="7"/>
  <c r="CG84" i="7" l="1"/>
  <c r="K49" i="12" l="1"/>
  <c r="CG15" i="8"/>
  <c r="CG20" i="9"/>
  <c r="CG23" i="8"/>
  <c r="CG40" i="9" l="1"/>
  <c r="CG47" i="9"/>
  <c r="CM47" i="9"/>
  <c r="CG34" i="8" l="1"/>
  <c r="CG49" i="8" l="1"/>
  <c r="CG32" i="9"/>
  <c r="CF24" i="8" l="1"/>
  <c r="CF25" i="10"/>
  <c r="CE25" i="10"/>
  <c r="CE26" i="10" s="1"/>
  <c r="CF16" i="11"/>
  <c r="CK16" i="11" s="1"/>
  <c r="CF15" i="8"/>
  <c r="CF34" i="8"/>
  <c r="CF49" i="8"/>
  <c r="CF27" i="8"/>
  <c r="CF21" i="8"/>
  <c r="CF20" i="7"/>
  <c r="CF48" i="7"/>
  <c r="CF8" i="8" l="1"/>
  <c r="J49" i="12" l="1"/>
  <c r="CL25" i="10" l="1"/>
  <c r="BY4" i="11" l="1"/>
  <c r="C27" i="12" s="1"/>
  <c r="C29" i="12" s="1"/>
  <c r="C30" i="12" s="1"/>
  <c r="CF40" i="9"/>
  <c r="CJ20" i="10"/>
  <c r="CF20" i="10"/>
  <c r="CF26" i="10" s="1"/>
  <c r="CJ47" i="9"/>
  <c r="CE40" i="9" l="1"/>
  <c r="I36" i="12" l="1"/>
  <c r="I34" i="12"/>
  <c r="CJ18" i="8" l="1"/>
  <c r="CI18" i="8"/>
  <c r="CF51" i="8"/>
  <c r="FZ52" i="11"/>
  <c r="FZ60" i="11"/>
  <c r="FZ59" i="11"/>
  <c r="DA40" i="11" l="1"/>
  <c r="CE22" i="11"/>
  <c r="CE4" i="11" l="1"/>
  <c r="CK22" i="11"/>
  <c r="CE11" i="10"/>
  <c r="CF11" i="10"/>
  <c r="CE27" i="8" l="1"/>
  <c r="CE8" i="8"/>
  <c r="CE20" i="9"/>
  <c r="CI10" i="8"/>
  <c r="CE38" i="9"/>
  <c r="CF10" i="11"/>
  <c r="CF7" i="11"/>
  <c r="DA59" i="11" l="1"/>
  <c r="DA60" i="11"/>
  <c r="DA61" i="11"/>
  <c r="DA54" i="11"/>
  <c r="DA55" i="11"/>
  <c r="DA56" i="11"/>
  <c r="DA57" i="11"/>
  <c r="DA58" i="11"/>
  <c r="DA41" i="11"/>
  <c r="DA42" i="11"/>
  <c r="DA43" i="11"/>
  <c r="DA44" i="11"/>
  <c r="DA45" i="11"/>
  <c r="DA46" i="11"/>
  <c r="DA47" i="11"/>
  <c r="DA48" i="11"/>
  <c r="DA49" i="11"/>
  <c r="DA50" i="11"/>
  <c r="DA51" i="11"/>
  <c r="DA52" i="11"/>
  <c r="DA53" i="11"/>
  <c r="J59" i="12" l="1"/>
  <c r="K59" i="12"/>
  <c r="I49" i="12"/>
  <c r="I59" i="12" s="1"/>
  <c r="AA37" i="12" l="1"/>
  <c r="Z37" i="12"/>
  <c r="Y37" i="12"/>
  <c r="X37" i="12"/>
  <c r="W37" i="12"/>
  <c r="V37" i="12"/>
  <c r="U37" i="12"/>
  <c r="S37" i="12"/>
  <c r="R37" i="12"/>
  <c r="Q37" i="12"/>
  <c r="P37" i="12"/>
  <c r="I22" i="12"/>
  <c r="J22" i="12"/>
  <c r="DL25" i="10"/>
  <c r="DL24" i="10"/>
  <c r="DL23" i="10"/>
  <c r="DL19" i="10"/>
  <c r="DL18" i="10"/>
  <c r="DL9" i="10"/>
  <c r="DL7" i="10"/>
  <c r="CY25" i="10"/>
  <c r="CY24" i="10"/>
  <c r="CY23" i="10"/>
  <c r="CY22" i="10"/>
  <c r="CY20" i="10"/>
  <c r="CY19" i="10"/>
  <c r="CY18" i="10"/>
  <c r="CY16" i="10"/>
  <c r="CY15" i="10"/>
  <c r="CY9" i="10"/>
  <c r="CY7" i="10"/>
  <c r="CK16" i="10"/>
  <c r="CK18" i="10"/>
  <c r="CK19" i="10"/>
  <c r="CK20" i="10"/>
  <c r="CK24" i="10"/>
  <c r="CK15" i="10"/>
  <c r="CK7" i="10"/>
  <c r="CX35" i="11"/>
  <c r="CX10" i="11"/>
  <c r="CX9" i="11"/>
  <c r="CX8" i="11"/>
  <c r="CX7" i="11"/>
  <c r="CX6" i="11"/>
  <c r="CX5" i="11"/>
  <c r="DJ4" i="11"/>
  <c r="AN27" i="12" s="1"/>
  <c r="AN29" i="12" s="1"/>
  <c r="DI4" i="11"/>
  <c r="AM27" i="12" s="1"/>
  <c r="AM29" i="12" s="1"/>
  <c r="DH4" i="11"/>
  <c r="AL27" i="12" s="1"/>
  <c r="AL29" i="12" s="1"/>
  <c r="DG4" i="11"/>
  <c r="AK27" i="12" s="1"/>
  <c r="AK29" i="12" s="1"/>
  <c r="DF4" i="11"/>
  <c r="AJ27" i="12" s="1"/>
  <c r="AJ29" i="12" s="1"/>
  <c r="DE4" i="11"/>
  <c r="DD4" i="11"/>
  <c r="AH27" i="12" s="1"/>
  <c r="AH29" i="12" s="1"/>
  <c r="DC4" i="11"/>
  <c r="AG27" i="12" s="1"/>
  <c r="AG29" i="12" s="1"/>
  <c r="DB4" i="11"/>
  <c r="AF27" i="12" s="1"/>
  <c r="AF29" i="12" s="1"/>
  <c r="DA4" i="11"/>
  <c r="AE27" i="12" s="1"/>
  <c r="AE29" i="12" s="1"/>
  <c r="CZ4" i="11"/>
  <c r="AD27" i="12" s="1"/>
  <c r="AD29" i="12" s="1"/>
  <c r="AC27" i="12"/>
  <c r="CW4" i="11"/>
  <c r="AA27" i="12" s="1"/>
  <c r="AA29" i="12" s="1"/>
  <c r="CV4" i="11"/>
  <c r="Z27" i="12" s="1"/>
  <c r="Z29" i="12" s="1"/>
  <c r="CU4" i="11"/>
  <c r="Y27" i="12" s="1"/>
  <c r="Y29" i="12" s="1"/>
  <c r="CT4" i="11"/>
  <c r="X27" i="12" s="1"/>
  <c r="X29" i="12" s="1"/>
  <c r="CS4" i="11"/>
  <c r="W27" i="12" s="1"/>
  <c r="W29" i="12" s="1"/>
  <c r="CR4" i="11"/>
  <c r="V27" i="12" s="1"/>
  <c r="CQ4" i="11"/>
  <c r="U27" i="12" s="1"/>
  <c r="U29" i="12" s="1"/>
  <c r="CP4" i="11"/>
  <c r="T27" i="12" s="1"/>
  <c r="T29" i="12" s="1"/>
  <c r="CO4" i="11"/>
  <c r="S27" i="12" s="1"/>
  <c r="S29" i="12" s="1"/>
  <c r="CN4" i="11"/>
  <c r="R27" i="12" s="1"/>
  <c r="R29" i="12" s="1"/>
  <c r="CM4" i="11"/>
  <c r="Q27" i="12" s="1"/>
  <c r="Q29" i="12" s="1"/>
  <c r="CL4" i="11"/>
  <c r="CK6" i="11"/>
  <c r="CK7" i="11"/>
  <c r="CK8" i="11"/>
  <c r="CK9" i="11"/>
  <c r="CK10" i="11"/>
  <c r="CK11" i="11"/>
  <c r="CK27" i="11"/>
  <c r="CK28" i="11"/>
  <c r="CK35" i="11"/>
  <c r="BZ4" i="11"/>
  <c r="D27" i="12" s="1"/>
  <c r="D29" i="12" s="1"/>
  <c r="D30" i="12" s="1"/>
  <c r="CC4" i="11"/>
  <c r="G27" i="12" s="1"/>
  <c r="G29" i="12" s="1"/>
  <c r="CD4" i="11"/>
  <c r="H27" i="12" s="1"/>
  <c r="H29" i="12" s="1"/>
  <c r="I27" i="12"/>
  <c r="I29" i="12" s="1"/>
  <c r="CF4" i="11"/>
  <c r="J27" i="12" s="1"/>
  <c r="J29" i="12" s="1"/>
  <c r="CG4" i="11"/>
  <c r="K27" i="12" s="1"/>
  <c r="K29" i="12" s="1"/>
  <c r="CH4" i="11"/>
  <c r="L27" i="12" s="1"/>
  <c r="L29" i="12" s="1"/>
  <c r="CI4" i="11"/>
  <c r="M27" i="12" s="1"/>
  <c r="M29" i="12" s="1"/>
  <c r="CJ4" i="11"/>
  <c r="N27" i="12" s="1"/>
  <c r="N29" i="12" s="1"/>
  <c r="DK26" i="10"/>
  <c r="AN23" i="12" s="1"/>
  <c r="AM23" i="12"/>
  <c r="DI26" i="10"/>
  <c r="AL23" i="12" s="1"/>
  <c r="DH26" i="10"/>
  <c r="AK23" i="12" s="1"/>
  <c r="DG26" i="10"/>
  <c r="AI23" i="12"/>
  <c r="DE26" i="10"/>
  <c r="AH23" i="12" s="1"/>
  <c r="DD26" i="10"/>
  <c r="AG23" i="12" s="1"/>
  <c r="DC26" i="10"/>
  <c r="AF23" i="12" s="1"/>
  <c r="DB26" i="10"/>
  <c r="AE23" i="12" s="1"/>
  <c r="DA26" i="10"/>
  <c r="AD23" i="12" s="1"/>
  <c r="CZ26" i="10"/>
  <c r="AC23" i="12" s="1"/>
  <c r="AN22" i="12"/>
  <c r="AN25" i="12" s="1"/>
  <c r="AM22" i="12"/>
  <c r="AL22" i="12"/>
  <c r="AK22" i="12"/>
  <c r="AJ22" i="12"/>
  <c r="AH22" i="12"/>
  <c r="AG22" i="12"/>
  <c r="AF22" i="12"/>
  <c r="AE22" i="12"/>
  <c r="AD22" i="12"/>
  <c r="AC22" i="12"/>
  <c r="DL7" i="9"/>
  <c r="DL11" i="9" s="1"/>
  <c r="CY10" i="9"/>
  <c r="DL50" i="9"/>
  <c r="DL46" i="9"/>
  <c r="DL45" i="9"/>
  <c r="DL44" i="9"/>
  <c r="DL43" i="9"/>
  <c r="DL42" i="9"/>
  <c r="DL41" i="9"/>
  <c r="DL36" i="9"/>
  <c r="DL35" i="9"/>
  <c r="DL33" i="9"/>
  <c r="CY47" i="9"/>
  <c r="CY46" i="9"/>
  <c r="CY45" i="9"/>
  <c r="CY44" i="9"/>
  <c r="CY43" i="9"/>
  <c r="CY42" i="9"/>
  <c r="CY41" i="9"/>
  <c r="CY36" i="9"/>
  <c r="DK51" i="9"/>
  <c r="DJ51" i="9"/>
  <c r="DI51" i="9"/>
  <c r="DH51" i="9"/>
  <c r="DF51" i="9"/>
  <c r="DE51" i="9"/>
  <c r="DC51" i="9"/>
  <c r="DB51" i="9"/>
  <c r="DD51" i="9"/>
  <c r="DA51" i="9"/>
  <c r="CZ30" i="9"/>
  <c r="CZ51" i="9" s="1"/>
  <c r="DK25" i="9"/>
  <c r="DJ25" i="9"/>
  <c r="DI25" i="9"/>
  <c r="DH25" i="9"/>
  <c r="DG25" i="9"/>
  <c r="DF25" i="9"/>
  <c r="DE25" i="9"/>
  <c r="DD25" i="9"/>
  <c r="DC25" i="9"/>
  <c r="DB25" i="9"/>
  <c r="DA25" i="9"/>
  <c r="CZ25" i="9"/>
  <c r="DK11" i="9"/>
  <c r="DJ11" i="9"/>
  <c r="DI11" i="9"/>
  <c r="DH11" i="9"/>
  <c r="DG11" i="9"/>
  <c r="DF11" i="9"/>
  <c r="AI16" i="12" s="1"/>
  <c r="DE11" i="9"/>
  <c r="AH16" i="12" s="1"/>
  <c r="DD11" i="9"/>
  <c r="DC11" i="9"/>
  <c r="DB11" i="9"/>
  <c r="DA11" i="9"/>
  <c r="CZ11" i="9"/>
  <c r="CZ53" i="9" s="1"/>
  <c r="DK7" i="8"/>
  <c r="DK8" i="8"/>
  <c r="DK11" i="8"/>
  <c r="DK12" i="8"/>
  <c r="DK13" i="8"/>
  <c r="DK14" i="8"/>
  <c r="DK15" i="8"/>
  <c r="DK16" i="8"/>
  <c r="DK17" i="8"/>
  <c r="DK18" i="8"/>
  <c r="DK19" i="8"/>
  <c r="DK20" i="8"/>
  <c r="DK21" i="8"/>
  <c r="DK22" i="8"/>
  <c r="DK23" i="8"/>
  <c r="DK26" i="8"/>
  <c r="DK27" i="8"/>
  <c r="DK28" i="8"/>
  <c r="DK29" i="8"/>
  <c r="DK30" i="8"/>
  <c r="DK31" i="8"/>
  <c r="DK32" i="8"/>
  <c r="DK33" i="8"/>
  <c r="DK39" i="8"/>
  <c r="DK40" i="8"/>
  <c r="DK54" i="8"/>
  <c r="DK55" i="8"/>
  <c r="CX7" i="8"/>
  <c r="CX8" i="8"/>
  <c r="CX11" i="8"/>
  <c r="CX12" i="8"/>
  <c r="CX13" i="8"/>
  <c r="CX14" i="8"/>
  <c r="CX15" i="8"/>
  <c r="CX16" i="8"/>
  <c r="CX17" i="8"/>
  <c r="CX18" i="8"/>
  <c r="CX19" i="8"/>
  <c r="CX20" i="8"/>
  <c r="CX22" i="8"/>
  <c r="CX23" i="8"/>
  <c r="CX27" i="8"/>
  <c r="CX29" i="8"/>
  <c r="CX30" i="8"/>
  <c r="CX31" i="8"/>
  <c r="CX32" i="8"/>
  <c r="CX34" i="8"/>
  <c r="CX35" i="8"/>
  <c r="CX38" i="8"/>
  <c r="CX39" i="8"/>
  <c r="CX54" i="8"/>
  <c r="CX55" i="8"/>
  <c r="CX6" i="8"/>
  <c r="CK11" i="8"/>
  <c r="CK12" i="8"/>
  <c r="CK13" i="8"/>
  <c r="CK14" i="8"/>
  <c r="CK17" i="8"/>
  <c r="CK22" i="8"/>
  <c r="CK28" i="8"/>
  <c r="CX28" i="8" s="1"/>
  <c r="CK30" i="8"/>
  <c r="CK31" i="8"/>
  <c r="CK32" i="8"/>
  <c r="CK35" i="8"/>
  <c r="CK38" i="8"/>
  <c r="CK39" i="8"/>
  <c r="CK40" i="8"/>
  <c r="CK43" i="8"/>
  <c r="CK47" i="8"/>
  <c r="CK48" i="8"/>
  <c r="CK52" i="8"/>
  <c r="CK54" i="8"/>
  <c r="CK55" i="8"/>
  <c r="CK56" i="8"/>
  <c r="DJ4" i="7"/>
  <c r="AN4" i="12" s="1"/>
  <c r="DI4" i="7"/>
  <c r="AM4" i="12" s="1"/>
  <c r="DH4" i="7"/>
  <c r="AL4" i="12" s="1"/>
  <c r="DG4" i="7"/>
  <c r="AK4" i="12" s="1"/>
  <c r="DD4" i="7"/>
  <c r="AH4" i="12" s="1"/>
  <c r="DB4" i="7"/>
  <c r="AF4" i="12" s="1"/>
  <c r="CZ4" i="7"/>
  <c r="AD4" i="12" s="1"/>
  <c r="CX22" i="7"/>
  <c r="CX7" i="7"/>
  <c r="CX8" i="7"/>
  <c r="CX9" i="7"/>
  <c r="CX10" i="7"/>
  <c r="CX11" i="7"/>
  <c r="CX12" i="7"/>
  <c r="CX13" i="7"/>
  <c r="CX14" i="7"/>
  <c r="CX15" i="7"/>
  <c r="CX16" i="7"/>
  <c r="CX17" i="7"/>
  <c r="CX18" i="7"/>
  <c r="CX19" i="7"/>
  <c r="CX20" i="7"/>
  <c r="CX23" i="7"/>
  <c r="CX25" i="7"/>
  <c r="CX26" i="7"/>
  <c r="CX27" i="7"/>
  <c r="CX28" i="7"/>
  <c r="CX29" i="7"/>
  <c r="CX30" i="7"/>
  <c r="CX31" i="7"/>
  <c r="CX32" i="7"/>
  <c r="CX33" i="7"/>
  <c r="CX34" i="7"/>
  <c r="CX35" i="7"/>
  <c r="CX36" i="7"/>
  <c r="CX39" i="7"/>
  <c r="CX40" i="7"/>
  <c r="CX41" i="7"/>
  <c r="CX43" i="7"/>
  <c r="CX44" i="7"/>
  <c r="CX45" i="7"/>
  <c r="CX46" i="7"/>
  <c r="CX47" i="7"/>
  <c r="CX61" i="7"/>
  <c r="CX62" i="7"/>
  <c r="CX63" i="7"/>
  <c r="CX64" i="7"/>
  <c r="CX65" i="7"/>
  <c r="CX66" i="7"/>
  <c r="CX67" i="7"/>
  <c r="CX68" i="7"/>
  <c r="CX70" i="7"/>
  <c r="CX71" i="7"/>
  <c r="CX72" i="7"/>
  <c r="CX73" i="7"/>
  <c r="CX74" i="7"/>
  <c r="CX75" i="7"/>
  <c r="CX76" i="7"/>
  <c r="CX77" i="7"/>
  <c r="CX78" i="7"/>
  <c r="CX79" i="7"/>
  <c r="CX80" i="7"/>
  <c r="CX81" i="7"/>
  <c r="CX86" i="7"/>
  <c r="CX87" i="7"/>
  <c r="CQ4" i="7"/>
  <c r="U4" i="12" s="1"/>
  <c r="CT4" i="7"/>
  <c r="X4" i="12" s="1"/>
  <c r="Y4" i="12"/>
  <c r="CV4" i="7"/>
  <c r="Z4" i="12" s="1"/>
  <c r="CW4" i="7"/>
  <c r="AA4" i="12" s="1"/>
  <c r="CE47" i="9"/>
  <c r="CY26" i="10" l="1"/>
  <c r="DL51" i="9"/>
  <c r="DL52" i="9" s="1"/>
  <c r="AK25" i="12"/>
  <c r="AF25" i="12"/>
  <c r="AG25" i="12"/>
  <c r="AI27" i="12"/>
  <c r="AI29" i="12" s="1"/>
  <c r="DK4" i="11"/>
  <c r="DK36" i="11" s="1"/>
  <c r="AM25" i="12"/>
  <c r="DL26" i="10"/>
  <c r="DL27" i="10" s="1"/>
  <c r="AI22" i="12"/>
  <c r="AI25" i="12" s="1"/>
  <c r="DL12" i="10"/>
  <c r="AJ23" i="12"/>
  <c r="AJ25" i="12" s="1"/>
  <c r="AL25" i="12"/>
  <c r="P27" i="12"/>
  <c r="P29" i="12" s="1"/>
  <c r="AH25" i="12"/>
  <c r="AN17" i="12"/>
  <c r="AH17" i="12"/>
  <c r="AH19" i="12" s="1"/>
  <c r="AD25" i="12"/>
  <c r="AE25" i="12"/>
  <c r="AC25" i="12"/>
  <c r="AC26" i="12" s="1"/>
  <c r="AF17" i="12"/>
  <c r="AG17" i="12"/>
  <c r="AM17" i="12"/>
  <c r="AK17" i="12"/>
  <c r="AI17" i="12"/>
  <c r="AI19" i="12" s="1"/>
  <c r="AJ17" i="12"/>
  <c r="AD17" i="12"/>
  <c r="AL17" i="12"/>
  <c r="CZ26" i="9"/>
  <c r="CZ27" i="9" s="1"/>
  <c r="AC16" i="12"/>
  <c r="DD26" i="9"/>
  <c r="AG16" i="12"/>
  <c r="DH26" i="9"/>
  <c r="AK16" i="12"/>
  <c r="DG53" i="9"/>
  <c r="AJ16" i="12"/>
  <c r="DA26" i="9"/>
  <c r="DA27" i="9" s="1"/>
  <c r="AD16" i="12"/>
  <c r="DI53" i="9"/>
  <c r="AL16" i="12"/>
  <c r="DC26" i="9"/>
  <c r="AF16" i="12"/>
  <c r="DK53" i="9"/>
  <c r="AN16" i="12"/>
  <c r="DB26" i="9"/>
  <c r="AE16" i="12"/>
  <c r="DJ53" i="9"/>
  <c r="AM16" i="12"/>
  <c r="AE17" i="12"/>
  <c r="AC29" i="12"/>
  <c r="DE26" i="9"/>
  <c r="DI26" i="9"/>
  <c r="DH53" i="9"/>
  <c r="DC53" i="9"/>
  <c r="DF26" i="9"/>
  <c r="DJ26" i="9"/>
  <c r="DA53" i="9"/>
  <c r="CZ54" i="9"/>
  <c r="DG26" i="9"/>
  <c r="DK26" i="9"/>
  <c r="DD53" i="9"/>
  <c r="DE53" i="9"/>
  <c r="DB53" i="9"/>
  <c r="DF53" i="9"/>
  <c r="V29" i="12"/>
  <c r="CX4" i="11"/>
  <c r="CX36" i="11" s="1"/>
  <c r="N37" i="12"/>
  <c r="M37" i="12"/>
  <c r="L37" i="12"/>
  <c r="K37" i="12"/>
  <c r="J37" i="12"/>
  <c r="I37" i="12"/>
  <c r="H37" i="12"/>
  <c r="G37" i="12"/>
  <c r="F37" i="12"/>
  <c r="E37" i="12"/>
  <c r="D37" i="12"/>
  <c r="C37" i="12"/>
  <c r="AB27" i="12" l="1"/>
  <c r="AB30" i="12" s="1"/>
  <c r="AO27" i="12"/>
  <c r="AO30" i="12" s="1"/>
  <c r="AO22" i="12"/>
  <c r="AO23" i="12"/>
  <c r="P30" i="12"/>
  <c r="Q30" i="12" s="1"/>
  <c r="R30" i="12" s="1"/>
  <c r="S30" i="12" s="1"/>
  <c r="T30" i="12" s="1"/>
  <c r="U30" i="12" s="1"/>
  <c r="V30" i="12" s="1"/>
  <c r="W30" i="12" s="1"/>
  <c r="X30" i="12" s="1"/>
  <c r="Y30" i="12" s="1"/>
  <c r="Z30" i="12" s="1"/>
  <c r="AA30" i="12" s="1"/>
  <c r="AC30" i="12"/>
  <c r="AD30" i="12" s="1"/>
  <c r="AE30" i="12" s="1"/>
  <c r="AF30" i="12" s="1"/>
  <c r="AG30" i="12" s="1"/>
  <c r="AH30" i="12" s="1"/>
  <c r="AI30" i="12" s="1"/>
  <c r="AJ30" i="12" s="1"/>
  <c r="AK30" i="12" s="1"/>
  <c r="AL30" i="12" s="1"/>
  <c r="AM30" i="12" s="1"/>
  <c r="AN30" i="12" s="1"/>
  <c r="AN19" i="12"/>
  <c r="AC4" i="12"/>
  <c r="AD26" i="12"/>
  <c r="AE26" i="12" s="1"/>
  <c r="AF26" i="12" s="1"/>
  <c r="AG26" i="12" s="1"/>
  <c r="AH26" i="12" s="1"/>
  <c r="AI26" i="12" s="1"/>
  <c r="AJ26" i="12" s="1"/>
  <c r="AK26" i="12" s="1"/>
  <c r="AL26" i="12" s="1"/>
  <c r="AM26" i="12" s="1"/>
  <c r="AN26" i="12" s="1"/>
  <c r="DB27" i="9"/>
  <c r="DC27" i="9" s="1"/>
  <c r="DD27" i="9" s="1"/>
  <c r="DE27" i="9" s="1"/>
  <c r="DF27" i="9" s="1"/>
  <c r="DG27" i="9" s="1"/>
  <c r="DH27" i="9" s="1"/>
  <c r="DI27" i="9" s="1"/>
  <c r="DJ27" i="9" s="1"/>
  <c r="DK27" i="9" s="1"/>
  <c r="AF19" i="12"/>
  <c r="AG19" i="12"/>
  <c r="AM19" i="12"/>
  <c r="AD19" i="12"/>
  <c r="AJ19" i="12"/>
  <c r="AL19" i="12"/>
  <c r="AK19" i="12"/>
  <c r="AE19" i="12"/>
  <c r="AO16" i="12"/>
  <c r="AC17" i="12"/>
  <c r="AO17" i="12" s="1"/>
  <c r="DA54" i="9"/>
  <c r="DB54" i="9" s="1"/>
  <c r="DC54" i="9" s="1"/>
  <c r="DD54" i="9" s="1"/>
  <c r="DE54" i="9" s="1"/>
  <c r="DF54" i="9" s="1"/>
  <c r="DG54" i="9" s="1"/>
  <c r="DH54" i="9" s="1"/>
  <c r="DI54" i="9" s="1"/>
  <c r="DJ54" i="9" s="1"/>
  <c r="DK54" i="9" s="1"/>
  <c r="CB33" i="11"/>
  <c r="CB4" i="11" s="1"/>
  <c r="F27" i="12" s="1"/>
  <c r="F29" i="12" s="1"/>
  <c r="CA33" i="11"/>
  <c r="CF237" i="3"/>
  <c r="CD237" i="3"/>
  <c r="CB40" i="9"/>
  <c r="AU5" i="11"/>
  <c r="AT5" i="11"/>
  <c r="AS5" i="11"/>
  <c r="AR5" i="11"/>
  <c r="AQ5" i="11"/>
  <c r="AP5" i="11"/>
  <c r="AO5" i="11"/>
  <c r="AN5" i="11"/>
  <c r="AM5" i="11"/>
  <c r="AL5" i="11"/>
  <c r="AJ5" i="11"/>
  <c r="AI5" i="11"/>
  <c r="AH5" i="11"/>
  <c r="AG5" i="11"/>
  <c r="AB5" i="11"/>
  <c r="CM26" i="10"/>
  <c r="P23" i="12" s="1"/>
  <c r="CJ26" i="10"/>
  <c r="N23" i="12" s="1"/>
  <c r="CI26" i="10"/>
  <c r="M23" i="12" s="1"/>
  <c r="CG26" i="10"/>
  <c r="K23" i="12" s="1"/>
  <c r="I23" i="12"/>
  <c r="I25" i="12" s="1"/>
  <c r="BY26" i="10"/>
  <c r="C23" i="12" s="1"/>
  <c r="CX11" i="10"/>
  <c r="AA22" i="12" s="1"/>
  <c r="CW11" i="10"/>
  <c r="Z22" i="12" s="1"/>
  <c r="CV11" i="10"/>
  <c r="Y22" i="12" s="1"/>
  <c r="CU11" i="10"/>
  <c r="X22" i="12" s="1"/>
  <c r="CT11" i="10"/>
  <c r="W22" i="12" s="1"/>
  <c r="CS11" i="10"/>
  <c r="V22" i="12" s="1"/>
  <c r="CR11" i="10"/>
  <c r="U22" i="12" s="1"/>
  <c r="T22" i="12"/>
  <c r="CP11" i="10"/>
  <c r="S22" i="12" s="1"/>
  <c r="CO11" i="10"/>
  <c r="R22" i="12" s="1"/>
  <c r="CN11" i="10"/>
  <c r="Q22" i="12" s="1"/>
  <c r="CJ11" i="10"/>
  <c r="N22" i="12" s="1"/>
  <c r="CI11" i="10"/>
  <c r="M22" i="12" s="1"/>
  <c r="CG11" i="10"/>
  <c r="K22" i="12" s="1"/>
  <c r="BZ11" i="10"/>
  <c r="D22" i="12" s="1"/>
  <c r="BY11" i="10"/>
  <c r="BW11" i="10"/>
  <c r="BQ11" i="10"/>
  <c r="CA40" i="10"/>
  <c r="CD25" i="10"/>
  <c r="CC25" i="10"/>
  <c r="CB25" i="10"/>
  <c r="BZ25" i="10"/>
  <c r="CD23" i="10"/>
  <c r="CC23" i="10"/>
  <c r="CB23" i="10"/>
  <c r="CB26" i="10" s="1"/>
  <c r="F23" i="12" s="1"/>
  <c r="CH26" i="10"/>
  <c r="L23" i="12" s="1"/>
  <c r="CD22" i="10"/>
  <c r="CD26" i="10" s="1"/>
  <c r="H23" i="12" s="1"/>
  <c r="CA22" i="10"/>
  <c r="CC17" i="10"/>
  <c r="CA17" i="10"/>
  <c r="CD9" i="10"/>
  <c r="CK9" i="10" s="1"/>
  <c r="BR9" i="10"/>
  <c r="BL7" i="10"/>
  <c r="BJ7" i="10"/>
  <c r="BC7" i="10"/>
  <c r="CY6" i="10"/>
  <c r="CH6" i="10"/>
  <c r="CH11" i="10" s="1"/>
  <c r="L22" i="12" s="1"/>
  <c r="CD6" i="10"/>
  <c r="CC6" i="10"/>
  <c r="CC11" i="10" s="1"/>
  <c r="G22" i="12" s="1"/>
  <c r="CB6" i="10"/>
  <c r="CB11" i="10" s="1"/>
  <c r="F22" i="12" s="1"/>
  <c r="CA6" i="10"/>
  <c r="CA11" i="10" s="1"/>
  <c r="E22" i="12" s="1"/>
  <c r="BV6" i="10"/>
  <c r="BV11" i="10" s="1"/>
  <c r="BU6" i="10"/>
  <c r="BU11" i="10" s="1"/>
  <c r="BT6" i="10"/>
  <c r="BT11" i="10" s="1"/>
  <c r="BS6" i="10"/>
  <c r="BS11" i="10" s="1"/>
  <c r="BR6" i="10"/>
  <c r="BP6" i="10"/>
  <c r="BP11" i="10" s="1"/>
  <c r="BO6" i="10"/>
  <c r="BO11" i="10" s="1"/>
  <c r="BN6" i="10"/>
  <c r="BN11" i="10" s="1"/>
  <c r="BM6" i="10"/>
  <c r="BM11" i="10" s="1"/>
  <c r="BL6" i="10"/>
  <c r="AV6" i="10"/>
  <c r="AV11" i="10" s="1"/>
  <c r="AW11" i="10" s="1"/>
  <c r="CK8" i="9"/>
  <c r="CU51" i="9"/>
  <c r="CK43" i="9"/>
  <c r="CK42" i="9"/>
  <c r="CK41" i="9"/>
  <c r="CE51" i="9"/>
  <c r="CX11" i="9"/>
  <c r="AA16" i="12" s="1"/>
  <c r="CW11" i="9"/>
  <c r="CV11" i="9"/>
  <c r="CU11" i="9"/>
  <c r="CT11" i="9"/>
  <c r="CS11" i="9"/>
  <c r="CR11" i="9"/>
  <c r="CQ11" i="9"/>
  <c r="CP11" i="9"/>
  <c r="CO11" i="9"/>
  <c r="CN11" i="9"/>
  <c r="CM11" i="9"/>
  <c r="CX25" i="9"/>
  <c r="CW25" i="9"/>
  <c r="CV25" i="9"/>
  <c r="CU25" i="9"/>
  <c r="CT25" i="9"/>
  <c r="CS25" i="9"/>
  <c r="CR25" i="9"/>
  <c r="CQ25" i="9"/>
  <c r="CP25" i="9"/>
  <c r="CO25" i="9"/>
  <c r="CN25" i="9"/>
  <c r="CM25" i="9"/>
  <c r="CK15" i="9"/>
  <c r="CK18" i="9"/>
  <c r="CK23" i="9"/>
  <c r="CJ25" i="9"/>
  <c r="CC50" i="9"/>
  <c r="CL49" i="9"/>
  <c r="CY49" i="9"/>
  <c r="BZ49" i="9"/>
  <c r="CL47" i="9"/>
  <c r="CI47" i="9"/>
  <c r="CI51" i="9" s="1"/>
  <c r="CC47" i="9"/>
  <c r="CB47" i="9"/>
  <c r="BZ47" i="9"/>
  <c r="BY47" i="9"/>
  <c r="BZ46" i="9"/>
  <c r="CK46" i="9" s="1"/>
  <c r="CC45" i="9"/>
  <c r="CB45" i="9"/>
  <c r="CA45" i="9"/>
  <c r="BY45" i="9"/>
  <c r="BZ44" i="9"/>
  <c r="CK44" i="9" s="1"/>
  <c r="CD40" i="9"/>
  <c r="CC40" i="9"/>
  <c r="CA40" i="9"/>
  <c r="BZ40" i="9"/>
  <c r="CD38" i="9"/>
  <c r="CD51" i="9" s="1"/>
  <c r="CC38" i="9"/>
  <c r="BZ38" i="9"/>
  <c r="CC37" i="9"/>
  <c r="CB37" i="9"/>
  <c r="CA37" i="9"/>
  <c r="BY36" i="9"/>
  <c r="CK36" i="9" s="1"/>
  <c r="CA35" i="9"/>
  <c r="BZ35" i="9"/>
  <c r="BY35" i="9"/>
  <c r="BY33" i="9"/>
  <c r="CK33" i="9" s="1"/>
  <c r="CF51" i="9"/>
  <c r="CA32" i="9"/>
  <c r="CN30" i="9"/>
  <c r="CN51" i="9" s="1"/>
  <c r="CM30" i="9"/>
  <c r="CC30" i="9"/>
  <c r="BZ30" i="9"/>
  <c r="BY30" i="9"/>
  <c r="CD24" i="9"/>
  <c r="CB24" i="9"/>
  <c r="CC22" i="9"/>
  <c r="BZ22" i="9"/>
  <c r="BY22" i="9"/>
  <c r="CB21" i="9"/>
  <c r="CA21" i="9"/>
  <c r="CI25" i="9"/>
  <c r="CH25" i="9"/>
  <c r="CG25" i="9"/>
  <c r="CE25" i="9"/>
  <c r="CD20" i="9"/>
  <c r="CC20" i="9"/>
  <c r="CB20" i="9"/>
  <c r="CA20" i="9"/>
  <c r="CC17" i="9"/>
  <c r="CA17" i="9"/>
  <c r="BZ17" i="9"/>
  <c r="CD16" i="9"/>
  <c r="BZ16" i="9"/>
  <c r="BY16" i="9"/>
  <c r="CA14" i="9"/>
  <c r="CK14" i="9" s="1"/>
  <c r="CJ11" i="9"/>
  <c r="N16" i="12" s="1"/>
  <c r="CI11" i="9"/>
  <c r="M16" i="12" s="1"/>
  <c r="CG11" i="9"/>
  <c r="K16" i="12" s="1"/>
  <c r="CE11" i="9"/>
  <c r="I16" i="12" s="1"/>
  <c r="CB11" i="9"/>
  <c r="F16" i="12" s="1"/>
  <c r="CA11" i="9"/>
  <c r="E16" i="12" s="1"/>
  <c r="BZ11" i="9"/>
  <c r="D16" i="12" s="1"/>
  <c r="BY11" i="9"/>
  <c r="C16" i="12" s="1"/>
  <c r="CK10" i="9"/>
  <c r="CF11" i="9"/>
  <c r="J16" i="12" s="1"/>
  <c r="CD7" i="9"/>
  <c r="CD11" i="9" s="1"/>
  <c r="H16" i="12" s="1"/>
  <c r="CC7" i="9"/>
  <c r="DJ4" i="8"/>
  <c r="AN5" i="12" s="1"/>
  <c r="AN7" i="12" s="1"/>
  <c r="DH4" i="8"/>
  <c r="AL5" i="12" s="1"/>
  <c r="AL7" i="12" s="1"/>
  <c r="DG4" i="8"/>
  <c r="AK5" i="12" s="1"/>
  <c r="AK7" i="12" s="1"/>
  <c r="DD4" i="8"/>
  <c r="AH5" i="12" s="1"/>
  <c r="AH7" i="12" s="1"/>
  <c r="AH32" i="12" s="1"/>
  <c r="DB4" i="8"/>
  <c r="AF5" i="12" s="1"/>
  <c r="AC5" i="12"/>
  <c r="P4" i="8"/>
  <c r="BX56" i="8"/>
  <c r="O56" i="8"/>
  <c r="BX55" i="8"/>
  <c r="BK55" i="8"/>
  <c r="AU55" i="8"/>
  <c r="AX55" i="8" s="1"/>
  <c r="AK55" i="8"/>
  <c r="AB55" i="8"/>
  <c r="BP54" i="8"/>
  <c r="BO54" i="8"/>
  <c r="BN54" i="8"/>
  <c r="BM54" i="8"/>
  <c r="BL54" i="8"/>
  <c r="BJ54" i="8"/>
  <c r="BI54" i="8"/>
  <c r="BH54" i="8"/>
  <c r="BG54" i="8"/>
  <c r="BF54" i="8"/>
  <c r="BE54" i="8"/>
  <c r="BD54" i="8"/>
  <c r="BC54" i="8"/>
  <c r="BB54" i="8"/>
  <c r="BA54" i="8"/>
  <c r="AZ54" i="8"/>
  <c r="AY54" i="8"/>
  <c r="AW54" i="8"/>
  <c r="AV54" i="8"/>
  <c r="AU54" i="8"/>
  <c r="AT54" i="8"/>
  <c r="AS54" i="8"/>
  <c r="AR54" i="8"/>
  <c r="AQ54" i="8"/>
  <c r="AP54" i="8"/>
  <c r="AL54" i="8"/>
  <c r="AG54" i="8"/>
  <c r="AD54" i="8"/>
  <c r="AC54" i="8"/>
  <c r="Z54" i="8"/>
  <c r="W54" i="8"/>
  <c r="T54" i="8"/>
  <c r="E54" i="8"/>
  <c r="BT52" i="8"/>
  <c r="BN52" i="8"/>
  <c r="BM52" i="8"/>
  <c r="BL52" i="8"/>
  <c r="BJ52" i="8"/>
  <c r="BI52" i="8"/>
  <c r="AX52" i="8"/>
  <c r="AK52" i="8"/>
  <c r="AB52" i="8"/>
  <c r="CE51" i="8"/>
  <c r="CD51" i="8"/>
  <c r="CB51" i="8"/>
  <c r="BZ51" i="8"/>
  <c r="BY51" i="8"/>
  <c r="BW51" i="8"/>
  <c r="BV51" i="8"/>
  <c r="BU51" i="8"/>
  <c r="BT51" i="8"/>
  <c r="BN51" i="8"/>
  <c r="BM51" i="8"/>
  <c r="BH51" i="8"/>
  <c r="BK51" i="8" s="1"/>
  <c r="AX51" i="8"/>
  <c r="AK51" i="8"/>
  <c r="AB51" i="8"/>
  <c r="CW4" i="8"/>
  <c r="AA5" i="12" s="1"/>
  <c r="AA7" i="12" s="1"/>
  <c r="CT4" i="8"/>
  <c r="X5" i="12" s="1"/>
  <c r="X7" i="12" s="1"/>
  <c r="CO4" i="8"/>
  <c r="S5" i="12" s="1"/>
  <c r="CE49" i="8"/>
  <c r="CD49" i="8"/>
  <c r="CC49" i="8"/>
  <c r="CB49" i="8"/>
  <c r="CA49" i="8"/>
  <c r="BZ49" i="8"/>
  <c r="BY49" i="8"/>
  <c r="BW49" i="8"/>
  <c r="BV49" i="8"/>
  <c r="BU49" i="8"/>
  <c r="BT49" i="8"/>
  <c r="BS49" i="8"/>
  <c r="BR49" i="8"/>
  <c r="BQ49" i="8"/>
  <c r="BP49" i="8"/>
  <c r="BO49" i="8"/>
  <c r="BM49" i="8"/>
  <c r="BL49" i="8"/>
  <c r="BJ49" i="8"/>
  <c r="BI49" i="8"/>
  <c r="BF49" i="8"/>
  <c r="BD49" i="8"/>
  <c r="BB49" i="8"/>
  <c r="BA49" i="8"/>
  <c r="AZ49" i="8"/>
  <c r="AY49" i="8"/>
  <c r="AX49" i="8"/>
  <c r="AK49" i="8"/>
  <c r="AB49" i="8"/>
  <c r="BX48" i="8"/>
  <c r="AZ48" i="8"/>
  <c r="BK48" i="8" s="1"/>
  <c r="AX48" i="8"/>
  <c r="AK48" i="8"/>
  <c r="AB48" i="8"/>
  <c r="O48" i="8"/>
  <c r="BX40" i="8"/>
  <c r="BK40" i="8"/>
  <c r="AX40" i="8"/>
  <c r="AK40" i="8"/>
  <c r="AB40" i="8"/>
  <c r="BX39" i="8"/>
  <c r="BK39" i="8"/>
  <c r="AK39" i="8"/>
  <c r="AB39" i="8"/>
  <c r="BX38" i="8"/>
  <c r="BK38" i="8"/>
  <c r="AX38" i="8"/>
  <c r="AK38" i="8"/>
  <c r="AB38" i="8"/>
  <c r="CJ37" i="8"/>
  <c r="CK37" i="8" s="1"/>
  <c r="BW37" i="8"/>
  <c r="BX37" i="8" s="1"/>
  <c r="BJ37" i="8"/>
  <c r="BK37" i="8" s="1"/>
  <c r="AX37" i="8"/>
  <c r="AK37" i="8"/>
  <c r="AB37" i="8"/>
  <c r="BX35" i="8"/>
  <c r="BB35" i="8"/>
  <c r="BK35" i="8" s="1"/>
  <c r="AX35" i="8"/>
  <c r="AK35" i="8"/>
  <c r="AB35" i="8"/>
  <c r="CE34" i="8"/>
  <c r="CD34" i="8"/>
  <c r="CC34" i="8"/>
  <c r="CB34" i="8"/>
  <c r="CA34" i="8"/>
  <c r="BZ34" i="8"/>
  <c r="BY34" i="8"/>
  <c r="BW34" i="8"/>
  <c r="BV34" i="8"/>
  <c r="BU34" i="8"/>
  <c r="BT34" i="8"/>
  <c r="BS34" i="8"/>
  <c r="BR34" i="8"/>
  <c r="BK34" i="8"/>
  <c r="AP34" i="8"/>
  <c r="AO34" i="8"/>
  <c r="AN34" i="8"/>
  <c r="AM34" i="8"/>
  <c r="AL34" i="8"/>
  <c r="AJ34" i="8"/>
  <c r="AI34" i="8"/>
  <c r="AB34" i="8"/>
  <c r="O34" i="8"/>
  <c r="CX33" i="8"/>
  <c r="CB33" i="8"/>
  <c r="BY33" i="8"/>
  <c r="BW33" i="8"/>
  <c r="BU33" i="8"/>
  <c r="BT33" i="8"/>
  <c r="BS33" i="8"/>
  <c r="BR33" i="8"/>
  <c r="BQ33" i="8"/>
  <c r="BP33" i="8"/>
  <c r="BO33" i="8"/>
  <c r="BM33" i="8"/>
  <c r="BL33" i="8"/>
  <c r="BJ33" i="8"/>
  <c r="BI33" i="8"/>
  <c r="BE33" i="8"/>
  <c r="BB33" i="8"/>
  <c r="AW33" i="8"/>
  <c r="AR33" i="8"/>
  <c r="AO33" i="8"/>
  <c r="AL33" i="8"/>
  <c r="AH33" i="8"/>
  <c r="AF33" i="8"/>
  <c r="AB33" i="8"/>
  <c r="O33" i="8"/>
  <c r="BX32" i="8"/>
  <c r="BK32" i="8"/>
  <c r="AX32" i="8"/>
  <c r="AF32" i="8"/>
  <c r="AE32" i="8"/>
  <c r="AC32" i="8"/>
  <c r="AB32" i="8"/>
  <c r="O32" i="8"/>
  <c r="BX31" i="8"/>
  <c r="BK31" i="8"/>
  <c r="AX31" i="8"/>
  <c r="AE31" i="8"/>
  <c r="AK31" i="8" s="1"/>
  <c r="AB31" i="8"/>
  <c r="O31" i="8"/>
  <c r="BX30" i="8"/>
  <c r="BK30" i="8"/>
  <c r="AX30" i="8"/>
  <c r="AK30" i="8"/>
  <c r="AB30" i="8"/>
  <c r="O30" i="8"/>
  <c r="CE29" i="8"/>
  <c r="CB29" i="8"/>
  <c r="CA29" i="8"/>
  <c r="BX29" i="8"/>
  <c r="BB29" i="8"/>
  <c r="BK29" i="8" s="1"/>
  <c r="AT29" i="8"/>
  <c r="AQ29" i="8"/>
  <c r="AP29" i="8"/>
  <c r="AO29" i="8"/>
  <c r="AK29" i="8"/>
  <c r="AB29" i="8"/>
  <c r="O29" i="8"/>
  <c r="BX28" i="8"/>
  <c r="BK28" i="8"/>
  <c r="AX28" i="8"/>
  <c r="AK28" i="8"/>
  <c r="AB28" i="8"/>
  <c r="O28" i="8"/>
  <c r="CD27" i="8"/>
  <c r="CC27" i="8"/>
  <c r="CA27" i="8"/>
  <c r="BZ27" i="8"/>
  <c r="BY27" i="8"/>
  <c r="BW27" i="8"/>
  <c r="BV27" i="8"/>
  <c r="BU27" i="8"/>
  <c r="BT27" i="8"/>
  <c r="BS27" i="8"/>
  <c r="BR27" i="8"/>
  <c r="BQ27" i="8"/>
  <c r="BP27" i="8"/>
  <c r="BO27" i="8"/>
  <c r="BN27" i="8"/>
  <c r="BM27" i="8"/>
  <c r="BL27" i="8"/>
  <c r="BJ27" i="8"/>
  <c r="BI27" i="8"/>
  <c r="BH27" i="8"/>
  <c r="BG27" i="8"/>
  <c r="BF27" i="8"/>
  <c r="BE27" i="8"/>
  <c r="BD27" i="8"/>
  <c r="BC27" i="8"/>
  <c r="BB27" i="8"/>
  <c r="AZ27" i="8"/>
  <c r="AY27" i="8"/>
  <c r="AW27" i="8"/>
  <c r="AV27" i="8"/>
  <c r="AU27" i="8"/>
  <c r="AT27" i="8"/>
  <c r="AS27" i="8"/>
  <c r="AR27" i="8"/>
  <c r="AQ27" i="8"/>
  <c r="AP27" i="8"/>
  <c r="AO27" i="8"/>
  <c r="AM27" i="8"/>
  <c r="AL27" i="8"/>
  <c r="AI27" i="8"/>
  <c r="AH27" i="8"/>
  <c r="AG27" i="8"/>
  <c r="AF27" i="8"/>
  <c r="AD27" i="8"/>
  <c r="AC27" i="8"/>
  <c r="X27" i="8"/>
  <c r="W27" i="8"/>
  <c r="R27" i="8"/>
  <c r="Q27" i="8"/>
  <c r="D27" i="8"/>
  <c r="C27" i="8"/>
  <c r="CA26" i="8"/>
  <c r="BZ26" i="8"/>
  <c r="BU26" i="8"/>
  <c r="BN26" i="8"/>
  <c r="BI26" i="8"/>
  <c r="BK26" i="8" s="1"/>
  <c r="AQ26" i="8"/>
  <c r="AX26" i="8" s="1"/>
  <c r="AK26" i="8"/>
  <c r="X26" i="8"/>
  <c r="AB26" i="8" s="1"/>
  <c r="L26" i="8"/>
  <c r="K26" i="8"/>
  <c r="J26" i="8"/>
  <c r="I26" i="8"/>
  <c r="G26" i="8"/>
  <c r="DK25" i="8"/>
  <c r="CI25" i="8"/>
  <c r="BU25" i="8"/>
  <c r="BR25" i="8"/>
  <c r="BE25" i="8"/>
  <c r="BK25" i="8" s="1"/>
  <c r="AS25" i="8"/>
  <c r="AX25" i="8" s="1"/>
  <c r="AG25" i="8"/>
  <c r="AK25" i="8" s="1"/>
  <c r="AA25" i="8"/>
  <c r="V25" i="8"/>
  <c r="O25" i="8"/>
  <c r="DI24" i="8"/>
  <c r="DI4" i="8" s="1"/>
  <c r="AM5" i="12" s="1"/>
  <c r="AM7" i="12" s="1"/>
  <c r="AM39" i="12" s="1"/>
  <c r="DC4" i="8"/>
  <c r="AG5" i="12" s="1"/>
  <c r="CC24" i="8"/>
  <c r="BV24" i="8"/>
  <c r="BS24" i="8"/>
  <c r="BQ24" i="8"/>
  <c r="BK24" i="8"/>
  <c r="AW24" i="8"/>
  <c r="AV24" i="8"/>
  <c r="AS24" i="8"/>
  <c r="AR24" i="8"/>
  <c r="AG24" i="8"/>
  <c r="AK24" i="8" s="1"/>
  <c r="Y24" i="8"/>
  <c r="AB24" i="8" s="1"/>
  <c r="O24" i="8"/>
  <c r="CA23" i="8"/>
  <c r="BZ23" i="8"/>
  <c r="BW23" i="8"/>
  <c r="BV23" i="8"/>
  <c r="BU23" i="8"/>
  <c r="BT23" i="8"/>
  <c r="BR23" i="8"/>
  <c r="BQ23" i="8"/>
  <c r="BP23" i="8"/>
  <c r="BO23" i="8"/>
  <c r="BN23" i="8"/>
  <c r="BL23" i="8"/>
  <c r="BJ23" i="8"/>
  <c r="BH23" i="8"/>
  <c r="BG23" i="8"/>
  <c r="BD23" i="8"/>
  <c r="BC23" i="8"/>
  <c r="BB23" i="8"/>
  <c r="AW23" i="8"/>
  <c r="AV23" i="8"/>
  <c r="AU23" i="8"/>
  <c r="AT23" i="8"/>
  <c r="AI23" i="8"/>
  <c r="AG23" i="8"/>
  <c r="AF23" i="8"/>
  <c r="AA23" i="8"/>
  <c r="Y23" i="8"/>
  <c r="X23" i="8"/>
  <c r="V23" i="8"/>
  <c r="T23" i="8"/>
  <c r="R23" i="8"/>
  <c r="Q23" i="8"/>
  <c r="O23" i="8"/>
  <c r="BT22" i="8"/>
  <c r="BX22" i="8" s="1"/>
  <c r="BG22" i="8"/>
  <c r="BK22" i="8" s="1"/>
  <c r="AT22" i="8"/>
  <c r="AX22" i="8" s="1"/>
  <c r="AK22" i="8"/>
  <c r="AB22" i="8"/>
  <c r="O22" i="8"/>
  <c r="BY21" i="8"/>
  <c r="BR21" i="8"/>
  <c r="BN21" i="8"/>
  <c r="BI21" i="8"/>
  <c r="BH21" i="8"/>
  <c r="BD21" i="8"/>
  <c r="AY21" i="8"/>
  <c r="AV21" i="8"/>
  <c r="AU21" i="8"/>
  <c r="AQ21" i="8"/>
  <c r="AO21" i="8"/>
  <c r="AL21" i="8"/>
  <c r="AH21" i="8"/>
  <c r="AK21" i="8" s="1"/>
  <c r="AA21" i="8"/>
  <c r="X21" i="8"/>
  <c r="O21" i="8"/>
  <c r="CA20" i="8"/>
  <c r="CK20" i="8" s="1"/>
  <c r="BM20" i="8"/>
  <c r="BX20" i="8" s="1"/>
  <c r="AZ20" i="8"/>
  <c r="BK20" i="8" s="1"/>
  <c r="AM20" i="8"/>
  <c r="AX20" i="8" s="1"/>
  <c r="AK20" i="8"/>
  <c r="AB20" i="8"/>
  <c r="N20" i="8"/>
  <c r="G20" i="8"/>
  <c r="CD19" i="8"/>
  <c r="CK19" i="8" s="1"/>
  <c r="BX19" i="8"/>
  <c r="BG19" i="8"/>
  <c r="BB19" i="8"/>
  <c r="AU19" i="8"/>
  <c r="AT19" i="8"/>
  <c r="AK19" i="8"/>
  <c r="AB19" i="8"/>
  <c r="BZ18" i="8"/>
  <c r="BQ18" i="8"/>
  <c r="BO18" i="8"/>
  <c r="BL18" i="8"/>
  <c r="BB18" i="8"/>
  <c r="BK18" i="8" s="1"/>
  <c r="AU18" i="8"/>
  <c r="AQ18" i="8"/>
  <c r="AO18" i="8"/>
  <c r="AG18" i="8"/>
  <c r="AF18" i="8"/>
  <c r="T18" i="8"/>
  <c r="Q18" i="8"/>
  <c r="D18" i="8"/>
  <c r="O18" i="8" s="1"/>
  <c r="BX17" i="8"/>
  <c r="BK17" i="8"/>
  <c r="AX17" i="8"/>
  <c r="AK17" i="8"/>
  <c r="AB17" i="8"/>
  <c r="BY16" i="8"/>
  <c r="CK16" i="8" s="1"/>
  <c r="BW16" i="8"/>
  <c r="BV16" i="8"/>
  <c r="BU16" i="8"/>
  <c r="BT16" i="8"/>
  <c r="BS16" i="8"/>
  <c r="BR16" i="8"/>
  <c r="BQ16" i="8"/>
  <c r="BP16" i="8"/>
  <c r="BO16" i="8"/>
  <c r="BN16" i="8"/>
  <c r="BM16" i="8"/>
  <c r="BL16" i="8"/>
  <c r="BJ16" i="8"/>
  <c r="BI16" i="8"/>
  <c r="BH16" i="8"/>
  <c r="BG16" i="8"/>
  <c r="BF16" i="8"/>
  <c r="BE16" i="8"/>
  <c r="BD16" i="8"/>
  <c r="AZ16" i="8"/>
  <c r="AW16" i="8"/>
  <c r="AT16" i="8"/>
  <c r="AS16" i="8"/>
  <c r="AR16" i="8"/>
  <c r="AQ16" i="8"/>
  <c r="AO16" i="8"/>
  <c r="AN16" i="8"/>
  <c r="AM16" i="8"/>
  <c r="AL16" i="8"/>
  <c r="AJ16" i="8"/>
  <c r="AI16" i="8"/>
  <c r="AH16" i="8"/>
  <c r="AG16" i="8"/>
  <c r="AF16" i="8"/>
  <c r="AE16" i="8"/>
  <c r="AD16" i="8"/>
  <c r="AC16" i="8"/>
  <c r="AA16" i="8"/>
  <c r="Z16" i="8"/>
  <c r="Y16" i="8"/>
  <c r="X16" i="8"/>
  <c r="W16" i="8"/>
  <c r="S16" i="8"/>
  <c r="N16" i="8"/>
  <c r="F16" i="8"/>
  <c r="CE15" i="8"/>
  <c r="CD15" i="8"/>
  <c r="CC15" i="8"/>
  <c r="CB15" i="8"/>
  <c r="CA15" i="8"/>
  <c r="BZ15" i="8"/>
  <c r="BY15" i="8"/>
  <c r="BW15" i="8"/>
  <c r="BV15" i="8"/>
  <c r="BQ15" i="8"/>
  <c r="BO15" i="8"/>
  <c r="BN15" i="8"/>
  <c r="BJ15" i="8"/>
  <c r="BG15" i="8"/>
  <c r="BD15" i="8"/>
  <c r="BB15" i="8"/>
  <c r="AW15" i="8"/>
  <c r="AS15" i="8"/>
  <c r="AR15" i="8"/>
  <c r="AO15" i="8"/>
  <c r="AN15" i="8"/>
  <c r="AM15" i="8"/>
  <c r="AL15" i="8"/>
  <c r="AJ15" i="8"/>
  <c r="AI15" i="8"/>
  <c r="AH15" i="8"/>
  <c r="AG15" i="8"/>
  <c r="AF15" i="8"/>
  <c r="AE15" i="8"/>
  <c r="AD15" i="8"/>
  <c r="AC15" i="8"/>
  <c r="AA15" i="8"/>
  <c r="Z15" i="8"/>
  <c r="O15" i="8"/>
  <c r="BX14" i="8"/>
  <c r="BK14" i="8"/>
  <c r="AS14" i="8"/>
  <c r="AK14" i="8"/>
  <c r="AB14" i="8"/>
  <c r="BR13" i="8"/>
  <c r="BX13" i="8" s="1"/>
  <c r="BK13" i="8"/>
  <c r="AX13" i="8"/>
  <c r="AK13" i="8"/>
  <c r="AB13" i="8"/>
  <c r="BX12" i="8"/>
  <c r="BK12" i="8"/>
  <c r="AX12" i="8"/>
  <c r="AK12" i="8"/>
  <c r="Q12" i="8"/>
  <c r="AB12" i="8" s="1"/>
  <c r="N12" i="8"/>
  <c r="BM11" i="8"/>
  <c r="BX11" i="8" s="1"/>
  <c r="BG11" i="8"/>
  <c r="BK11" i="8" s="1"/>
  <c r="AX11" i="8"/>
  <c r="AF11" i="8"/>
  <c r="AE11" i="8"/>
  <c r="AD11" i="8"/>
  <c r="AC11" i="8"/>
  <c r="Z11" i="8"/>
  <c r="AB11" i="8" s="1"/>
  <c r="O11" i="8"/>
  <c r="DK10" i="8"/>
  <c r="CX10" i="8"/>
  <c r="CK10" i="8"/>
  <c r="BR10" i="8"/>
  <c r="BK10" i="8"/>
  <c r="AX10" i="8"/>
  <c r="AK10" i="8"/>
  <c r="AB10" i="8"/>
  <c r="O10" i="8"/>
  <c r="BZ9" i="8"/>
  <c r="BY9" i="8"/>
  <c r="BQ9" i="8"/>
  <c r="BN9" i="8"/>
  <c r="BL9" i="8"/>
  <c r="BF9" i="8"/>
  <c r="BB9" i="8"/>
  <c r="AZ9" i="8"/>
  <c r="AV9" i="8"/>
  <c r="AQ9" i="8"/>
  <c r="AE9" i="8"/>
  <c r="AD9" i="8"/>
  <c r="AC9" i="8"/>
  <c r="AA9" i="8"/>
  <c r="Z9" i="8"/>
  <c r="Y9" i="8"/>
  <c r="X9" i="8"/>
  <c r="W9" i="8"/>
  <c r="T9" i="8"/>
  <c r="D9" i="8"/>
  <c r="O9" i="8" s="1"/>
  <c r="CD8" i="8"/>
  <c r="CC8" i="8"/>
  <c r="CB8" i="8"/>
  <c r="CA8" i="8"/>
  <c r="BU8" i="8"/>
  <c r="BQ8" i="8"/>
  <c r="BK8" i="8"/>
  <c r="AX8" i="8"/>
  <c r="AK8" i="8"/>
  <c r="AB8" i="8"/>
  <c r="BZ7" i="8"/>
  <c r="BU7" i="8"/>
  <c r="BJ7" i="8"/>
  <c r="BG7" i="8"/>
  <c r="BC7" i="8"/>
  <c r="AV7" i="8"/>
  <c r="AU7" i="8"/>
  <c r="AR7" i="8"/>
  <c r="AQ7" i="8"/>
  <c r="AJ7" i="8"/>
  <c r="AI7" i="8"/>
  <c r="AH7" i="8"/>
  <c r="U7" i="8"/>
  <c r="T7" i="8"/>
  <c r="O7" i="8"/>
  <c r="DK6" i="8"/>
  <c r="CC6" i="8"/>
  <c r="BO6" i="8"/>
  <c r="BX6" i="8" s="1"/>
  <c r="BG6" i="8"/>
  <c r="AX6" i="8"/>
  <c r="AK6" i="8"/>
  <c r="AB6" i="8"/>
  <c r="J6" i="8"/>
  <c r="I6" i="8"/>
  <c r="H6" i="8"/>
  <c r="D6" i="8"/>
  <c r="CB4" i="7"/>
  <c r="F4" i="12" s="1"/>
  <c r="BW4" i="7"/>
  <c r="BT4" i="7"/>
  <c r="AF4" i="7"/>
  <c r="Q4" i="7"/>
  <c r="T4" i="7"/>
  <c r="U4" i="7"/>
  <c r="P4" i="7"/>
  <c r="DK87" i="7"/>
  <c r="CK87" i="7"/>
  <c r="BX87" i="7"/>
  <c r="BK87" i="7"/>
  <c r="AK87" i="7"/>
  <c r="AB87" i="7"/>
  <c r="CK86" i="7"/>
  <c r="BX86" i="7"/>
  <c r="BK86" i="7"/>
  <c r="AX86" i="7"/>
  <c r="AK86" i="7"/>
  <c r="AB86" i="7"/>
  <c r="O86" i="7"/>
  <c r="CC84" i="7"/>
  <c r="CA84" i="7"/>
  <c r="BV84" i="7"/>
  <c r="BR84" i="7"/>
  <c r="BO84" i="7"/>
  <c r="BO4" i="7" s="1"/>
  <c r="BN84" i="7"/>
  <c r="BM84" i="7"/>
  <c r="BJ84" i="7"/>
  <c r="BG84" i="7"/>
  <c r="BB84" i="7"/>
  <c r="AY84" i="7"/>
  <c r="AY4" i="7" s="1"/>
  <c r="AV84" i="7"/>
  <c r="AT84" i="7"/>
  <c r="AH84" i="7"/>
  <c r="AG84" i="7"/>
  <c r="AB84" i="7"/>
  <c r="O84" i="7"/>
  <c r="CK83" i="7"/>
  <c r="BX83" i="7"/>
  <c r="O83" i="7"/>
  <c r="CK81" i="7"/>
  <c r="BS81" i="7"/>
  <c r="BX81" i="7" s="1"/>
  <c r="BK81" i="7"/>
  <c r="CK80" i="7"/>
  <c r="BP80" i="7"/>
  <c r="BX80" i="7" s="1"/>
  <c r="BH80" i="7"/>
  <c r="BK80" i="7" s="1"/>
  <c r="AX80" i="7"/>
  <c r="DK79" i="7"/>
  <c r="CK79" i="7"/>
  <c r="BX79" i="7"/>
  <c r="BK79" i="7"/>
  <c r="AQ79" i="7"/>
  <c r="AX79" i="7" s="1"/>
  <c r="AK79" i="7"/>
  <c r="AB79" i="7"/>
  <c r="DK78" i="7"/>
  <c r="CK78" i="7"/>
  <c r="BX78" i="7"/>
  <c r="BH78" i="7"/>
  <c r="BG78" i="7"/>
  <c r="AM78" i="7"/>
  <c r="AX78" i="7" s="1"/>
  <c r="AK78" i="7"/>
  <c r="O78" i="7"/>
  <c r="DK77" i="7"/>
  <c r="CK77" i="7"/>
  <c r="BX77" i="7"/>
  <c r="BK77" i="7"/>
  <c r="AM77" i="7"/>
  <c r="AX77" i="7" s="1"/>
  <c r="AK77" i="7"/>
  <c r="O77" i="7"/>
  <c r="DK76" i="7"/>
  <c r="CK76" i="7"/>
  <c r="BR76" i="7"/>
  <c r="BX76" i="7" s="1"/>
  <c r="BE76" i="7"/>
  <c r="BB76" i="7"/>
  <c r="AT76" i="7"/>
  <c r="AO76" i="7"/>
  <c r="AL76" i="7"/>
  <c r="AL4" i="7" s="1"/>
  <c r="AK76" i="7"/>
  <c r="O76" i="7"/>
  <c r="DK75" i="7"/>
  <c r="CK75" i="7"/>
  <c r="BX75" i="7"/>
  <c r="AZ75" i="7"/>
  <c r="BK75" i="7" s="1"/>
  <c r="AU75" i="7"/>
  <c r="AM75" i="7"/>
  <c r="AK75" i="7"/>
  <c r="Z75" i="7"/>
  <c r="O75" i="7"/>
  <c r="DK74" i="7"/>
  <c r="CK74" i="7"/>
  <c r="BL74" i="7"/>
  <c r="BX74" i="7" s="1"/>
  <c r="BK74" i="7"/>
  <c r="AS74" i="7"/>
  <c r="AX74" i="7" s="1"/>
  <c r="AJ74" i="7"/>
  <c r="AJ4" i="7" s="1"/>
  <c r="AI74" i="7"/>
  <c r="AH74" i="7"/>
  <c r="AA74" i="7"/>
  <c r="AA4" i="7" s="1"/>
  <c r="O74" i="7"/>
  <c r="DK73" i="7"/>
  <c r="CK73" i="7"/>
  <c r="BX73" i="7"/>
  <c r="BK73" i="7"/>
  <c r="AX73" i="7"/>
  <c r="AK73" i="7"/>
  <c r="AB73" i="7"/>
  <c r="O73" i="7"/>
  <c r="DK72" i="7"/>
  <c r="CK72" i="7"/>
  <c r="BX72" i="7"/>
  <c r="BK72" i="7"/>
  <c r="AX72" i="7"/>
  <c r="AK72" i="7"/>
  <c r="W72" i="7"/>
  <c r="W4" i="7" s="1"/>
  <c r="V72" i="7"/>
  <c r="O72" i="7"/>
  <c r="DK71" i="7"/>
  <c r="CK71" i="7"/>
  <c r="BX71" i="7"/>
  <c r="BK71" i="7"/>
  <c r="AX71" i="7"/>
  <c r="AK71" i="7"/>
  <c r="V71" i="7"/>
  <c r="AB71" i="7" s="1"/>
  <c r="O71" i="7"/>
  <c r="DK70" i="7"/>
  <c r="BX70" i="7"/>
  <c r="O70" i="7"/>
  <c r="BX68" i="7"/>
  <c r="BK68" i="7"/>
  <c r="AO68" i="7"/>
  <c r="AX68" i="7" s="1"/>
  <c r="AK68" i="7"/>
  <c r="AB68" i="7"/>
  <c r="DK67" i="7"/>
  <c r="CK67" i="7"/>
  <c r="BX67" i="7"/>
  <c r="BK67" i="7"/>
  <c r="AX67" i="7"/>
  <c r="AK67" i="7"/>
  <c r="AB67" i="7"/>
  <c r="O67" i="7"/>
  <c r="DK66" i="7"/>
  <c r="CK66" i="7"/>
  <c r="BX66" i="7"/>
  <c r="BK66" i="7"/>
  <c r="AX66" i="7"/>
  <c r="AG66" i="7"/>
  <c r="AC66" i="7"/>
  <c r="AB66" i="7"/>
  <c r="O66" i="7"/>
  <c r="DK65" i="7"/>
  <c r="CK65" i="7"/>
  <c r="BX65" i="7"/>
  <c r="BK65" i="7"/>
  <c r="AX65" i="7"/>
  <c r="AK65" i="7"/>
  <c r="AB65" i="7"/>
  <c r="O65" i="7"/>
  <c r="DK64" i="7"/>
  <c r="CK64" i="7"/>
  <c r="BX64" i="7"/>
  <c r="BK64" i="7"/>
  <c r="AX64" i="7"/>
  <c r="AC64" i="7"/>
  <c r="AK64" i="7" s="1"/>
  <c r="AB64" i="7"/>
  <c r="G64" i="7"/>
  <c r="DK63" i="7"/>
  <c r="CK63" i="7"/>
  <c r="BX63" i="7"/>
  <c r="BJ63" i="7"/>
  <c r="AX63" i="7"/>
  <c r="AK63" i="7"/>
  <c r="R63" i="7"/>
  <c r="R4" i="7" s="1"/>
  <c r="O63" i="7"/>
  <c r="DK62" i="7"/>
  <c r="CK62" i="7"/>
  <c r="BX62" i="7"/>
  <c r="BK62" i="7"/>
  <c r="AX62" i="7"/>
  <c r="AK62" i="7"/>
  <c r="AB62" i="7"/>
  <c r="O62" i="7"/>
  <c r="CK61" i="7"/>
  <c r="BX61" i="7"/>
  <c r="O61" i="7"/>
  <c r="DK49" i="7"/>
  <c r="CX49" i="7"/>
  <c r="CD49" i="7"/>
  <c r="BY49" i="7"/>
  <c r="BX49" i="7"/>
  <c r="AK49" i="7"/>
  <c r="DK48" i="7"/>
  <c r="CO4" i="7"/>
  <c r="S4" i="12" s="1"/>
  <c r="CM4" i="7"/>
  <c r="Q4" i="12" s="1"/>
  <c r="CJ4" i="7"/>
  <c r="N4" i="12" s="1"/>
  <c r="CE48" i="7"/>
  <c r="CE4" i="7" s="1"/>
  <c r="I4" i="12" s="1"/>
  <c r="CD48" i="7"/>
  <c r="CC48" i="7"/>
  <c r="BZ48" i="7"/>
  <c r="BY48" i="7"/>
  <c r="BX48" i="7"/>
  <c r="BK48" i="7"/>
  <c r="AK48" i="7"/>
  <c r="DK47" i="7"/>
  <c r="CK47" i="7"/>
  <c r="BX47" i="7"/>
  <c r="BK47" i="7"/>
  <c r="AK47" i="7"/>
  <c r="DK46" i="7"/>
  <c r="CK46" i="7"/>
  <c r="BM46" i="7"/>
  <c r="BX46" i="7" s="1"/>
  <c r="BK46" i="7"/>
  <c r="AX46" i="7"/>
  <c r="AK46" i="7"/>
  <c r="DK45" i="7"/>
  <c r="CK45" i="7"/>
  <c r="BX45" i="7"/>
  <c r="BK45" i="7"/>
  <c r="AX45" i="7"/>
  <c r="AK45" i="7"/>
  <c r="DK44" i="7"/>
  <c r="CK44" i="7"/>
  <c r="BX44" i="7"/>
  <c r="BK44" i="7"/>
  <c r="AX44" i="7"/>
  <c r="AK44" i="7"/>
  <c r="DK43" i="7"/>
  <c r="CK43" i="7"/>
  <c r="BU43" i="7"/>
  <c r="BS43" i="7"/>
  <c r="BK43" i="7"/>
  <c r="AX43" i="7"/>
  <c r="AK43" i="7"/>
  <c r="DK42" i="7"/>
  <c r="CX42" i="7"/>
  <c r="CK42" i="7"/>
  <c r="BS42" i="7"/>
  <c r="BX42" i="7" s="1"/>
  <c r="BF42" i="7"/>
  <c r="BK42" i="7" s="1"/>
  <c r="AX42" i="7"/>
  <c r="AK42" i="7"/>
  <c r="DK41" i="7"/>
  <c r="CK41" i="7"/>
  <c r="BX41" i="7"/>
  <c r="BK41" i="7"/>
  <c r="AX41" i="7"/>
  <c r="AK41" i="7"/>
  <c r="DK40" i="7"/>
  <c r="CK40" i="7"/>
  <c r="BX40" i="7"/>
  <c r="BK40" i="7"/>
  <c r="AX40" i="7"/>
  <c r="AK40" i="7"/>
  <c r="DK39" i="7"/>
  <c r="CK39" i="7"/>
  <c r="BX39" i="7"/>
  <c r="BK39" i="7"/>
  <c r="AX39" i="7"/>
  <c r="AK39" i="7"/>
  <c r="DK38" i="7"/>
  <c r="CX38" i="7"/>
  <c r="CK38" i="7"/>
  <c r="BR38" i="7"/>
  <c r="BX38" i="7" s="1"/>
  <c r="BK38" i="7"/>
  <c r="AW38" i="7"/>
  <c r="AX38" i="7" s="1"/>
  <c r="AK38" i="7"/>
  <c r="CK37" i="7"/>
  <c r="BQ37" i="7"/>
  <c r="BP37" i="7"/>
  <c r="BC37" i="7"/>
  <c r="BC4" i="7" s="1"/>
  <c r="AQ37" i="7"/>
  <c r="AP37" i="7"/>
  <c r="AK37" i="7"/>
  <c r="DK36" i="7"/>
  <c r="CK36" i="7"/>
  <c r="BX36" i="7"/>
  <c r="BK36" i="7"/>
  <c r="AX36" i="7"/>
  <c r="AK36" i="7"/>
  <c r="O36" i="7"/>
  <c r="DK35" i="7"/>
  <c r="CK35" i="7"/>
  <c r="BX35" i="7"/>
  <c r="AZ35" i="7"/>
  <c r="AX35" i="7"/>
  <c r="AH35" i="7"/>
  <c r="AB35" i="7"/>
  <c r="O35" i="7"/>
  <c r="DK34" i="7"/>
  <c r="CK34" i="7"/>
  <c r="BX34" i="7"/>
  <c r="BK34" i="7"/>
  <c r="AX34" i="7"/>
  <c r="AK34" i="7"/>
  <c r="AB34" i="7"/>
  <c r="O34" i="7"/>
  <c r="DK33" i="7"/>
  <c r="BZ33" i="7"/>
  <c r="CK33" i="7" s="1"/>
  <c r="BV33" i="7"/>
  <c r="BS33" i="7"/>
  <c r="BQ33" i="7"/>
  <c r="BM33" i="7"/>
  <c r="BI33" i="7"/>
  <c r="BG33" i="7"/>
  <c r="BF33" i="7"/>
  <c r="BA33" i="7"/>
  <c r="BA4" i="7" s="1"/>
  <c r="AW33" i="7"/>
  <c r="AT33" i="7"/>
  <c r="AK33" i="7"/>
  <c r="AB33" i="7"/>
  <c r="O33" i="7"/>
  <c r="DK32" i="7"/>
  <c r="CA32" i="7"/>
  <c r="CK32" i="7" s="1"/>
  <c r="BN32" i="7"/>
  <c r="AZ32" i="7"/>
  <c r="BK32" i="7" s="1"/>
  <c r="AM32" i="7"/>
  <c r="AX32" i="7" s="1"/>
  <c r="AK32" i="7"/>
  <c r="Y32" i="7"/>
  <c r="AB32" i="7" s="1"/>
  <c r="O32" i="7"/>
  <c r="DK31" i="7"/>
  <c r="BZ31" i="7"/>
  <c r="CK31" i="7" s="1"/>
  <c r="BS31" i="7"/>
  <c r="BR31" i="7"/>
  <c r="AZ31" i="7"/>
  <c r="BK31" i="7" s="1"/>
  <c r="AO31" i="7"/>
  <c r="AD31" i="7"/>
  <c r="AD4" i="7" s="1"/>
  <c r="AB31" i="7"/>
  <c r="O31" i="7"/>
  <c r="DK30" i="7"/>
  <c r="CG30" i="7"/>
  <c r="CK30" i="7" s="1"/>
  <c r="BX30" i="7"/>
  <c r="BK30" i="7"/>
  <c r="AX30" i="7"/>
  <c r="AK30" i="7"/>
  <c r="AB30" i="7"/>
  <c r="O30" i="7"/>
  <c r="DK29" i="7"/>
  <c r="CK29" i="7"/>
  <c r="BX29" i="7"/>
  <c r="BK29" i="7"/>
  <c r="AX29" i="7"/>
  <c r="AK29" i="7"/>
  <c r="Y29" i="7"/>
  <c r="O29" i="7"/>
  <c r="DK28" i="7"/>
  <c r="CK28" i="7"/>
  <c r="BX28" i="7"/>
  <c r="BK28" i="7"/>
  <c r="AX28" i="7"/>
  <c r="AK28" i="7"/>
  <c r="AB28" i="7"/>
  <c r="O28" i="7"/>
  <c r="DK27" i="7"/>
  <c r="CK27" i="7"/>
  <c r="BX27" i="7"/>
  <c r="BK27" i="7"/>
  <c r="AX27" i="7"/>
  <c r="AK27" i="7"/>
  <c r="AB27" i="7"/>
  <c r="O27" i="7"/>
  <c r="DK26" i="7"/>
  <c r="CK26" i="7"/>
  <c r="BX26" i="7"/>
  <c r="BK26" i="7"/>
  <c r="AX26" i="7"/>
  <c r="AK26" i="7"/>
  <c r="AB26" i="7"/>
  <c r="O26" i="7"/>
  <c r="DK25" i="7"/>
  <c r="BZ25" i="7"/>
  <c r="BU25" i="7"/>
  <c r="BM25" i="7"/>
  <c r="BI25" i="7"/>
  <c r="BK25" i="7" s="1"/>
  <c r="AX25" i="7"/>
  <c r="AK25" i="7"/>
  <c r="AB25" i="7"/>
  <c r="DA4" i="7"/>
  <c r="AE4" i="12" s="1"/>
  <c r="CA24" i="7"/>
  <c r="BS24" i="7"/>
  <c r="BM24" i="7"/>
  <c r="BI24" i="7"/>
  <c r="BK24" i="7" s="1"/>
  <c r="AX24" i="7"/>
  <c r="AK24" i="7"/>
  <c r="AB24" i="7"/>
  <c r="DK23" i="7"/>
  <c r="CK23" i="7"/>
  <c r="BX23" i="7"/>
  <c r="BK23" i="7"/>
  <c r="AX23" i="7"/>
  <c r="AG23" i="7"/>
  <c r="AK23" i="7" s="1"/>
  <c r="AB23" i="7"/>
  <c r="O23" i="7"/>
  <c r="CG22" i="7"/>
  <c r="BS22" i="7"/>
  <c r="BX22" i="7" s="1"/>
  <c r="BH22" i="7"/>
  <c r="BD22" i="7"/>
  <c r="BD4" i="7" s="1"/>
  <c r="AT22" i="7"/>
  <c r="AM22" i="7"/>
  <c r="AK22" i="7"/>
  <c r="S22" i="7"/>
  <c r="S4" i="7" s="1"/>
  <c r="O22" i="7"/>
  <c r="CK21" i="7"/>
  <c r="BR21" i="7"/>
  <c r="BF21" i="7"/>
  <c r="BK21" i="7" s="1"/>
  <c r="AV21" i="7"/>
  <c r="AK21" i="7"/>
  <c r="AB21" i="7"/>
  <c r="O21" i="7"/>
  <c r="DK20" i="7"/>
  <c r="CK20" i="7"/>
  <c r="BS20" i="7"/>
  <c r="BX20" i="7" s="1"/>
  <c r="BH20" i="7"/>
  <c r="AT20" i="7"/>
  <c r="AX20" i="7" s="1"/>
  <c r="AI20" i="7"/>
  <c r="AB20" i="7"/>
  <c r="O20" i="7"/>
  <c r="DK19" i="7"/>
  <c r="CK19" i="7"/>
  <c r="BX19" i="7"/>
  <c r="BK19" i="7"/>
  <c r="AX19" i="7"/>
  <c r="AK19" i="7"/>
  <c r="AB19" i="7"/>
  <c r="O19" i="7"/>
  <c r="DK18" i="7"/>
  <c r="CK18" i="7"/>
  <c r="BX18" i="7"/>
  <c r="BK18" i="7"/>
  <c r="AX18" i="7"/>
  <c r="AK18" i="7"/>
  <c r="AB18" i="7"/>
  <c r="O18" i="7"/>
  <c r="DK17" i="7"/>
  <c r="CK17" i="7"/>
  <c r="BX17" i="7"/>
  <c r="BK17" i="7"/>
  <c r="AN17" i="7"/>
  <c r="AN4" i="7" s="1"/>
  <c r="AC17" i="7"/>
  <c r="AK17" i="7" s="1"/>
  <c r="AB17" i="7"/>
  <c r="O17" i="7"/>
  <c r="DK16" i="7"/>
  <c r="BY16" i="7"/>
  <c r="CK16" i="7" s="1"/>
  <c r="BX16" i="7"/>
  <c r="BK16" i="7"/>
  <c r="AX16" i="7"/>
  <c r="AK16" i="7"/>
  <c r="AB16" i="7"/>
  <c r="O16" i="7"/>
  <c r="DK15" i="7"/>
  <c r="CK15" i="7"/>
  <c r="BX15" i="7"/>
  <c r="BK15" i="7"/>
  <c r="AX15" i="7"/>
  <c r="AK15" i="7"/>
  <c r="X15" i="7"/>
  <c r="X4" i="7" s="1"/>
  <c r="O15" i="7"/>
  <c r="DK14" i="7"/>
  <c r="CK14" i="7"/>
  <c r="BX14" i="7"/>
  <c r="BK14" i="7"/>
  <c r="AX14" i="7"/>
  <c r="AK14" i="7"/>
  <c r="AB14" i="7"/>
  <c r="O14" i="7"/>
  <c r="DK13" i="7"/>
  <c r="CK13" i="7"/>
  <c r="BX13" i="7"/>
  <c r="BK13" i="7"/>
  <c r="AX13" i="7"/>
  <c r="AK13" i="7"/>
  <c r="AB13" i="7"/>
  <c r="O13" i="7"/>
  <c r="DK12" i="7"/>
  <c r="CK12" i="7"/>
  <c r="BX12" i="7"/>
  <c r="BK12" i="7"/>
  <c r="AX12" i="7"/>
  <c r="AK12" i="7"/>
  <c r="AB12" i="7"/>
  <c r="O12" i="7"/>
  <c r="DK11" i="7"/>
  <c r="CK11" i="7"/>
  <c r="BX11" i="7"/>
  <c r="BK11" i="7"/>
  <c r="AX11" i="7"/>
  <c r="AK11" i="7"/>
  <c r="AB11" i="7"/>
  <c r="O11" i="7"/>
  <c r="DK10" i="7"/>
  <c r="CK10" i="7"/>
  <c r="BX10" i="7"/>
  <c r="BK10" i="7"/>
  <c r="AQ10" i="7"/>
  <c r="AP10" i="7"/>
  <c r="AG10" i="7"/>
  <c r="AK10" i="7" s="1"/>
  <c r="AB10" i="7"/>
  <c r="O10" i="7"/>
  <c r="CF9" i="7"/>
  <c r="BP9" i="7"/>
  <c r="BN9" i="7"/>
  <c r="BF9" i="7"/>
  <c r="AR9" i="7"/>
  <c r="AR4" i="7" s="1"/>
  <c r="AK9" i="7"/>
  <c r="Z9" i="7"/>
  <c r="O9" i="7"/>
  <c r="DK8" i="7"/>
  <c r="CI4" i="7"/>
  <c r="BX8" i="7"/>
  <c r="BF8" i="7"/>
  <c r="AU8" i="7"/>
  <c r="AE8" i="7"/>
  <c r="AE4" i="7" s="1"/>
  <c r="AB8" i="7"/>
  <c r="O8" i="7"/>
  <c r="DK7" i="7"/>
  <c r="CD7" i="7"/>
  <c r="CC7" i="7"/>
  <c r="BP7" i="7"/>
  <c r="BX7" i="7" s="1"/>
  <c r="BE7" i="7"/>
  <c r="BK7" i="7" s="1"/>
  <c r="AX7" i="7"/>
  <c r="AK7" i="7"/>
  <c r="AB7" i="7"/>
  <c r="O7" i="7"/>
  <c r="CX6" i="7"/>
  <c r="CK6" i="7"/>
  <c r="BX6" i="7"/>
  <c r="BK6" i="7"/>
  <c r="AX6" i="7"/>
  <c r="AK6" i="7"/>
  <c r="AB6" i="7"/>
  <c r="O6" i="7"/>
  <c r="AK5" i="7"/>
  <c r="CB223" i="3"/>
  <c r="AO26" i="12" l="1"/>
  <c r="CC26" i="10"/>
  <c r="G23" i="12" s="1"/>
  <c r="G25" i="12" s="1"/>
  <c r="CX51" i="9"/>
  <c r="AA17" i="12" s="1"/>
  <c r="AA19" i="12" s="1"/>
  <c r="AC7" i="12"/>
  <c r="CK33" i="11"/>
  <c r="CW51" i="9"/>
  <c r="CW53" i="9" s="1"/>
  <c r="AJ5" i="12"/>
  <c r="Y17" i="12"/>
  <c r="CU4" i="8"/>
  <c r="Y5" i="12" s="1"/>
  <c r="Y7" i="12" s="1"/>
  <c r="CT51" i="9"/>
  <c r="W17" i="12" s="1"/>
  <c r="CS4" i="7"/>
  <c r="W4" i="12" s="1"/>
  <c r="BL11" i="10"/>
  <c r="AN39" i="12"/>
  <c r="AN43" i="12" s="1"/>
  <c r="AK39" i="12"/>
  <c r="AK43" i="12" s="1"/>
  <c r="AH39" i="12"/>
  <c r="AH43" i="12" s="1"/>
  <c r="AM43" i="12"/>
  <c r="AL39" i="12"/>
  <c r="AL43" i="12" s="1"/>
  <c r="CQ53" i="9"/>
  <c r="AW4" i="7"/>
  <c r="AK32" i="12"/>
  <c r="AN32" i="12"/>
  <c r="AL32" i="12"/>
  <c r="AM32" i="12"/>
  <c r="X17" i="12"/>
  <c r="U17" i="12"/>
  <c r="Z17" i="12"/>
  <c r="AC19" i="12"/>
  <c r="AO20" i="12"/>
  <c r="AF7" i="12"/>
  <c r="T17" i="12"/>
  <c r="CE4" i="8"/>
  <c r="I5" i="12" s="1"/>
  <c r="I7" i="12" s="1"/>
  <c r="CK23" i="8"/>
  <c r="AY4" i="8"/>
  <c r="BA4" i="8"/>
  <c r="AD4" i="8"/>
  <c r="DE4" i="8"/>
  <c r="AI5" i="12" s="1"/>
  <c r="BH4" i="8"/>
  <c r="CK33" i="8"/>
  <c r="AO4" i="7"/>
  <c r="AB21" i="8"/>
  <c r="AV4" i="7"/>
  <c r="CM4" i="8"/>
  <c r="Q5" i="12" s="1"/>
  <c r="Q7" i="12" s="1"/>
  <c r="CX24" i="8"/>
  <c r="CK25" i="8"/>
  <c r="CX25" i="8" s="1"/>
  <c r="AQ4" i="8"/>
  <c r="AN4" i="8"/>
  <c r="BI4" i="8"/>
  <c r="AD5" i="12"/>
  <c r="AD7" i="12" s="1"/>
  <c r="DK24" i="8"/>
  <c r="AR4" i="8"/>
  <c r="BQ4" i="8"/>
  <c r="AO4" i="8"/>
  <c r="BW4" i="8"/>
  <c r="CX21" i="8"/>
  <c r="V4" i="8"/>
  <c r="CK24" i="8"/>
  <c r="CX26" i="8"/>
  <c r="CK27" i="8"/>
  <c r="CN4" i="8"/>
  <c r="R5" i="12" s="1"/>
  <c r="CX9" i="8"/>
  <c r="DA4" i="8"/>
  <c r="AE5" i="12" s="1"/>
  <c r="AE7" i="12" s="1"/>
  <c r="AE32" i="12" s="1"/>
  <c r="DK9" i="8"/>
  <c r="BR4" i="8"/>
  <c r="AL4" i="8"/>
  <c r="BD4" i="8"/>
  <c r="CK15" i="8"/>
  <c r="AP4" i="8"/>
  <c r="CK29" i="8"/>
  <c r="CS51" i="9"/>
  <c r="V17" i="12" s="1"/>
  <c r="CJ51" i="9"/>
  <c r="CJ53" i="9" s="1"/>
  <c r="BR11" i="10"/>
  <c r="CK22" i="10"/>
  <c r="AP4" i="7"/>
  <c r="BJ4" i="7"/>
  <c r="K25" i="12"/>
  <c r="L25" i="12"/>
  <c r="CH4" i="7"/>
  <c r="L4" i="12" s="1"/>
  <c r="N25" i="12"/>
  <c r="C22" i="12"/>
  <c r="C25" i="12" s="1"/>
  <c r="C26" i="12" s="1"/>
  <c r="CA26" i="10"/>
  <c r="E23" i="12" s="1"/>
  <c r="E25" i="12" s="1"/>
  <c r="CD11" i="10"/>
  <c r="H22" i="12" s="1"/>
  <c r="H25" i="12" s="1"/>
  <c r="F25" i="12"/>
  <c r="CK17" i="10"/>
  <c r="CK25" i="10"/>
  <c r="CM11" i="10"/>
  <c r="CY11" i="10" s="1"/>
  <c r="CY12" i="10" s="1"/>
  <c r="CK6" i="10"/>
  <c r="CK23" i="10"/>
  <c r="BZ26" i="10"/>
  <c r="D23" i="12" s="1"/>
  <c r="D25" i="12" s="1"/>
  <c r="CK38" i="9"/>
  <c r="DL54" i="9"/>
  <c r="CK35" i="9"/>
  <c r="CK47" i="9"/>
  <c r="CK49" i="9"/>
  <c r="CH11" i="9"/>
  <c r="L16" i="12" s="1"/>
  <c r="CC51" i="9"/>
  <c r="CK32" i="9"/>
  <c r="CA4" i="7"/>
  <c r="E4" i="12" s="1"/>
  <c r="AQ4" i="7"/>
  <c r="AK66" i="7"/>
  <c r="CK37" i="9"/>
  <c r="CG51" i="9"/>
  <c r="K17" i="12" s="1"/>
  <c r="K19" i="12" s="1"/>
  <c r="CH51" i="9"/>
  <c r="L17" i="12" s="1"/>
  <c r="BZ51" i="9"/>
  <c r="CK45" i="9"/>
  <c r="CK50" i="9"/>
  <c r="S17" i="12"/>
  <c r="CP53" i="9"/>
  <c r="S16" i="12"/>
  <c r="W16" i="12"/>
  <c r="CA51" i="9"/>
  <c r="P16" i="12"/>
  <c r="T16" i="12"/>
  <c r="CU26" i="9"/>
  <c r="CU53" i="9"/>
  <c r="X16" i="12"/>
  <c r="CK30" i="9"/>
  <c r="CM51" i="9"/>
  <c r="CM53" i="9" s="1"/>
  <c r="CM54" i="9" s="1"/>
  <c r="Q17" i="12"/>
  <c r="Q16" i="12"/>
  <c r="CN53" i="9"/>
  <c r="U16" i="12"/>
  <c r="CR53" i="9"/>
  <c r="Y16" i="12"/>
  <c r="R16" i="12"/>
  <c r="V16" i="12"/>
  <c r="Z16" i="12"/>
  <c r="CO51" i="9"/>
  <c r="R17" i="12" s="1"/>
  <c r="CK40" i="9"/>
  <c r="M17" i="12"/>
  <c r="M19" i="12" s="1"/>
  <c r="S7" i="12"/>
  <c r="BQ4" i="7"/>
  <c r="AB63" i="7"/>
  <c r="BH4" i="7"/>
  <c r="AX22" i="7"/>
  <c r="BU4" i="7"/>
  <c r="AH4" i="7"/>
  <c r="J23" i="12"/>
  <c r="AX84" i="7"/>
  <c r="V4" i="7"/>
  <c r="DK22" i="7"/>
  <c r="DF4" i="7"/>
  <c r="AJ4" i="12" s="1"/>
  <c r="DK37" i="7"/>
  <c r="DC4" i="7"/>
  <c r="AG4" i="12" s="1"/>
  <c r="BV4" i="7"/>
  <c r="BX9" i="7"/>
  <c r="CK84" i="7"/>
  <c r="DK21" i="7"/>
  <c r="DE4" i="7"/>
  <c r="AI4" i="12" s="1"/>
  <c r="CG26" i="9"/>
  <c r="M25" i="12"/>
  <c r="CI53" i="9"/>
  <c r="I17" i="12"/>
  <c r="I19" i="12" s="1"/>
  <c r="CA4" i="11"/>
  <c r="BV4" i="8"/>
  <c r="AE4" i="8"/>
  <c r="BS4" i="8"/>
  <c r="CB4" i="8"/>
  <c r="F5" i="12" s="1"/>
  <c r="Y4" i="8"/>
  <c r="BG4" i="8"/>
  <c r="AH4" i="8"/>
  <c r="CD4" i="8"/>
  <c r="H5" i="12" s="1"/>
  <c r="BB4" i="8"/>
  <c r="CK18" i="8"/>
  <c r="CP4" i="8"/>
  <c r="T5" i="12" s="1"/>
  <c r="CG4" i="8"/>
  <c r="K5" i="12" s="1"/>
  <c r="AF4" i="8"/>
  <c r="CK51" i="8"/>
  <c r="BZ4" i="8"/>
  <c r="D5" i="12" s="1"/>
  <c r="CK7" i="8"/>
  <c r="AS4" i="8"/>
  <c r="CA4" i="8"/>
  <c r="E5" i="12" s="1"/>
  <c r="CK8" i="8"/>
  <c r="BY4" i="8"/>
  <c r="C5" i="12" s="1"/>
  <c r="CK9" i="8"/>
  <c r="AW4" i="8"/>
  <c r="CK49" i="8"/>
  <c r="CF4" i="8"/>
  <c r="J5" i="12" s="1"/>
  <c r="AI4" i="8"/>
  <c r="BJ4" i="8"/>
  <c r="AA4" i="8"/>
  <c r="BF4" i="8"/>
  <c r="CR4" i="8"/>
  <c r="V5" i="12" s="1"/>
  <c r="CK21" i="8"/>
  <c r="AT4" i="8"/>
  <c r="CH4" i="8"/>
  <c r="L5" i="12" s="1"/>
  <c r="CK26" i="8"/>
  <c r="CK34" i="8"/>
  <c r="AM4" i="8"/>
  <c r="AV4" i="8"/>
  <c r="BT4" i="8"/>
  <c r="BC4" i="8"/>
  <c r="AZ4" i="8"/>
  <c r="CC4" i="8"/>
  <c r="G5" i="12" s="1"/>
  <c r="CK6" i="8"/>
  <c r="AJ4" i="8"/>
  <c r="BX7" i="8"/>
  <c r="AC4" i="8"/>
  <c r="BL4" i="8"/>
  <c r="CS4" i="8"/>
  <c r="W5" i="12" s="1"/>
  <c r="BP4" i="8"/>
  <c r="CI4" i="8"/>
  <c r="M5" i="12" s="1"/>
  <c r="CV4" i="8"/>
  <c r="Z5" i="12" s="1"/>
  <c r="Z7" i="12" s="1"/>
  <c r="AU4" i="8"/>
  <c r="BE4" i="8"/>
  <c r="BN4" i="8"/>
  <c r="BR4" i="7"/>
  <c r="CX24" i="7"/>
  <c r="R4" i="12"/>
  <c r="Z4" i="7"/>
  <c r="BK22" i="7"/>
  <c r="BX31" i="7"/>
  <c r="CX48" i="7"/>
  <c r="CL4" i="7"/>
  <c r="P4" i="12" s="1"/>
  <c r="CC4" i="7"/>
  <c r="G4" i="12" s="1"/>
  <c r="AX9" i="7"/>
  <c r="CG4" i="7"/>
  <c r="K4" i="12" s="1"/>
  <c r="BM4" i="7"/>
  <c r="BG4" i="7"/>
  <c r="CK49" i="7"/>
  <c r="BE4" i="7"/>
  <c r="M4" i="12"/>
  <c r="CR4" i="7"/>
  <c r="V4" i="12" s="1"/>
  <c r="CX21" i="7"/>
  <c r="BZ4" i="7"/>
  <c r="D4" i="12" s="1"/>
  <c r="CX37" i="7"/>
  <c r="T4" i="12"/>
  <c r="BX84" i="7"/>
  <c r="BF4" i="7"/>
  <c r="BB4" i="7"/>
  <c r="CD4" i="7"/>
  <c r="H4" i="12" s="1"/>
  <c r="CF4" i="7"/>
  <c r="J4" i="12" s="1"/>
  <c r="AX10" i="7"/>
  <c r="AI4" i="7"/>
  <c r="CK22" i="7"/>
  <c r="Y4" i="7"/>
  <c r="AK74" i="7"/>
  <c r="AC4" i="7"/>
  <c r="BN4" i="7"/>
  <c r="CE53" i="9"/>
  <c r="CB51" i="9"/>
  <c r="AK5" i="11"/>
  <c r="AY11" i="10"/>
  <c r="AZ11" i="10" s="1"/>
  <c r="BA11" i="10" s="1"/>
  <c r="BB11" i="10" s="1"/>
  <c r="BC11" i="10" s="1"/>
  <c r="BD11" i="10" s="1"/>
  <c r="BE11" i="10" s="1"/>
  <c r="BF11" i="10" s="1"/>
  <c r="BG11" i="10" s="1"/>
  <c r="BH11" i="10" s="1"/>
  <c r="BI11" i="10" s="1"/>
  <c r="BJ11" i="10" s="1"/>
  <c r="BK11" i="10" s="1"/>
  <c r="AX11" i="10"/>
  <c r="CO26" i="9"/>
  <c r="CW26" i="9"/>
  <c r="CS26" i="9"/>
  <c r="CP26" i="9"/>
  <c r="CX26" i="9"/>
  <c r="CK17" i="9"/>
  <c r="CK21" i="9"/>
  <c r="CF25" i="9"/>
  <c r="CF26" i="9" s="1"/>
  <c r="CK22" i="9"/>
  <c r="CN26" i="9"/>
  <c r="CV26" i="9"/>
  <c r="CC25" i="9"/>
  <c r="CE26" i="9"/>
  <c r="CK16" i="9"/>
  <c r="CK24" i="9"/>
  <c r="BZ25" i="9"/>
  <c r="BZ26" i="9" s="1"/>
  <c r="CD25" i="9"/>
  <c r="CD53" i="9" s="1"/>
  <c r="CK20" i="9"/>
  <c r="CT26" i="9"/>
  <c r="CM26" i="9"/>
  <c r="CM27" i="9" s="1"/>
  <c r="CB25" i="9"/>
  <c r="CB26" i="9" s="1"/>
  <c r="CQ26" i="9"/>
  <c r="BY25" i="9"/>
  <c r="CI26" i="9"/>
  <c r="CJ26" i="9"/>
  <c r="CA25" i="9"/>
  <c r="CA26" i="9" s="1"/>
  <c r="CR26" i="9"/>
  <c r="CK11" i="9"/>
  <c r="CC11" i="9"/>
  <c r="G16" i="12" s="1"/>
  <c r="CL4" i="8"/>
  <c r="P5" i="12" s="1"/>
  <c r="Z4" i="8"/>
  <c r="BM4" i="8"/>
  <c r="BU4" i="8"/>
  <c r="AG4" i="8"/>
  <c r="BO4" i="8"/>
  <c r="CQ4" i="8"/>
  <c r="U5" i="12" s="1"/>
  <c r="U7" i="12" s="1"/>
  <c r="W4" i="8"/>
  <c r="X4" i="8"/>
  <c r="R4" i="8"/>
  <c r="CJ4" i="8"/>
  <c r="N5" i="12" s="1"/>
  <c r="AX7" i="8"/>
  <c r="BX21" i="8"/>
  <c r="BX15" i="8"/>
  <c r="U4" i="8"/>
  <c r="BX26" i="8"/>
  <c r="T4" i="8"/>
  <c r="S4" i="8"/>
  <c r="BX18" i="8"/>
  <c r="AK32" i="8"/>
  <c r="Q4" i="8"/>
  <c r="BX24" i="8"/>
  <c r="BK33" i="8"/>
  <c r="BK7" i="8"/>
  <c r="AK18" i="8"/>
  <c r="AX19" i="8"/>
  <c r="BX25" i="8"/>
  <c r="BK49" i="8"/>
  <c r="O26" i="8"/>
  <c r="AK34" i="8"/>
  <c r="AX29" i="8"/>
  <c r="BX33" i="8"/>
  <c r="AB15" i="8"/>
  <c r="AB18" i="8"/>
  <c r="AB25" i="8"/>
  <c r="AX34" i="8"/>
  <c r="AB54" i="8"/>
  <c r="AB7" i="8"/>
  <c r="AK11" i="8"/>
  <c r="AX23" i="8"/>
  <c r="BX34" i="8"/>
  <c r="BK52" i="8"/>
  <c r="AX27" i="8"/>
  <c r="BK15" i="8"/>
  <c r="BK19" i="8"/>
  <c r="BX23" i="8"/>
  <c r="AK27" i="8"/>
  <c r="BX51" i="8"/>
  <c r="O54" i="8"/>
  <c r="AX54" i="8"/>
  <c r="BX16" i="8"/>
  <c r="AK15" i="8"/>
  <c r="O12" i="8"/>
  <c r="AX21" i="8"/>
  <c r="BK27" i="8"/>
  <c r="BX49" i="8"/>
  <c r="G16" i="8"/>
  <c r="AK23" i="8"/>
  <c r="AX33" i="8"/>
  <c r="BK21" i="8"/>
  <c r="BK23" i="8"/>
  <c r="AX24" i="8"/>
  <c r="AB27" i="8"/>
  <c r="BX27" i="8"/>
  <c r="AK54" i="8"/>
  <c r="BX54" i="8"/>
  <c r="BX8" i="8"/>
  <c r="AK9" i="8"/>
  <c r="BX9" i="8"/>
  <c r="O6" i="8"/>
  <c r="AB9" i="8"/>
  <c r="BX10" i="8"/>
  <c r="AK7" i="8"/>
  <c r="AX9" i="8"/>
  <c r="AX15" i="8"/>
  <c r="AK16" i="8"/>
  <c r="AX16" i="8"/>
  <c r="AX18" i="8"/>
  <c r="BK16" i="8"/>
  <c r="BK6" i="8"/>
  <c r="BK9" i="8"/>
  <c r="H20" i="8"/>
  <c r="I20" i="8" s="1"/>
  <c r="J20" i="8" s="1"/>
  <c r="K20" i="8" s="1"/>
  <c r="L20" i="8" s="1"/>
  <c r="AB23" i="8"/>
  <c r="BK54" i="8"/>
  <c r="AB16" i="8"/>
  <c r="AX14" i="8"/>
  <c r="AK33" i="8"/>
  <c r="BX52" i="8"/>
  <c r="O27" i="8"/>
  <c r="BL4" i="7"/>
  <c r="BK8" i="7"/>
  <c r="AB9" i="7"/>
  <c r="AK20" i="7"/>
  <c r="DK24" i="7"/>
  <c r="AB74" i="7"/>
  <c r="AX75" i="7"/>
  <c r="CK25" i="7"/>
  <c r="AB29" i="7"/>
  <c r="AK35" i="7"/>
  <c r="AM4" i="7"/>
  <c r="AG4" i="7"/>
  <c r="AT4" i="7"/>
  <c r="BP4" i="7"/>
  <c r="BY4" i="7"/>
  <c r="AS4" i="7"/>
  <c r="AZ4" i="7"/>
  <c r="BI4" i="7"/>
  <c r="BK78" i="7"/>
  <c r="BS4" i="7"/>
  <c r="BK9" i="7"/>
  <c r="BK76" i="7"/>
  <c r="BX24" i="7"/>
  <c r="BK37" i="7"/>
  <c r="AB72" i="7"/>
  <c r="AK8" i="7"/>
  <c r="AX37" i="7"/>
  <c r="AX21" i="7"/>
  <c r="AB22" i="7"/>
  <c r="CK24" i="7"/>
  <c r="CK48" i="7"/>
  <c r="BX21" i="7"/>
  <c r="BK35" i="7"/>
  <c r="AK31" i="7"/>
  <c r="BK33" i="7"/>
  <c r="O64" i="7"/>
  <c r="CK9" i="7"/>
  <c r="BK20" i="7"/>
  <c r="BX25" i="7"/>
  <c r="BX32" i="7"/>
  <c r="BX33" i="7"/>
  <c r="BX37" i="7"/>
  <c r="AX8" i="7"/>
  <c r="AX17" i="7"/>
  <c r="CK7" i="7"/>
  <c r="AX33" i="7"/>
  <c r="BK63" i="7"/>
  <c r="AB75" i="7"/>
  <c r="AK84" i="7"/>
  <c r="BX43" i="7"/>
  <c r="AU76" i="7"/>
  <c r="AX76" i="7" s="1"/>
  <c r="BK84" i="7"/>
  <c r="AB15" i="7"/>
  <c r="AX31" i="7"/>
  <c r="CF211" i="3"/>
  <c r="CE99" i="3"/>
  <c r="CS105" i="3"/>
  <c r="CE48" i="3"/>
  <c r="AJ7" i="12" l="1"/>
  <c r="AJ32" i="12" s="1"/>
  <c r="AD32" i="12"/>
  <c r="AD39" i="12"/>
  <c r="AD43" i="12" s="1"/>
  <c r="AC39" i="12"/>
  <c r="AC40" i="12" s="1"/>
  <c r="AC32" i="12"/>
  <c r="AC20" i="12"/>
  <c r="AD20" i="12" s="1"/>
  <c r="AE20" i="12" s="1"/>
  <c r="AF20" i="12" s="1"/>
  <c r="AG20" i="12" s="1"/>
  <c r="AH20" i="12" s="1"/>
  <c r="AI20" i="12" s="1"/>
  <c r="AJ20" i="12" s="1"/>
  <c r="AK20" i="12" s="1"/>
  <c r="AL20" i="12" s="1"/>
  <c r="AM20" i="12" s="1"/>
  <c r="AN20" i="12" s="1"/>
  <c r="AC8" i="12"/>
  <c r="AD8" i="12" s="1"/>
  <c r="AE8" i="12" s="1"/>
  <c r="AF8" i="12" s="1"/>
  <c r="BX11" i="10"/>
  <c r="CX53" i="9"/>
  <c r="CK51" i="9"/>
  <c r="DK4" i="7"/>
  <c r="CV53" i="9"/>
  <c r="CT53" i="9"/>
  <c r="AF32" i="12"/>
  <c r="AF59" i="12" s="1"/>
  <c r="AF39" i="12"/>
  <c r="AF43" i="12" s="1"/>
  <c r="AE39" i="12"/>
  <c r="AE43" i="12" s="1"/>
  <c r="X19" i="12"/>
  <c r="AI7" i="12"/>
  <c r="U19" i="12"/>
  <c r="Z19" i="12"/>
  <c r="CS53" i="9"/>
  <c r="AO5" i="12"/>
  <c r="W19" i="12"/>
  <c r="AB4" i="12"/>
  <c r="AG7" i="12"/>
  <c r="AO4" i="12"/>
  <c r="Y19" i="12"/>
  <c r="DK4" i="8"/>
  <c r="CH26" i="9"/>
  <c r="CK11" i="10"/>
  <c r="CK12" i="10" s="1"/>
  <c r="V7" i="12"/>
  <c r="V19" i="12"/>
  <c r="R7" i="12"/>
  <c r="N17" i="12"/>
  <c r="N19" i="12" s="1"/>
  <c r="CN27" i="9"/>
  <c r="CO27" i="9" s="1"/>
  <c r="CP27" i="9" s="1"/>
  <c r="CQ27" i="9" s="1"/>
  <c r="CR27" i="9" s="1"/>
  <c r="CS27" i="9" s="1"/>
  <c r="CT27" i="9" s="1"/>
  <c r="CU27" i="9" s="1"/>
  <c r="CV27" i="9" s="1"/>
  <c r="CW27" i="9" s="1"/>
  <c r="CX27" i="9" s="1"/>
  <c r="CH53" i="9"/>
  <c r="AB4" i="7"/>
  <c r="CK26" i="10"/>
  <c r="CK27" i="10" s="1"/>
  <c r="O22" i="12"/>
  <c r="D26" i="12"/>
  <c r="E26" i="12" s="1"/>
  <c r="F26" i="12" s="1"/>
  <c r="G26" i="12" s="1"/>
  <c r="H26" i="12" s="1"/>
  <c r="I26" i="12" s="1"/>
  <c r="P22" i="12"/>
  <c r="O16" i="12"/>
  <c r="L19" i="12"/>
  <c r="G17" i="12"/>
  <c r="G19" i="12" s="1"/>
  <c r="D7" i="12"/>
  <c r="CG53" i="9"/>
  <c r="R19" i="12"/>
  <c r="S19" i="12"/>
  <c r="BY53" i="9"/>
  <c r="BY54" i="9" s="1"/>
  <c r="T19" i="12"/>
  <c r="Q19" i="12"/>
  <c r="AB16" i="12"/>
  <c r="CC53" i="9"/>
  <c r="CA53" i="9"/>
  <c r="CO53" i="9"/>
  <c r="P17" i="12"/>
  <c r="AB17" i="12" s="1"/>
  <c r="H17" i="12"/>
  <c r="H19" i="12" s="1"/>
  <c r="BZ53" i="9"/>
  <c r="E17" i="12"/>
  <c r="E19" i="12" s="1"/>
  <c r="D17" i="12"/>
  <c r="D19" i="12" s="1"/>
  <c r="BY26" i="9"/>
  <c r="BY27" i="9" s="1"/>
  <c r="BZ27" i="9" s="1"/>
  <c r="CA27" i="9" s="1"/>
  <c r="CB27" i="9" s="1"/>
  <c r="C17" i="12"/>
  <c r="C19" i="12" s="1"/>
  <c r="C20" i="12" s="1"/>
  <c r="CN54" i="9"/>
  <c r="T7" i="12"/>
  <c r="BK4" i="7"/>
  <c r="J25" i="12"/>
  <c r="O23" i="12"/>
  <c r="I39" i="12"/>
  <c r="I43" i="12" s="1"/>
  <c r="CB53" i="9"/>
  <c r="F17" i="12"/>
  <c r="F19" i="12" s="1"/>
  <c r="AK4" i="7"/>
  <c r="P7" i="12"/>
  <c r="BX4" i="7"/>
  <c r="J17" i="12"/>
  <c r="J19" i="12" s="1"/>
  <c r="CF53" i="9"/>
  <c r="I32" i="12"/>
  <c r="F7" i="12"/>
  <c r="L7" i="12"/>
  <c r="BK4" i="8"/>
  <c r="N7" i="12"/>
  <c r="AX4" i="8"/>
  <c r="CK4" i="8"/>
  <c r="AB5" i="12"/>
  <c r="W7" i="12"/>
  <c r="CK4" i="11"/>
  <c r="CK36" i="11" s="1"/>
  <c r="E27" i="12"/>
  <c r="M7" i="12"/>
  <c r="K7" i="12"/>
  <c r="J7" i="12"/>
  <c r="AB4" i="8"/>
  <c r="E7" i="12"/>
  <c r="H7" i="12"/>
  <c r="G7" i="12"/>
  <c r="BX4" i="8"/>
  <c r="AK4" i="8"/>
  <c r="C4" i="12"/>
  <c r="C7" i="12" s="1"/>
  <c r="CK4" i="7"/>
  <c r="CX4" i="7"/>
  <c r="CN26" i="10"/>
  <c r="AV5" i="11"/>
  <c r="CK25" i="9"/>
  <c r="CC26" i="9"/>
  <c r="CD26" i="9"/>
  <c r="CX4" i="8"/>
  <c r="H16" i="8"/>
  <c r="O20" i="8"/>
  <c r="AU4" i="7"/>
  <c r="AX4" i="7" s="1"/>
  <c r="CE306" i="3"/>
  <c r="AO8" i="12" l="1"/>
  <c r="AO32" i="12" s="1"/>
  <c r="AP32" i="12" s="1"/>
  <c r="AJ39" i="12"/>
  <c r="AJ43" i="12" s="1"/>
  <c r="P8" i="12"/>
  <c r="Q8" i="12" s="1"/>
  <c r="R8" i="12" s="1"/>
  <c r="S8" i="12" s="1"/>
  <c r="T8" i="12" s="1"/>
  <c r="U8" i="12" s="1"/>
  <c r="V8" i="12" s="1"/>
  <c r="W8" i="12" s="1"/>
  <c r="X8" i="12" s="1"/>
  <c r="Y8" i="12" s="1"/>
  <c r="Z8" i="12" s="1"/>
  <c r="AA8" i="12" s="1"/>
  <c r="AD40" i="12"/>
  <c r="AE40" i="12" s="1"/>
  <c r="AF40" i="12" s="1"/>
  <c r="AC43" i="12"/>
  <c r="CK52" i="9"/>
  <c r="AG32" i="12"/>
  <c r="AG39" i="12"/>
  <c r="AG43" i="12" s="1"/>
  <c r="AI32" i="12"/>
  <c r="AI39" i="12"/>
  <c r="AI43" i="12" s="1"/>
  <c r="AG8" i="12"/>
  <c r="AH8" i="12" s="1"/>
  <c r="AI8" i="12" s="1"/>
  <c r="AJ8" i="12" s="1"/>
  <c r="AK8" i="12" s="1"/>
  <c r="AL8" i="12" s="1"/>
  <c r="AM8" i="12" s="1"/>
  <c r="AN8" i="12" s="1"/>
  <c r="N32" i="12"/>
  <c r="O4" i="12"/>
  <c r="J26" i="12"/>
  <c r="K26" i="12" s="1"/>
  <c r="L26" i="12" s="1"/>
  <c r="M26" i="12" s="1"/>
  <c r="N26" i="12" s="1"/>
  <c r="O26" i="12"/>
  <c r="AB22" i="12"/>
  <c r="P25" i="12"/>
  <c r="P26" i="12" s="1"/>
  <c r="Q23" i="12"/>
  <c r="L39" i="12"/>
  <c r="L43" i="12" s="1"/>
  <c r="BZ54" i="9"/>
  <c r="CA54" i="9" s="1"/>
  <c r="CB54" i="9" s="1"/>
  <c r="CC54" i="9" s="1"/>
  <c r="D20" i="12"/>
  <c r="E20" i="12" s="1"/>
  <c r="F20" i="12" s="1"/>
  <c r="G20" i="12" s="1"/>
  <c r="H20" i="12" s="1"/>
  <c r="I20" i="12" s="1"/>
  <c r="J20" i="12" s="1"/>
  <c r="K20" i="12" s="1"/>
  <c r="L20" i="12" s="1"/>
  <c r="M20" i="12" s="1"/>
  <c r="N20" i="12" s="1"/>
  <c r="P19" i="12"/>
  <c r="P20" i="12" s="1"/>
  <c r="AB20" i="12"/>
  <c r="CO54" i="9"/>
  <c r="CP54" i="9" s="1"/>
  <c r="F32" i="12"/>
  <c r="N39" i="12"/>
  <c r="N43" i="12" s="1"/>
  <c r="C8" i="12"/>
  <c r="D8" i="12" s="1"/>
  <c r="E8" i="12" s="1"/>
  <c r="F8" i="12" s="1"/>
  <c r="G8" i="12" s="1"/>
  <c r="H8" i="12" s="1"/>
  <c r="I8" i="12" s="1"/>
  <c r="J8" i="12" s="1"/>
  <c r="K8" i="12" s="1"/>
  <c r="L8" i="12" s="1"/>
  <c r="M8" i="12" s="1"/>
  <c r="N8" i="12" s="1"/>
  <c r="C32" i="12"/>
  <c r="C39" i="12"/>
  <c r="F39" i="12"/>
  <c r="AB8" i="12"/>
  <c r="O17" i="12"/>
  <c r="O20" i="12" s="1"/>
  <c r="L32" i="12"/>
  <c r="K39" i="12"/>
  <c r="K43" i="12" s="1"/>
  <c r="K32" i="12"/>
  <c r="G39" i="12"/>
  <c r="G32" i="12"/>
  <c r="M39" i="12"/>
  <c r="M43" i="12" s="1"/>
  <c r="M32" i="12"/>
  <c r="H39" i="12"/>
  <c r="H32" i="12"/>
  <c r="J39" i="12"/>
  <c r="J43" i="12" s="1"/>
  <c r="J32" i="12"/>
  <c r="D39" i="12"/>
  <c r="D32" i="12"/>
  <c r="O5" i="12"/>
  <c r="E29" i="12"/>
  <c r="E30" i="12" s="1"/>
  <c r="F30" i="12" s="1"/>
  <c r="G30" i="12" s="1"/>
  <c r="H30" i="12" s="1"/>
  <c r="I30" i="12" s="1"/>
  <c r="J30" i="12" s="1"/>
  <c r="K30" i="12" s="1"/>
  <c r="L30" i="12" s="1"/>
  <c r="M30" i="12" s="1"/>
  <c r="N30" i="12" s="1"/>
  <c r="O27" i="12"/>
  <c r="O30" i="12" s="1"/>
  <c r="CO26" i="10"/>
  <c r="R23" i="12" s="1"/>
  <c r="R25" i="12" s="1"/>
  <c r="R39" i="12" s="1"/>
  <c r="R43" i="12" s="1"/>
  <c r="AW5" i="11"/>
  <c r="CC27" i="9"/>
  <c r="CD27" i="9" s="1"/>
  <c r="CE27" i="9" s="1"/>
  <c r="CF27" i="9" s="1"/>
  <c r="CG27" i="9" s="1"/>
  <c r="CH27" i="9" s="1"/>
  <c r="CI27" i="9" s="1"/>
  <c r="CJ27" i="9" s="1"/>
  <c r="I16" i="8"/>
  <c r="CE121" i="3"/>
  <c r="CE112" i="3"/>
  <c r="CF111" i="3"/>
  <c r="H43" i="12" l="1"/>
  <c r="P39" i="12"/>
  <c r="P40" i="12" s="1"/>
  <c r="P32" i="12"/>
  <c r="CQ54" i="9"/>
  <c r="CR54" i="9" s="1"/>
  <c r="CS54" i="9" s="1"/>
  <c r="CT54" i="9" s="1"/>
  <c r="CU54" i="9" s="1"/>
  <c r="CV54" i="9" s="1"/>
  <c r="CW54" i="9" s="1"/>
  <c r="CX54" i="9" s="1"/>
  <c r="R32" i="12"/>
  <c r="Q20" i="12"/>
  <c r="R20" i="12" s="1"/>
  <c r="S20" i="12" s="1"/>
  <c r="T20" i="12" s="1"/>
  <c r="U20" i="12" s="1"/>
  <c r="V20" i="12" s="1"/>
  <c r="W20" i="12" s="1"/>
  <c r="X20" i="12" s="1"/>
  <c r="Y20" i="12" s="1"/>
  <c r="Z20" i="12" s="1"/>
  <c r="AA20" i="12" s="1"/>
  <c r="AG40" i="12"/>
  <c r="AH40" i="12" s="1"/>
  <c r="AI40" i="12" s="1"/>
  <c r="AJ40" i="12" s="1"/>
  <c r="AK40" i="12" s="1"/>
  <c r="AL40" i="12" s="1"/>
  <c r="AM40" i="12" s="1"/>
  <c r="AN40" i="12" s="1"/>
  <c r="AO33" i="12"/>
  <c r="O8" i="12"/>
  <c r="O32" i="12" s="1"/>
  <c r="CD54" i="9"/>
  <c r="CE54" i="9" s="1"/>
  <c r="CF54" i="9" s="1"/>
  <c r="CG54" i="9" s="1"/>
  <c r="CH54" i="9" s="1"/>
  <c r="CI54" i="9" s="1"/>
  <c r="CJ54" i="9" s="1"/>
  <c r="Q25" i="12"/>
  <c r="Q32" i="12" s="1"/>
  <c r="L59" i="12"/>
  <c r="C40" i="12"/>
  <c r="D40" i="12" s="1"/>
  <c r="C43" i="12"/>
  <c r="E32" i="12"/>
  <c r="E39" i="12"/>
  <c r="CP26" i="10"/>
  <c r="S23" i="12" s="1"/>
  <c r="S25" i="12" s="1"/>
  <c r="S32" i="12" s="1"/>
  <c r="AX5" i="11"/>
  <c r="AY5" i="11"/>
  <c r="J16" i="8"/>
  <c r="K16" i="8" s="1"/>
  <c r="CF64" i="3"/>
  <c r="CP97" i="3"/>
  <c r="CN97" i="3"/>
  <c r="CG97" i="3"/>
  <c r="CF97" i="3"/>
  <c r="CI64" i="3"/>
  <c r="AH59" i="12" l="1"/>
  <c r="O33" i="12"/>
  <c r="Q26" i="12"/>
  <c r="R26" i="12" s="1"/>
  <c r="S26" i="12" s="1"/>
  <c r="Q59" i="12"/>
  <c r="Q39" i="12"/>
  <c r="Q43" i="12" s="1"/>
  <c r="S39" i="12"/>
  <c r="S43" i="12" s="1"/>
  <c r="M59" i="12"/>
  <c r="P43" i="12"/>
  <c r="E40" i="12"/>
  <c r="F40" i="12" s="1"/>
  <c r="G40" i="12" s="1"/>
  <c r="CQ26" i="10"/>
  <c r="AZ5" i="11"/>
  <c r="L16" i="8"/>
  <c r="CF258" i="3"/>
  <c r="CE87" i="3"/>
  <c r="H40" i="12" l="1"/>
  <c r="I40" i="12" s="1"/>
  <c r="J40" i="12" s="1"/>
  <c r="K40" i="12" s="1"/>
  <c r="L40" i="12" s="1"/>
  <c r="M40" i="12" s="1"/>
  <c r="N40" i="12" s="1"/>
  <c r="AI59" i="12"/>
  <c r="Q40" i="12"/>
  <c r="R40" i="12" s="1"/>
  <c r="S40" i="12" s="1"/>
  <c r="T23" i="12"/>
  <c r="CR26" i="10"/>
  <c r="U23" i="12" s="1"/>
  <c r="U25" i="12" s="1"/>
  <c r="BA5" i="11"/>
  <c r="O16" i="8"/>
  <c r="CI90" i="3"/>
  <c r="CF90" i="3"/>
  <c r="CE207" i="3"/>
  <c r="CF207" i="3"/>
  <c r="U32" i="12" l="1"/>
  <c r="U39" i="12"/>
  <c r="U43" i="12" s="1"/>
  <c r="AJ59" i="12"/>
  <c r="R59" i="12"/>
  <c r="T25" i="12"/>
  <c r="CS26" i="10"/>
  <c r="V23" i="12" s="1"/>
  <c r="V25" i="12" s="1"/>
  <c r="BB5" i="11"/>
  <c r="CI237" i="3"/>
  <c r="CI207" i="3"/>
  <c r="T32" i="12" l="1"/>
  <c r="T39" i="12"/>
  <c r="T40" i="12" s="1"/>
  <c r="V32" i="12"/>
  <c r="V39" i="12"/>
  <c r="V43" i="12" s="1"/>
  <c r="AL47" i="12"/>
  <c r="AK59" i="12"/>
  <c r="T26" i="12"/>
  <c r="U26" i="12" s="1"/>
  <c r="V26" i="12" s="1"/>
  <c r="CT26" i="10"/>
  <c r="W23" i="12" s="1"/>
  <c r="W25" i="12" s="1"/>
  <c r="BC5" i="11"/>
  <c r="CG22" i="3"/>
  <c r="W32" i="12" l="1"/>
  <c r="W39" i="12"/>
  <c r="W43" i="12" s="1"/>
  <c r="AM47" i="12"/>
  <c r="AL59" i="12"/>
  <c r="U59" i="12"/>
  <c r="W26" i="12"/>
  <c r="T43" i="12"/>
  <c r="U40" i="12"/>
  <c r="V40" i="12" s="1"/>
  <c r="CU26" i="10"/>
  <c r="X23" i="12" s="1"/>
  <c r="X25" i="12" s="1"/>
  <c r="BD5" i="11"/>
  <c r="CE122" i="3"/>
  <c r="X32" i="12" l="1"/>
  <c r="X39" i="12"/>
  <c r="X43" i="12" s="1"/>
  <c r="AN47" i="12"/>
  <c r="AN59" i="12" s="1"/>
  <c r="AM59" i="12"/>
  <c r="W40" i="12"/>
  <c r="V59" i="12"/>
  <c r="X26" i="12"/>
  <c r="CV26" i="10"/>
  <c r="Y23" i="12" s="1"/>
  <c r="Y25" i="12" s="1"/>
  <c r="BE5" i="11"/>
  <c r="CD223" i="3"/>
  <c r="Y32" i="12" l="1"/>
  <c r="Y39" i="12"/>
  <c r="Y43" i="12" s="1"/>
  <c r="W59" i="12"/>
  <c r="X40" i="12"/>
  <c r="Y26" i="12"/>
  <c r="CW26" i="10"/>
  <c r="Z23" i="12" s="1"/>
  <c r="Z25" i="12" s="1"/>
  <c r="BF5" i="11"/>
  <c r="CJ114" i="3"/>
  <c r="Z32" i="12" l="1"/>
  <c r="Z39" i="12"/>
  <c r="Z43" i="12" s="1"/>
  <c r="X59" i="12"/>
  <c r="Z26" i="12"/>
  <c r="Y40" i="12"/>
  <c r="CX26" i="10"/>
  <c r="BG5" i="11"/>
  <c r="CL258" i="3"/>
  <c r="CE258" i="3"/>
  <c r="Z40" i="12" l="1"/>
  <c r="Y59" i="12"/>
  <c r="AA23" i="12"/>
  <c r="CY27" i="10"/>
  <c r="BH5" i="11"/>
  <c r="CB227" i="3"/>
  <c r="CF165" i="3"/>
  <c r="CE165" i="3"/>
  <c r="CH137" i="3"/>
  <c r="Z59" i="12" l="1"/>
  <c r="AA25" i="12"/>
  <c r="AB23" i="12"/>
  <c r="AB26" i="12" s="1"/>
  <c r="AB32" i="12" s="1"/>
  <c r="BI5" i="11"/>
  <c r="DF97" i="3"/>
  <c r="DJ96" i="3"/>
  <c r="DG96" i="3"/>
  <c r="DD96" i="3"/>
  <c r="DA96" i="3"/>
  <c r="DF82" i="3"/>
  <c r="CS82" i="3"/>
  <c r="DG81" i="3"/>
  <c r="DF81" i="3"/>
  <c r="DB81" i="3"/>
  <c r="CH97" i="3"/>
  <c r="DD49" i="3"/>
  <c r="DF42" i="3"/>
  <c r="CS42" i="3"/>
  <c r="CF42" i="3"/>
  <c r="DD37" i="3"/>
  <c r="CQ37" i="3"/>
  <c r="DG24" i="3"/>
  <c r="DB24" i="3"/>
  <c r="CT24" i="3"/>
  <c r="DG22" i="3"/>
  <c r="DF21" i="3"/>
  <c r="CS21" i="3"/>
  <c r="CD49" i="3"/>
  <c r="AA32" i="12" l="1"/>
  <c r="AA39" i="12"/>
  <c r="AA40" i="12" s="1"/>
  <c r="AA26" i="12"/>
  <c r="BJ5" i="11"/>
  <c r="CD204" i="3"/>
  <c r="CD306" i="3"/>
  <c r="CE222" i="3"/>
  <c r="CD222" i="3"/>
  <c r="CD48" i="3"/>
  <c r="AB33" i="12" l="1"/>
  <c r="AA59" i="12"/>
  <c r="AA43" i="12"/>
  <c r="BL5" i="11"/>
  <c r="BK5" i="11"/>
  <c r="CG223" i="3"/>
  <c r="BM5" i="11" l="1"/>
  <c r="BN5" i="11" l="1"/>
  <c r="CD87" i="3"/>
  <c r="BO5" i="11" l="1"/>
  <c r="CR105" i="3"/>
  <c r="CD121" i="3"/>
  <c r="CD112" i="3"/>
  <c r="CD211" i="3"/>
  <c r="BP5" i="11" l="1"/>
  <c r="CF9" i="3"/>
  <c r="BQ5" i="11" l="1"/>
  <c r="CD99" i="3"/>
  <c r="BR5" i="11" l="1"/>
  <c r="CD207" i="3"/>
  <c r="CF30" i="3"/>
  <c r="CD7" i="3"/>
  <c r="BS5" i="11" l="1"/>
  <c r="CF21" i="3"/>
  <c r="CD137" i="3"/>
  <c r="BT5" i="11" l="1"/>
  <c r="CF197" i="3"/>
  <c r="CD197" i="3"/>
  <c r="BU5" i="11" l="1"/>
  <c r="CH207" i="3"/>
  <c r="BV5" i="11" l="1"/>
  <c r="CD122" i="3"/>
  <c r="BW5" i="11" l="1"/>
  <c r="BX5" i="11" l="1"/>
  <c r="CF37" i="3"/>
  <c r="CC96" i="3" l="1"/>
  <c r="CC258" i="3"/>
  <c r="CD256" i="3" l="1"/>
  <c r="CG207" i="3"/>
  <c r="CD258" i="3" l="1"/>
  <c r="DL6" i="3"/>
  <c r="DL296" i="3"/>
  <c r="DL293" i="3"/>
  <c r="DL290" i="3"/>
  <c r="DL286" i="3"/>
  <c r="DL285" i="3"/>
  <c r="DL284" i="3"/>
  <c r="DL282" i="3"/>
  <c r="DL281" i="3"/>
  <c r="DL279" i="3"/>
  <c r="DL278" i="3"/>
  <c r="DL276" i="3"/>
  <c r="DL275" i="3"/>
  <c r="DL273" i="3"/>
  <c r="DL272" i="3"/>
  <c r="DL270" i="3"/>
  <c r="DL269" i="3"/>
  <c r="DL267" i="3"/>
  <c r="DL266" i="3"/>
  <c r="DL264" i="3"/>
  <c r="DL263" i="3"/>
  <c r="DL259" i="3"/>
  <c r="DL258" i="3"/>
  <c r="DL257" i="3"/>
  <c r="DL256" i="3"/>
  <c r="DL255" i="3"/>
  <c r="DL254" i="3"/>
  <c r="DL253" i="3"/>
  <c r="DL252" i="3"/>
  <c r="DL251" i="3"/>
  <c r="DL250" i="3"/>
  <c r="DL249" i="3"/>
  <c r="DL244" i="3"/>
  <c r="DL243" i="3"/>
  <c r="DL242" i="3"/>
  <c r="DL239" i="3"/>
  <c r="DL238" i="3"/>
  <c r="DL237" i="3"/>
  <c r="DL236" i="3"/>
  <c r="DL235" i="3"/>
  <c r="DL234" i="3"/>
  <c r="DL233" i="3"/>
  <c r="DL232" i="3"/>
  <c r="DL231" i="3"/>
  <c r="DL230" i="3"/>
  <c r="DL229" i="3"/>
  <c r="DL228" i="3"/>
  <c r="DL227" i="3"/>
  <c r="DL226" i="3"/>
  <c r="DL225" i="3"/>
  <c r="DL224" i="3"/>
  <c r="DL223" i="3"/>
  <c r="DL222" i="3"/>
  <c r="DL221" i="3"/>
  <c r="DL220" i="3"/>
  <c r="DL219" i="3"/>
  <c r="DL218" i="3"/>
  <c r="DL217" i="3"/>
  <c r="DL216" i="3"/>
  <c r="DL211" i="3"/>
  <c r="DL210" i="3"/>
  <c r="DL209" i="3"/>
  <c r="DL208" i="3"/>
  <c r="DL207" i="3"/>
  <c r="DL205" i="3"/>
  <c r="DL204" i="3"/>
  <c r="DL202" i="3"/>
  <c r="DL190" i="3"/>
  <c r="DL189" i="3"/>
  <c r="DL187" i="3"/>
  <c r="DL186" i="3"/>
  <c r="DL184" i="3"/>
  <c r="DL183" i="3"/>
  <c r="DL181" i="3"/>
  <c r="DL180" i="3"/>
  <c r="DL177" i="3"/>
  <c r="DL178" i="3" s="1"/>
  <c r="DL174" i="3"/>
  <c r="DL175" i="3" s="1"/>
  <c r="DL171" i="3"/>
  <c r="DL172" i="3" s="1"/>
  <c r="DL169" i="3"/>
  <c r="DL168" i="3"/>
  <c r="DL166" i="3"/>
  <c r="DL165" i="3"/>
  <c r="DL163" i="3"/>
  <c r="DL162" i="3"/>
  <c r="DL160" i="3"/>
  <c r="DL159" i="3"/>
  <c r="DL156" i="3"/>
  <c r="DL153" i="3"/>
  <c r="DL151" i="3"/>
  <c r="DL150" i="3"/>
  <c r="DL148" i="3"/>
  <c r="DL147" i="3"/>
  <c r="DL145" i="3"/>
  <c r="DL144" i="3"/>
  <c r="DL140" i="3"/>
  <c r="DL138" i="3"/>
  <c r="DL131" i="3"/>
  <c r="DL130" i="3"/>
  <c r="DL129" i="3"/>
  <c r="DL125" i="3"/>
  <c r="DL124" i="3"/>
  <c r="DL123" i="3"/>
  <c r="DL122" i="3"/>
  <c r="DL121" i="3"/>
  <c r="DL120" i="3"/>
  <c r="DL118" i="3"/>
  <c r="DL117" i="3"/>
  <c r="DL116" i="3"/>
  <c r="DL115" i="3"/>
  <c r="DL114" i="3"/>
  <c r="DL113" i="3"/>
  <c r="DL112" i="3"/>
  <c r="DL111" i="3"/>
  <c r="DL110" i="3"/>
  <c r="DL109" i="3"/>
  <c r="DL108" i="3"/>
  <c r="DL107" i="3"/>
  <c r="DL106" i="3"/>
  <c r="DL105" i="3"/>
  <c r="DL104" i="3"/>
  <c r="DL103" i="3"/>
  <c r="DL102" i="3"/>
  <c r="DL101" i="3"/>
  <c r="DL100" i="3"/>
  <c r="DL99" i="3"/>
  <c r="DL98" i="3"/>
  <c r="DL97" i="3"/>
  <c r="DL96" i="3"/>
  <c r="DL95" i="3"/>
  <c r="DL94" i="3"/>
  <c r="DL93" i="3"/>
  <c r="DL92" i="3"/>
  <c r="DL91" i="3"/>
  <c r="DL90" i="3"/>
  <c r="DL89" i="3"/>
  <c r="DL88" i="3"/>
  <c r="DL87" i="3"/>
  <c r="DL86" i="3"/>
  <c r="DL85" i="3"/>
  <c r="DL84" i="3"/>
  <c r="DL83" i="3"/>
  <c r="DL82" i="3"/>
  <c r="DL81" i="3"/>
  <c r="DL80" i="3"/>
  <c r="DL79" i="3"/>
  <c r="DL78" i="3"/>
  <c r="DL73" i="3"/>
  <c r="DL72" i="3"/>
  <c r="DL71" i="3"/>
  <c r="DL70" i="3"/>
  <c r="DL69" i="3"/>
  <c r="DL68" i="3"/>
  <c r="DL67" i="3"/>
  <c r="DL66" i="3"/>
  <c r="DL65" i="3"/>
  <c r="DL64" i="3"/>
  <c r="DL63" i="3"/>
  <c r="DL62" i="3"/>
  <c r="DL61" i="3"/>
  <c r="DL60" i="3"/>
  <c r="DL59" i="3"/>
  <c r="DL58" i="3"/>
  <c r="DL57" i="3"/>
  <c r="DL56" i="3"/>
  <c r="DL55" i="3"/>
  <c r="DL54" i="3"/>
  <c r="DL53" i="3"/>
  <c r="DL52" i="3"/>
  <c r="DL51" i="3"/>
  <c r="DL50" i="3"/>
  <c r="DL49" i="3"/>
  <c r="DL48" i="3"/>
  <c r="DL47" i="3"/>
  <c r="DL46" i="3"/>
  <c r="DL45" i="3"/>
  <c r="DL44" i="3"/>
  <c r="DL43" i="3"/>
  <c r="DL42" i="3"/>
  <c r="DL41" i="3"/>
  <c r="DL40" i="3"/>
  <c r="DL39" i="3"/>
  <c r="DL38" i="3"/>
  <c r="DL37" i="3"/>
  <c r="DL36" i="3"/>
  <c r="DL35" i="3"/>
  <c r="DL34" i="3"/>
  <c r="DL33" i="3"/>
  <c r="DL32" i="3"/>
  <c r="DL31" i="3"/>
  <c r="DL30" i="3"/>
  <c r="DL29" i="3"/>
  <c r="DL28" i="3"/>
  <c r="DL27" i="3"/>
  <c r="DL26" i="3"/>
  <c r="DL25" i="3"/>
  <c r="DL24" i="3"/>
  <c r="DL23" i="3"/>
  <c r="DL22" i="3"/>
  <c r="DL21" i="3"/>
  <c r="DL20" i="3"/>
  <c r="DL19" i="3"/>
  <c r="DL18" i="3"/>
  <c r="DL17" i="3"/>
  <c r="DL16" i="3"/>
  <c r="DL15" i="3"/>
  <c r="DL14" i="3"/>
  <c r="DL13" i="3"/>
  <c r="DL12" i="3"/>
  <c r="DL11" i="3"/>
  <c r="DL10" i="3"/>
  <c r="DL9" i="3"/>
  <c r="DL8" i="3"/>
  <c r="DL7" i="3"/>
  <c r="DL212" i="3" l="1"/>
  <c r="DL245" i="3"/>
  <c r="DL127" i="3"/>
  <c r="DL240" i="3"/>
  <c r="DL132" i="3"/>
  <c r="DL74" i="3"/>
  <c r="DL75" i="3" s="1"/>
  <c r="CC237" i="3" l="1"/>
  <c r="CC99" i="3"/>
  <c r="CC71" i="3"/>
  <c r="CC121" i="3" l="1"/>
  <c r="CC112" i="3"/>
  <c r="CC87" i="3"/>
  <c r="CC197" i="3"/>
  <c r="CC223" i="3"/>
  <c r="CC205" i="3"/>
  <c r="CC222" i="3"/>
  <c r="CY228" i="3" l="1"/>
  <c r="CC228" i="3"/>
  <c r="CK228" i="3" s="1"/>
  <c r="CY278" i="3"/>
  <c r="CC102" i="3"/>
  <c r="CQ105" i="3" l="1"/>
  <c r="CC48" i="3" l="1"/>
  <c r="CB312" i="3" l="1"/>
  <c r="CD80" i="3"/>
  <c r="CC306" i="3"/>
  <c r="CC315" i="3" s="1"/>
  <c r="CD139" i="3" l="1"/>
  <c r="CC7" i="3"/>
  <c r="CA207" i="3" l="1"/>
  <c r="CC207" i="3" l="1"/>
  <c r="CF8" i="3" l="1"/>
  <c r="CQ49" i="3"/>
  <c r="CF239" i="3" l="1"/>
  <c r="CC239" i="3"/>
  <c r="CC251" i="3"/>
  <c r="CF93" i="3" l="1"/>
  <c r="M4" i="4"/>
  <c r="M5" i="4" s="1"/>
  <c r="M6" i="4" l="1"/>
  <c r="M7" i="4" s="1"/>
  <c r="M8" i="4" s="1"/>
  <c r="M9" i="4" s="1"/>
  <c r="CQ48" i="3"/>
  <c r="CP48" i="3"/>
  <c r="CO48" i="3"/>
  <c r="CN48" i="3"/>
  <c r="CM48" i="3"/>
  <c r="CJ48" i="3"/>
  <c r="CI48" i="3"/>
  <c r="CH48" i="3"/>
  <c r="CG48" i="3"/>
  <c r="CF48" i="3"/>
  <c r="M10" i="4" l="1"/>
  <c r="CC80" i="3"/>
  <c r="CM137" i="3" l="1"/>
  <c r="CC137" i="3"/>
  <c r="CC78" i="3"/>
  <c r="CL137" i="3"/>
  <c r="CQ216" i="3"/>
  <c r="CC216" i="3"/>
  <c r="CC256" i="3" l="1"/>
  <c r="CB87" i="3" l="1"/>
  <c r="CB258" i="3"/>
  <c r="CC235" i="3"/>
  <c r="CB235" i="3"/>
  <c r="CP105" i="3" l="1"/>
  <c r="BY286" i="3"/>
  <c r="BZ286" i="3" s="1"/>
  <c r="CA286" i="3" s="1"/>
  <c r="CB286" i="3" s="1"/>
  <c r="CC286" i="3" s="1"/>
  <c r="CD286" i="3" s="1"/>
  <c r="CE286" i="3" s="1"/>
  <c r="CF286" i="3" s="1"/>
  <c r="CG286" i="3" s="1"/>
  <c r="CH286" i="3" s="1"/>
  <c r="CI286" i="3" s="1"/>
  <c r="CJ286" i="3" s="1"/>
  <c r="CK278" i="3"/>
  <c r="BY279" i="3"/>
  <c r="BZ279" i="3" s="1"/>
  <c r="CA279" i="3" s="1"/>
  <c r="CB279" i="3" s="1"/>
  <c r="CC279" i="3" s="1"/>
  <c r="CD279" i="3" s="1"/>
  <c r="CE279" i="3" s="1"/>
  <c r="CF279" i="3" s="1"/>
  <c r="CG279" i="3" s="1"/>
  <c r="CH279" i="3" s="1"/>
  <c r="CI279" i="3" s="1"/>
  <c r="CJ279" i="3" s="1"/>
  <c r="CK279" i="3" s="1"/>
  <c r="CM279" i="3" s="1"/>
  <c r="CN279" i="3" s="1"/>
  <c r="CO279" i="3" s="1"/>
  <c r="CP279" i="3" s="1"/>
  <c r="CQ279" i="3" s="1"/>
  <c r="CR279" i="3" s="1"/>
  <c r="CS279" i="3" s="1"/>
  <c r="CT279" i="3" s="1"/>
  <c r="CU279" i="3" s="1"/>
  <c r="CV279" i="3" s="1"/>
  <c r="CW279" i="3" s="1"/>
  <c r="CX279" i="3" s="1"/>
  <c r="CY279" i="3" s="1"/>
  <c r="BY276" i="3"/>
  <c r="BZ276" i="3" s="1"/>
  <c r="CB256" i="3"/>
  <c r="CC144" i="3"/>
  <c r="CC103" i="3"/>
  <c r="CB207" i="3"/>
  <c r="CB208" i="3"/>
  <c r="CB111" i="3"/>
  <c r="CB121" i="3" l="1"/>
  <c r="CB112" i="3"/>
  <c r="CB306" i="3"/>
  <c r="CB237" i="3"/>
  <c r="CB168" i="3"/>
  <c r="CA87" i="3" l="1"/>
  <c r="CK118" i="3" l="1"/>
  <c r="CY118" i="3"/>
  <c r="BZ165" i="3"/>
  <c r="CL186" i="3" l="1"/>
  <c r="CB186" i="3"/>
  <c r="CC221" i="3"/>
  <c r="CB221" i="3"/>
  <c r="CB107" i="3"/>
  <c r="CB137" i="3"/>
  <c r="CA223" i="3" l="1"/>
  <c r="CB122" i="3" l="1"/>
  <c r="CA235" i="3" l="1"/>
  <c r="CA219" i="3"/>
  <c r="CO105" i="3" l="1"/>
  <c r="CF217" i="3"/>
  <c r="CA217" i="3"/>
  <c r="CA99" i="3"/>
  <c r="CA24" i="3" l="1"/>
  <c r="CA92" i="3"/>
  <c r="CA71" i="3" l="1"/>
  <c r="CB80" i="3" l="1"/>
  <c r="CA306" i="3" l="1"/>
  <c r="CG165" i="3"/>
  <c r="CH165" i="3"/>
  <c r="CI165" i="3"/>
  <c r="CJ165" i="3"/>
  <c r="CB165" i="3"/>
  <c r="CC165" i="3"/>
  <c r="CD165" i="3"/>
  <c r="CA165" i="3"/>
  <c r="CA315" i="3" l="1"/>
  <c r="CA121" i="3"/>
  <c r="CA112" i="3"/>
  <c r="BZ87" i="3"/>
  <c r="CA95" i="3"/>
  <c r="CA137" i="3" l="1"/>
  <c r="CA186" i="3" l="1"/>
  <c r="CA221" i="3"/>
  <c r="CA205" i="3"/>
  <c r="CA80" i="3" l="1"/>
  <c r="BY235" i="3"/>
  <c r="CE107" i="3" l="1"/>
  <c r="CA107" i="3"/>
  <c r="CA208" i="3" l="1"/>
  <c r="BZ223" i="3" l="1"/>
  <c r="BZ99" i="3" l="1"/>
  <c r="BZ90" i="3" l="1"/>
  <c r="BZ81" i="3"/>
  <c r="BY81" i="3"/>
  <c r="BY87" i="3"/>
  <c r="BZ219" i="3" l="1"/>
  <c r="BZ236" i="3"/>
  <c r="BZ204" i="3"/>
  <c r="CA251" i="3" l="1"/>
  <c r="CC209" i="3"/>
  <c r="CN105" i="3"/>
  <c r="BZ122" i="3" l="1"/>
  <c r="BZ306" i="3"/>
  <c r="BZ121" i="3"/>
  <c r="BZ168" i="3"/>
  <c r="BZ112" i="3"/>
  <c r="BY112" i="3"/>
  <c r="BZ33" i="3" l="1"/>
  <c r="BZ31" i="3"/>
  <c r="BZ25" i="3"/>
  <c r="CA202" i="3" l="1"/>
  <c r="BZ101" i="3" l="1"/>
  <c r="BZ48" i="3"/>
  <c r="BZ313" i="3"/>
  <c r="BZ205" i="3" l="1"/>
  <c r="BT162" i="3" l="1"/>
  <c r="BZ79" i="3"/>
  <c r="BN93" i="3" l="1"/>
  <c r="BY99" i="3"/>
  <c r="BY220" i="3" l="1"/>
  <c r="CK203" i="3" l="1"/>
  <c r="CA255" i="3" l="1"/>
  <c r="CD255" i="3"/>
  <c r="CD91" i="3"/>
  <c r="CH237" i="3"/>
  <c r="CY296" i="3" l="1"/>
  <c r="CY293" i="3"/>
  <c r="CY290" i="3"/>
  <c r="CY284" i="3"/>
  <c r="CY272" i="3"/>
  <c r="CY269" i="3"/>
  <c r="CY266" i="3"/>
  <c r="CM281" i="3"/>
  <c r="CN281" i="3" s="1"/>
  <c r="CO281" i="3" s="1"/>
  <c r="CP281" i="3" s="1"/>
  <c r="CQ281" i="3" s="1"/>
  <c r="CR281" i="3" s="1"/>
  <c r="CS281" i="3" s="1"/>
  <c r="CT281" i="3" s="1"/>
  <c r="CU281" i="3" s="1"/>
  <c r="CV281" i="3" s="1"/>
  <c r="CW281" i="3" s="1"/>
  <c r="CX281" i="3" s="1"/>
  <c r="CL237" i="3"/>
  <c r="BZ237" i="3"/>
  <c r="CY281" i="3" l="1"/>
  <c r="BZ238" i="3"/>
  <c r="CG238" i="3"/>
  <c r="BY296" i="3" l="1"/>
  <c r="BY310" i="3"/>
  <c r="CY102" i="3" l="1"/>
  <c r="CY104" i="3"/>
  <c r="CK275" i="3"/>
  <c r="CK266" i="3"/>
  <c r="CM105" i="3" l="1"/>
  <c r="CY105" i="3" s="1"/>
  <c r="CJ105" i="3"/>
  <c r="CI105" i="3"/>
  <c r="CH105" i="3"/>
  <c r="CG105" i="3"/>
  <c r="CF105" i="3"/>
  <c r="CY227" i="3"/>
  <c r="CK227" i="3"/>
  <c r="CM229" i="3"/>
  <c r="CY229" i="3" s="1"/>
  <c r="CJ229" i="3"/>
  <c r="CI229" i="3"/>
  <c r="CI240" i="3" s="1"/>
  <c r="CH229" i="3"/>
  <c r="CG229" i="3"/>
  <c r="CF229" i="3"/>
  <c r="CE229" i="3"/>
  <c r="CK104" i="3"/>
  <c r="AK116" i="3"/>
  <c r="AK115" i="3"/>
  <c r="AK114" i="3"/>
  <c r="AK113" i="3"/>
  <c r="AK108" i="3"/>
  <c r="AK107" i="3"/>
  <c r="AK106" i="3"/>
  <c r="AK104" i="3"/>
  <c r="AK103" i="3"/>
  <c r="AK102" i="3"/>
  <c r="AB125" i="3"/>
  <c r="AB123" i="3"/>
  <c r="AB122" i="3"/>
  <c r="AB121" i="3"/>
  <c r="AB120" i="3"/>
  <c r="AB117" i="3"/>
  <c r="AB116" i="3"/>
  <c r="AB115" i="3"/>
  <c r="AB114" i="3"/>
  <c r="AB113" i="3"/>
  <c r="AB112" i="3"/>
  <c r="AB111" i="3"/>
  <c r="AB110" i="3"/>
  <c r="AB109" i="3"/>
  <c r="AB108" i="3"/>
  <c r="AB107" i="3"/>
  <c r="AB106" i="3"/>
  <c r="AB104" i="3"/>
  <c r="AB103" i="3"/>
  <c r="AB102" i="3"/>
  <c r="CO263" i="3"/>
  <c r="CR263" i="3" s="1"/>
  <c r="CU263" i="3" s="1"/>
  <c r="CX263" i="3" s="1"/>
  <c r="CN250" i="3"/>
  <c r="CM250" i="3"/>
  <c r="CM249" i="3"/>
  <c r="CN249" i="3" s="1"/>
  <c r="CO249" i="3" s="1"/>
  <c r="CP249" i="3" s="1"/>
  <c r="CQ249" i="3" s="1"/>
  <c r="CR249" i="3" s="1"/>
  <c r="CS249" i="3" s="1"/>
  <c r="CT249" i="3" s="1"/>
  <c r="CU249" i="3" s="1"/>
  <c r="CV249" i="3" s="1"/>
  <c r="CW249" i="3" s="1"/>
  <c r="CX249" i="3" s="1"/>
  <c r="CM225" i="3"/>
  <c r="CN225" i="3" s="1"/>
  <c r="CO225" i="3" s="1"/>
  <c r="CP225" i="3" s="1"/>
  <c r="CQ225" i="3" s="1"/>
  <c r="CR225" i="3" s="1"/>
  <c r="CS225" i="3" s="1"/>
  <c r="CT225" i="3" s="1"/>
  <c r="CU225" i="3" s="1"/>
  <c r="CV225" i="3" s="1"/>
  <c r="CW225" i="3" s="1"/>
  <c r="CX225" i="3" s="1"/>
  <c r="CX240" i="3" s="1"/>
  <c r="CP217" i="3"/>
  <c r="CO217" i="3"/>
  <c r="CN216" i="3"/>
  <c r="CM216" i="3"/>
  <c r="CX165" i="3"/>
  <c r="CW165" i="3"/>
  <c r="CV165" i="3"/>
  <c r="CU165" i="3"/>
  <c r="CT165" i="3"/>
  <c r="CS165" i="3"/>
  <c r="CR165" i="3"/>
  <c r="CQ165" i="3"/>
  <c r="CP165" i="3"/>
  <c r="CO165" i="3"/>
  <c r="CN165" i="3"/>
  <c r="CM165" i="3"/>
  <c r="CM147" i="3"/>
  <c r="CN147" i="3" s="1"/>
  <c r="CO147" i="3" s="1"/>
  <c r="CP147" i="3" s="1"/>
  <c r="CQ147" i="3" s="1"/>
  <c r="CR147" i="3" s="1"/>
  <c r="CS147" i="3" s="1"/>
  <c r="CT147" i="3" s="1"/>
  <c r="CU147" i="3" s="1"/>
  <c r="CV147" i="3" s="1"/>
  <c r="CW147" i="3" s="1"/>
  <c r="CX147" i="3" s="1"/>
  <c r="CM144" i="3"/>
  <c r="CN144" i="3" s="1"/>
  <c r="CO144" i="3" s="1"/>
  <c r="CP144" i="3" s="1"/>
  <c r="CQ144" i="3" s="1"/>
  <c r="CR144" i="3" s="1"/>
  <c r="CS144" i="3" s="1"/>
  <c r="CT144" i="3" s="1"/>
  <c r="CU144" i="3" s="1"/>
  <c r="CV144" i="3" s="1"/>
  <c r="CW144" i="3" s="1"/>
  <c r="CX144" i="3" s="1"/>
  <c r="CY275" i="3"/>
  <c r="CY156" i="3"/>
  <c r="CY153" i="3"/>
  <c r="CK229" i="3" l="1"/>
  <c r="CK105" i="3"/>
  <c r="CM240" i="3"/>
  <c r="CO240" i="3"/>
  <c r="CW240" i="3"/>
  <c r="CP240" i="3"/>
  <c r="CT240" i="3"/>
  <c r="CN240" i="3"/>
  <c r="CS240" i="3"/>
  <c r="CQ240" i="3"/>
  <c r="CU240" i="3"/>
  <c r="CR240" i="3"/>
  <c r="CV240" i="3"/>
  <c r="CY263" i="3"/>
  <c r="BZ95" i="3"/>
  <c r="CK281" i="3" l="1"/>
  <c r="CY220" i="3"/>
  <c r="CK198" i="3"/>
  <c r="CK162" i="3"/>
  <c r="CK156" i="3"/>
  <c r="CK153" i="3"/>
  <c r="CK147" i="3"/>
  <c r="CK139" i="3"/>
  <c r="CK138" i="3"/>
  <c r="BZ157" i="3" l="1"/>
  <c r="CA157" i="3" s="1"/>
  <c r="CB157" i="3" s="1"/>
  <c r="CC157" i="3" s="1"/>
  <c r="CD157" i="3" s="1"/>
  <c r="CE157" i="3" s="1"/>
  <c r="CF157" i="3" s="1"/>
  <c r="CG157" i="3" s="1"/>
  <c r="CH157" i="3" s="1"/>
  <c r="CI157" i="3" s="1"/>
  <c r="CJ157" i="3" s="1"/>
  <c r="BY154" i="3"/>
  <c r="BZ154" i="3" s="1"/>
  <c r="CA154" i="3" s="1"/>
  <c r="CB154" i="3" s="1"/>
  <c r="CC154" i="3" s="1"/>
  <c r="CD154" i="3" s="1"/>
  <c r="CE154" i="3" s="1"/>
  <c r="CF154" i="3" s="1"/>
  <c r="CG154" i="3" s="1"/>
  <c r="CH154" i="3" s="1"/>
  <c r="CI154" i="3" s="1"/>
  <c r="CJ154" i="3" s="1"/>
  <c r="CF255" i="3"/>
  <c r="CK157" i="3" l="1"/>
  <c r="CM157" i="3"/>
  <c r="CN157" i="3" s="1"/>
  <c r="CO157" i="3" s="1"/>
  <c r="CP157" i="3" s="1"/>
  <c r="CQ157" i="3" s="1"/>
  <c r="CR157" i="3" s="1"/>
  <c r="CS157" i="3" s="1"/>
  <c r="CT157" i="3" s="1"/>
  <c r="CU157" i="3" s="1"/>
  <c r="CV157" i="3" s="1"/>
  <c r="CW157" i="3" s="1"/>
  <c r="CX157" i="3" s="1"/>
  <c r="CK154" i="3"/>
  <c r="CM154" i="3"/>
  <c r="CN154" i="3" s="1"/>
  <c r="CO154" i="3" s="1"/>
  <c r="CP154" i="3" s="1"/>
  <c r="CQ154" i="3" s="1"/>
  <c r="CR154" i="3" s="1"/>
  <c r="CS154" i="3" s="1"/>
  <c r="CT154" i="3" s="1"/>
  <c r="CU154" i="3" s="1"/>
  <c r="CV154" i="3" s="1"/>
  <c r="CW154" i="3" s="1"/>
  <c r="CX154" i="3" s="1"/>
  <c r="BY204" i="3" l="1"/>
  <c r="BZ258" i="3"/>
  <c r="BY165" i="3"/>
  <c r="BY223" i="3" l="1"/>
  <c r="BY48" i="3"/>
  <c r="BZ102" i="3" l="1"/>
  <c r="BZ103" i="3"/>
  <c r="BZ144" i="3"/>
  <c r="CK144" i="3" s="1"/>
  <c r="CA32" i="3"/>
  <c r="BZ209" i="3"/>
  <c r="BZ212" i="3" s="1"/>
  <c r="BZ98" i="3"/>
  <c r="BY306" i="3" l="1"/>
  <c r="BY219" i="3"/>
  <c r="BZ234" i="3"/>
  <c r="BZ222" i="3" l="1"/>
  <c r="CK197" i="3"/>
  <c r="BY297" i="3"/>
  <c r="CK220" i="3" l="1"/>
  <c r="BY49" i="3" l="1"/>
  <c r="BY111" i="3" l="1"/>
  <c r="BW111" i="3"/>
  <c r="BY93" i="3" l="1"/>
  <c r="BV102" i="3" l="1"/>
  <c r="CO81" i="3"/>
  <c r="CS93" i="3"/>
  <c r="CY73" i="3"/>
  <c r="CY72" i="3"/>
  <c r="CY71" i="3"/>
  <c r="CY70" i="3"/>
  <c r="CY69" i="3"/>
  <c r="CY68" i="3"/>
  <c r="CY67" i="3"/>
  <c r="CY66" i="3"/>
  <c r="CY65" i="3"/>
  <c r="CY64" i="3"/>
  <c r="CY63" i="3"/>
  <c r="CY62" i="3"/>
  <c r="CY61" i="3"/>
  <c r="CY60" i="3"/>
  <c r="CY59" i="3"/>
  <c r="CY58" i="3"/>
  <c r="CY57" i="3"/>
  <c r="CY56" i="3"/>
  <c r="CY55" i="3"/>
  <c r="CY54" i="3"/>
  <c r="CY53" i="3"/>
  <c r="CY52" i="3"/>
  <c r="CY51" i="3"/>
  <c r="CY50" i="3"/>
  <c r="CY49" i="3"/>
  <c r="CY48" i="3"/>
  <c r="CY47" i="3"/>
  <c r="CY46" i="3"/>
  <c r="CY45" i="3"/>
  <c r="CY44" i="3"/>
  <c r="CY43" i="3"/>
  <c r="CY42" i="3"/>
  <c r="CY41" i="3"/>
  <c r="CY40" i="3"/>
  <c r="CY39" i="3"/>
  <c r="CY36" i="3"/>
  <c r="CY35" i="3"/>
  <c r="CY34" i="3"/>
  <c r="CY32" i="3"/>
  <c r="CY31" i="3"/>
  <c r="CY30" i="3"/>
  <c r="CY29" i="3"/>
  <c r="CY28" i="3"/>
  <c r="CY27" i="3"/>
  <c r="CY26" i="3"/>
  <c r="CY25" i="3"/>
  <c r="CY23" i="3"/>
  <c r="CY22" i="3"/>
  <c r="CY21" i="3"/>
  <c r="CY20" i="3"/>
  <c r="CY19" i="3"/>
  <c r="CY18" i="3"/>
  <c r="CY17" i="3"/>
  <c r="CY16" i="3"/>
  <c r="CY15" i="3"/>
  <c r="CY14" i="3"/>
  <c r="CY13" i="3"/>
  <c r="CY12" i="3"/>
  <c r="CY11" i="3"/>
  <c r="CY10" i="3"/>
  <c r="CY9" i="3"/>
  <c r="CY8" i="3"/>
  <c r="CY211" i="3"/>
  <c r="CY210" i="3"/>
  <c r="CY209" i="3"/>
  <c r="CY189" i="3"/>
  <c r="CY186" i="3"/>
  <c r="CY183" i="3"/>
  <c r="CY180" i="3"/>
  <c r="CY177" i="3"/>
  <c r="CY174" i="3"/>
  <c r="CY171" i="3"/>
  <c r="CY168" i="3"/>
  <c r="CY165" i="3"/>
  <c r="CY162" i="3"/>
  <c r="CY159" i="3"/>
  <c r="CY150" i="3"/>
  <c r="CY147" i="3"/>
  <c r="CY144" i="3"/>
  <c r="CY138" i="3"/>
  <c r="CK70" i="3"/>
  <c r="CK69" i="3"/>
  <c r="CK68" i="3"/>
  <c r="CK67" i="3"/>
  <c r="CK66" i="3"/>
  <c r="CK65" i="3"/>
  <c r="CK63" i="3"/>
  <c r="CK62" i="3"/>
  <c r="CK61" i="3"/>
  <c r="CK60" i="3"/>
  <c r="CK59" i="3"/>
  <c r="CK58" i="3"/>
  <c r="CK57" i="3"/>
  <c r="CK56" i="3"/>
  <c r="CK55" i="3"/>
  <c r="CK54" i="3"/>
  <c r="CK53" i="3"/>
  <c r="CK52" i="3"/>
  <c r="CK51" i="3"/>
  <c r="CK50" i="3"/>
  <c r="CK47" i="3"/>
  <c r="CK45" i="3"/>
  <c r="CK44" i="3"/>
  <c r="CK43" i="3"/>
  <c r="CK42" i="3"/>
  <c r="CK41" i="3"/>
  <c r="CK40" i="3"/>
  <c r="CK39" i="3"/>
  <c r="CK38" i="3"/>
  <c r="CK36" i="3"/>
  <c r="CK35" i="3"/>
  <c r="CK34" i="3"/>
  <c r="CK32" i="3"/>
  <c r="CK31" i="3"/>
  <c r="CK30" i="3"/>
  <c r="CK29" i="3"/>
  <c r="CK28" i="3"/>
  <c r="CK27" i="3"/>
  <c r="CK26" i="3"/>
  <c r="CK25" i="3"/>
  <c r="CK23" i="3"/>
  <c r="CK21" i="3"/>
  <c r="CK19" i="3"/>
  <c r="CK18" i="3"/>
  <c r="CK17" i="3"/>
  <c r="CK15" i="3"/>
  <c r="CK14" i="3"/>
  <c r="CK13" i="3"/>
  <c r="CK12" i="3"/>
  <c r="CK11" i="3"/>
  <c r="CK10" i="3"/>
  <c r="CK9" i="3"/>
  <c r="CK8" i="3"/>
  <c r="CK6" i="3"/>
  <c r="CY6" i="3"/>
  <c r="BY294" i="3"/>
  <c r="BZ294" i="3" s="1"/>
  <c r="CA294" i="3" s="1"/>
  <c r="CB294" i="3" s="1"/>
  <c r="CC294" i="3" s="1"/>
  <c r="CD294" i="3" s="1"/>
  <c r="CE294" i="3" s="1"/>
  <c r="CF294" i="3" s="1"/>
  <c r="CG294" i="3" s="1"/>
  <c r="CH294" i="3" s="1"/>
  <c r="CI294" i="3" s="1"/>
  <c r="CJ294" i="3" s="1"/>
  <c r="CK294" i="3" s="1"/>
  <c r="CM294" i="3" s="1"/>
  <c r="CN294" i="3" s="1"/>
  <c r="CO294" i="3" s="1"/>
  <c r="CP294" i="3" s="1"/>
  <c r="CQ294" i="3" s="1"/>
  <c r="CR294" i="3" s="1"/>
  <c r="CS294" i="3" s="1"/>
  <c r="CT294" i="3" s="1"/>
  <c r="CU294" i="3" s="1"/>
  <c r="CV294" i="3" s="1"/>
  <c r="CW294" i="3" s="1"/>
  <c r="CX294" i="3" s="1"/>
  <c r="BY291" i="3"/>
  <c r="BZ291" i="3" s="1"/>
  <c r="CA291" i="3" s="1"/>
  <c r="CB291" i="3" s="1"/>
  <c r="CC291" i="3" s="1"/>
  <c r="CD291" i="3" s="1"/>
  <c r="CE291" i="3" s="1"/>
  <c r="CF291" i="3" s="1"/>
  <c r="CG291" i="3" s="1"/>
  <c r="CH291" i="3" s="1"/>
  <c r="CI291" i="3" s="1"/>
  <c r="CJ291" i="3" s="1"/>
  <c r="CY249" i="3"/>
  <c r="CY250" i="3"/>
  <c r="CM244" i="3"/>
  <c r="CX243" i="3"/>
  <c r="CW243" i="3"/>
  <c r="CV243" i="3"/>
  <c r="CU243" i="3"/>
  <c r="CT243" i="3"/>
  <c r="CS243" i="3"/>
  <c r="CR243" i="3"/>
  <c r="CQ243" i="3"/>
  <c r="CP243" i="3"/>
  <c r="CO243" i="3"/>
  <c r="CN243" i="3"/>
  <c r="CM243" i="3"/>
  <c r="CE150" i="3"/>
  <c r="CK150" i="3" s="1"/>
  <c r="CL238" i="3"/>
  <c r="CA336" i="3"/>
  <c r="CK199" i="3" l="1"/>
  <c r="CK102" i="3"/>
  <c r="CS97" i="3"/>
  <c r="CK291" i="3"/>
  <c r="CM291" i="3" s="1"/>
  <c r="CN291" i="3" s="1"/>
  <c r="CO291" i="3" s="1"/>
  <c r="CP291" i="3" s="1"/>
  <c r="CQ291" i="3" s="1"/>
  <c r="CR291" i="3" s="1"/>
  <c r="CS291" i="3" s="1"/>
  <c r="CT291" i="3" s="1"/>
  <c r="CU291" i="3" s="1"/>
  <c r="CV291" i="3" s="1"/>
  <c r="CW291" i="3" s="1"/>
  <c r="CX291" i="3" s="1"/>
  <c r="CJ212" i="3"/>
  <c r="CI212" i="3"/>
  <c r="CH212" i="3"/>
  <c r="CG212" i="3"/>
  <c r="CF212" i="3"/>
  <c r="CE212" i="3"/>
  <c r="CD212" i="3"/>
  <c r="CC212" i="3"/>
  <c r="CA212" i="3"/>
  <c r="CJ199" i="3"/>
  <c r="CI199" i="3"/>
  <c r="CI243" i="3" s="1"/>
  <c r="CH199" i="3"/>
  <c r="CH243" i="3" s="1"/>
  <c r="CG199" i="3"/>
  <c r="CG243" i="3" s="1"/>
  <c r="CF199" i="3"/>
  <c r="CF243" i="3" s="1"/>
  <c r="CE199" i="3"/>
  <c r="CE243" i="3" s="1"/>
  <c r="CD199" i="3"/>
  <c r="CC199" i="3"/>
  <c r="CC243" i="3" s="1"/>
  <c r="CB199" i="3"/>
  <c r="CB243" i="3" s="1"/>
  <c r="CA199" i="3"/>
  <c r="CA243" i="3" s="1"/>
  <c r="BZ199" i="3"/>
  <c r="BZ243" i="3" s="1"/>
  <c r="CK210" i="3"/>
  <c r="CB211" i="3"/>
  <c r="CK211" i="3" s="1"/>
  <c r="BY209" i="3"/>
  <c r="BY212" i="3" s="1"/>
  <c r="BY199" i="3"/>
  <c r="BY213" i="3" l="1"/>
  <c r="BY243" i="3"/>
  <c r="CJ213" i="3"/>
  <c r="CD213" i="3"/>
  <c r="CF213" i="3"/>
  <c r="CJ243" i="3"/>
  <c r="CH213" i="3"/>
  <c r="CD243" i="3"/>
  <c r="BZ213" i="3"/>
  <c r="CA213" i="3"/>
  <c r="CE213" i="3"/>
  <c r="CI213" i="3"/>
  <c r="CC213" i="3"/>
  <c r="CG213" i="3"/>
  <c r="CB212" i="3"/>
  <c r="CK209" i="3"/>
  <c r="CK243" i="3" l="1"/>
  <c r="CB213" i="3"/>
  <c r="CX121" i="3" l="1"/>
  <c r="CW121" i="3"/>
  <c r="CV121" i="3"/>
  <c r="CU121" i="3"/>
  <c r="CT121" i="3"/>
  <c r="CS121" i="3"/>
  <c r="CR121" i="3"/>
  <c r="CQ121" i="3"/>
  <c r="CP121" i="3"/>
  <c r="CO121" i="3"/>
  <c r="CN121" i="3"/>
  <c r="CM121" i="3"/>
  <c r="CR114" i="3"/>
  <c r="CT98" i="3"/>
  <c r="CO98" i="3"/>
  <c r="CO93" i="3"/>
  <c r="CT81" i="3"/>
  <c r="CS81" i="3"/>
  <c r="BY122" i="3" l="1"/>
  <c r="BY237" i="3" l="1"/>
  <c r="CM111" i="3" l="1"/>
  <c r="BR137" i="3" l="1"/>
  <c r="CG240" i="3" l="1"/>
  <c r="CD240" i="3"/>
  <c r="BY218" i="3"/>
  <c r="CY251" i="3" l="1"/>
  <c r="CY252" i="3"/>
  <c r="CY253" i="3"/>
  <c r="CY254" i="3"/>
  <c r="CY255" i="3"/>
  <c r="CY256" i="3"/>
  <c r="CY257" i="3"/>
  <c r="CY258" i="3"/>
  <c r="CY243" i="3"/>
  <c r="CY216" i="3"/>
  <c r="CY217" i="3"/>
  <c r="CY218" i="3"/>
  <c r="CY219" i="3"/>
  <c r="CY221" i="3"/>
  <c r="CY222" i="3"/>
  <c r="CY223" i="3"/>
  <c r="CY224" i="3"/>
  <c r="CY225" i="3"/>
  <c r="CY226" i="3"/>
  <c r="CY230" i="3"/>
  <c r="CY231" i="3"/>
  <c r="CY232" i="3"/>
  <c r="CY233" i="3"/>
  <c r="CY234" i="3"/>
  <c r="CY235" i="3"/>
  <c r="CY236" i="3"/>
  <c r="CY237" i="3"/>
  <c r="CY238" i="3"/>
  <c r="CY239" i="3"/>
  <c r="CY207" i="3"/>
  <c r="CY208" i="3"/>
  <c r="CY202" i="3"/>
  <c r="CK202" i="3"/>
  <c r="CY204" i="3"/>
  <c r="CY205" i="3"/>
  <c r="CY212" i="3" l="1"/>
  <c r="CY240" i="3"/>
  <c r="CK239" i="3" l="1"/>
  <c r="CK234" i="3"/>
  <c r="CK219" i="3"/>
  <c r="BZ297" i="3"/>
  <c r="BY264" i="3"/>
  <c r="BZ264" i="3" s="1"/>
  <c r="CA264" i="3" s="1"/>
  <c r="CB264" i="3" s="1"/>
  <c r="CC264" i="3" s="1"/>
  <c r="BZ285" i="3"/>
  <c r="CA285" i="3" s="1"/>
  <c r="CB285" i="3" s="1"/>
  <c r="CC285" i="3" s="1"/>
  <c r="CD285" i="3" s="1"/>
  <c r="CE285" i="3" s="1"/>
  <c r="CF285" i="3" s="1"/>
  <c r="CG285" i="3" s="1"/>
  <c r="CH285" i="3" s="1"/>
  <c r="CI285" i="3" s="1"/>
  <c r="CJ285" i="3" s="1"/>
  <c r="CK285" i="3" s="1"/>
  <c r="CM285" i="3" s="1"/>
  <c r="CN285" i="3" s="1"/>
  <c r="CO285" i="3" s="1"/>
  <c r="CP285" i="3" s="1"/>
  <c r="CQ285" i="3" s="1"/>
  <c r="CR285" i="3" s="1"/>
  <c r="CS285" i="3" s="1"/>
  <c r="CT285" i="3" s="1"/>
  <c r="CU285" i="3" s="1"/>
  <c r="CV285" i="3" s="1"/>
  <c r="CW285" i="3" s="1"/>
  <c r="CX285" i="3" s="1"/>
  <c r="CY285" i="3" s="1"/>
  <c r="BZ282" i="3"/>
  <c r="CA282" i="3" s="1"/>
  <c r="CB282" i="3" s="1"/>
  <c r="CC282" i="3" s="1"/>
  <c r="CD282" i="3" s="1"/>
  <c r="CE282" i="3" s="1"/>
  <c r="CF282" i="3" s="1"/>
  <c r="CG282" i="3" s="1"/>
  <c r="CH282" i="3" s="1"/>
  <c r="CI282" i="3" s="1"/>
  <c r="CJ282" i="3" s="1"/>
  <c r="CK282" i="3" s="1"/>
  <c r="CM282" i="3" s="1"/>
  <c r="CN282" i="3" s="1"/>
  <c r="CO282" i="3" s="1"/>
  <c r="CP282" i="3" s="1"/>
  <c r="CQ282" i="3" s="1"/>
  <c r="CR282" i="3" s="1"/>
  <c r="CS282" i="3" s="1"/>
  <c r="CT282" i="3" s="1"/>
  <c r="CU282" i="3" s="1"/>
  <c r="CV282" i="3" s="1"/>
  <c r="CW282" i="3" s="1"/>
  <c r="CX282" i="3" s="1"/>
  <c r="CY282" i="3" s="1"/>
  <c r="CA276" i="3"/>
  <c r="CB276" i="3" s="1"/>
  <c r="CC276" i="3" s="1"/>
  <c r="CD276" i="3" s="1"/>
  <c r="CE276" i="3" s="1"/>
  <c r="CF276" i="3" s="1"/>
  <c r="CG276" i="3" s="1"/>
  <c r="CH276" i="3" s="1"/>
  <c r="CI276" i="3" s="1"/>
  <c r="CJ276" i="3" s="1"/>
  <c r="CK276" i="3" s="1"/>
  <c r="BZ273" i="3"/>
  <c r="CA273" i="3" s="1"/>
  <c r="CB273" i="3" s="1"/>
  <c r="CC273" i="3" s="1"/>
  <c r="CD273" i="3" s="1"/>
  <c r="CE273" i="3" s="1"/>
  <c r="CF273" i="3" s="1"/>
  <c r="CG273" i="3" s="1"/>
  <c r="CH273" i="3" s="1"/>
  <c r="CI273" i="3" s="1"/>
  <c r="CJ273" i="3" s="1"/>
  <c r="CK273" i="3" s="1"/>
  <c r="BZ270" i="3"/>
  <c r="CA270" i="3" s="1"/>
  <c r="CB270" i="3" s="1"/>
  <c r="CC270" i="3" s="1"/>
  <c r="CD270" i="3" s="1"/>
  <c r="CE270" i="3" s="1"/>
  <c r="CF270" i="3" s="1"/>
  <c r="CG270" i="3" s="1"/>
  <c r="CH270" i="3" s="1"/>
  <c r="CI270" i="3" s="1"/>
  <c r="CJ270" i="3" s="1"/>
  <c r="CK270" i="3" s="1"/>
  <c r="CM270" i="3" s="1"/>
  <c r="CN270" i="3" s="1"/>
  <c r="CO270" i="3" s="1"/>
  <c r="CP270" i="3" s="1"/>
  <c r="CQ270" i="3" s="1"/>
  <c r="CR270" i="3" s="1"/>
  <c r="CS270" i="3" s="1"/>
  <c r="CT270" i="3" s="1"/>
  <c r="CU270" i="3" s="1"/>
  <c r="CV270" i="3" s="1"/>
  <c r="CW270" i="3" s="1"/>
  <c r="CX270" i="3" s="1"/>
  <c r="CY270" i="3" s="1"/>
  <c r="BY267" i="3"/>
  <c r="BZ267" i="3" s="1"/>
  <c r="CA267" i="3" s="1"/>
  <c r="CB267" i="3" s="1"/>
  <c r="CC267" i="3" s="1"/>
  <c r="CD267" i="3" s="1"/>
  <c r="CE267" i="3" s="1"/>
  <c r="CF267" i="3" s="1"/>
  <c r="CG267" i="3" s="1"/>
  <c r="CH267" i="3" s="1"/>
  <c r="CI267" i="3" s="1"/>
  <c r="CJ267" i="3" s="1"/>
  <c r="CK267" i="3" s="1"/>
  <c r="CM267" i="3" s="1"/>
  <c r="CN267" i="3" s="1"/>
  <c r="CO267" i="3" s="1"/>
  <c r="CP267" i="3" s="1"/>
  <c r="CQ267" i="3" s="1"/>
  <c r="CR267" i="3" s="1"/>
  <c r="CS267" i="3" s="1"/>
  <c r="CT267" i="3" s="1"/>
  <c r="CU267" i="3" s="1"/>
  <c r="CV267" i="3" s="1"/>
  <c r="CW267" i="3" s="1"/>
  <c r="CX267" i="3" s="1"/>
  <c r="CY267" i="3" s="1"/>
  <c r="CK263" i="3"/>
  <c r="CK251" i="3"/>
  <c r="CK252" i="3"/>
  <c r="CK255" i="3"/>
  <c r="CK256" i="3"/>
  <c r="CK258" i="3"/>
  <c r="CK249" i="3"/>
  <c r="CK257" i="3"/>
  <c r="CK253" i="3"/>
  <c r="BZ250" i="3"/>
  <c r="BY250" i="3"/>
  <c r="BY259" i="3" s="1"/>
  <c r="CK242" i="3"/>
  <c r="CK218" i="3"/>
  <c r="CK222" i="3"/>
  <c r="CK223" i="3"/>
  <c r="CK224" i="3"/>
  <c r="CK225" i="3"/>
  <c r="CK230" i="3"/>
  <c r="CK231" i="3"/>
  <c r="CK232" i="3"/>
  <c r="CK233" i="3"/>
  <c r="CK236" i="3"/>
  <c r="CD244" i="3"/>
  <c r="CG244" i="3"/>
  <c r="CI244" i="3"/>
  <c r="CK238" i="3"/>
  <c r="CK237" i="3"/>
  <c r="CK235" i="3"/>
  <c r="BZ226" i="3"/>
  <c r="BY226" i="3"/>
  <c r="CJ221" i="3"/>
  <c r="CJ240" i="3" s="1"/>
  <c r="CJ244" i="3" s="1"/>
  <c r="CH217" i="3"/>
  <c r="CA240" i="3"/>
  <c r="BZ216" i="3"/>
  <c r="BY216" i="3"/>
  <c r="CK208" i="3"/>
  <c r="CN212" i="3"/>
  <c r="CN244" i="3" s="1"/>
  <c r="CO212" i="3"/>
  <c r="CO244" i="3" s="1"/>
  <c r="CP212" i="3"/>
  <c r="CP244" i="3" s="1"/>
  <c r="CQ212" i="3"/>
  <c r="CQ244" i="3" s="1"/>
  <c r="CR212" i="3"/>
  <c r="CR244" i="3" s="1"/>
  <c r="CS212" i="3"/>
  <c r="CS244" i="3" s="1"/>
  <c r="CT212" i="3"/>
  <c r="CT244" i="3" s="1"/>
  <c r="CU212" i="3"/>
  <c r="CU244" i="3" s="1"/>
  <c r="CV212" i="3"/>
  <c r="CV244" i="3" s="1"/>
  <c r="CW212" i="3"/>
  <c r="CW244" i="3" s="1"/>
  <c r="CX212" i="3"/>
  <c r="CX244" i="3" s="1"/>
  <c r="CK205" i="3"/>
  <c r="CY78" i="3"/>
  <c r="CY79" i="3"/>
  <c r="CY80" i="3"/>
  <c r="CY81" i="3"/>
  <c r="CY82" i="3"/>
  <c r="CY83" i="3"/>
  <c r="CY84" i="3"/>
  <c r="CY85" i="3"/>
  <c r="CY86" i="3"/>
  <c r="CY87" i="3"/>
  <c r="CY88" i="3"/>
  <c r="CY89" i="3"/>
  <c r="CY90" i="3"/>
  <c r="CY91" i="3"/>
  <c r="CY92" i="3"/>
  <c r="CY93" i="3"/>
  <c r="CY94" i="3"/>
  <c r="CY95" i="3"/>
  <c r="CY99" i="3"/>
  <c r="CY101" i="3"/>
  <c r="CY106" i="3"/>
  <c r="CY107" i="3"/>
  <c r="CY108" i="3"/>
  <c r="CY109" i="3"/>
  <c r="CY110" i="3"/>
  <c r="CY111" i="3"/>
  <c r="CY112" i="3"/>
  <c r="CY113" i="3"/>
  <c r="CY114" i="3"/>
  <c r="CY115" i="3"/>
  <c r="CY116" i="3"/>
  <c r="CY117" i="3"/>
  <c r="CY120" i="3"/>
  <c r="CY121" i="3"/>
  <c r="CY122" i="3"/>
  <c r="CY123" i="3"/>
  <c r="CY124" i="3"/>
  <c r="CY125" i="3"/>
  <c r="CK204" i="3"/>
  <c r="CF240" i="3" l="1"/>
  <c r="CF244" i="3" s="1"/>
  <c r="CH240" i="3"/>
  <c r="CH244" i="3" s="1"/>
  <c r="CC240" i="3"/>
  <c r="CC244" i="3" s="1"/>
  <c r="CE240" i="3"/>
  <c r="CE244" i="3" s="1"/>
  <c r="CM273" i="3"/>
  <c r="CN273" i="3" s="1"/>
  <c r="CO273" i="3" s="1"/>
  <c r="CP273" i="3" s="1"/>
  <c r="CQ273" i="3" s="1"/>
  <c r="CR273" i="3" s="1"/>
  <c r="CS273" i="3" s="1"/>
  <c r="CT273" i="3" s="1"/>
  <c r="CU273" i="3" s="1"/>
  <c r="CV273" i="3" s="1"/>
  <c r="CW273" i="3" s="1"/>
  <c r="CX273" i="3" s="1"/>
  <c r="CY273" i="3" s="1"/>
  <c r="CM276" i="3"/>
  <c r="CN276" i="3" s="1"/>
  <c r="CO276" i="3" s="1"/>
  <c r="CP276" i="3" s="1"/>
  <c r="CQ276" i="3" s="1"/>
  <c r="CR276" i="3" s="1"/>
  <c r="CS276" i="3" s="1"/>
  <c r="CT276" i="3" s="1"/>
  <c r="CU276" i="3" s="1"/>
  <c r="CV276" i="3" s="1"/>
  <c r="CW276" i="3" s="1"/>
  <c r="CX276" i="3" s="1"/>
  <c r="CY276" i="3" s="1"/>
  <c r="BY240" i="3"/>
  <c r="BY244" i="3" s="1"/>
  <c r="BY298" i="3" s="1"/>
  <c r="BZ240" i="3"/>
  <c r="BZ244" i="3" s="1"/>
  <c r="CB240" i="3"/>
  <c r="CB244" i="3" s="1"/>
  <c r="CY244" i="3"/>
  <c r="BZ259" i="3"/>
  <c r="CA259" i="3" s="1"/>
  <c r="CB259" i="3" s="1"/>
  <c r="CC259" i="3" s="1"/>
  <c r="CD259" i="3" s="1"/>
  <c r="CE259" i="3" s="1"/>
  <c r="CF259" i="3" s="1"/>
  <c r="CG259" i="3" s="1"/>
  <c r="CH259" i="3" s="1"/>
  <c r="CI259" i="3" s="1"/>
  <c r="CJ259" i="3" s="1"/>
  <c r="CK259" i="3" s="1"/>
  <c r="CM259" i="3" s="1"/>
  <c r="CK254" i="3"/>
  <c r="CD264" i="3"/>
  <c r="CE264" i="3" s="1"/>
  <c r="CF264" i="3" s="1"/>
  <c r="CG264" i="3" s="1"/>
  <c r="CH264" i="3" s="1"/>
  <c r="CI264" i="3" s="1"/>
  <c r="CJ264" i="3" s="1"/>
  <c r="CK264" i="3" s="1"/>
  <c r="CK286" i="3"/>
  <c r="CK250" i="3"/>
  <c r="CK217" i="3"/>
  <c r="CK221" i="3"/>
  <c r="CK216" i="3"/>
  <c r="CK226" i="3"/>
  <c r="CA297" i="3"/>
  <c r="CB297" i="3" s="1"/>
  <c r="CC297" i="3" s="1"/>
  <c r="CD297" i="3" s="1"/>
  <c r="CE297" i="3" s="1"/>
  <c r="CF297" i="3" s="1"/>
  <c r="CG297" i="3" s="1"/>
  <c r="CH297" i="3" s="1"/>
  <c r="CI297" i="3" s="1"/>
  <c r="CJ297" i="3" s="1"/>
  <c r="CK297" i="3" s="1"/>
  <c r="CM297" i="3" s="1"/>
  <c r="CN297" i="3" s="1"/>
  <c r="CO297" i="3" s="1"/>
  <c r="CP297" i="3" s="1"/>
  <c r="CQ297" i="3" s="1"/>
  <c r="CR297" i="3" s="1"/>
  <c r="CS297" i="3" s="1"/>
  <c r="CT297" i="3" s="1"/>
  <c r="CU297" i="3" s="1"/>
  <c r="CV297" i="3" s="1"/>
  <c r="CW297" i="3" s="1"/>
  <c r="CX297" i="3" s="1"/>
  <c r="CA244" i="3"/>
  <c r="CK207" i="3"/>
  <c r="CK212" i="3" s="1"/>
  <c r="CM264" i="3" l="1"/>
  <c r="CN264" i="3" s="1"/>
  <c r="CO264" i="3" s="1"/>
  <c r="CP264" i="3" s="1"/>
  <c r="CQ264" i="3" s="1"/>
  <c r="CR264" i="3" s="1"/>
  <c r="CS264" i="3" s="1"/>
  <c r="CT264" i="3" s="1"/>
  <c r="CU264" i="3" s="1"/>
  <c r="CV264" i="3" s="1"/>
  <c r="CW264" i="3" s="1"/>
  <c r="CX264" i="3" s="1"/>
  <c r="CY264" i="3" s="1"/>
  <c r="BY245" i="3"/>
  <c r="BY299" i="3" s="1"/>
  <c r="BZ298" i="3"/>
  <c r="CA298" i="3" s="1"/>
  <c r="CB298" i="3" s="1"/>
  <c r="CC298" i="3" s="1"/>
  <c r="CD298" i="3" s="1"/>
  <c r="CE298" i="3" s="1"/>
  <c r="CF298" i="3" s="1"/>
  <c r="CG298" i="3" s="1"/>
  <c r="CH298" i="3" s="1"/>
  <c r="CI298" i="3" s="1"/>
  <c r="CJ298" i="3" s="1"/>
  <c r="CK240" i="3"/>
  <c r="CM286" i="3"/>
  <c r="CN286" i="3" s="1"/>
  <c r="CO286" i="3" s="1"/>
  <c r="CP286" i="3" s="1"/>
  <c r="CQ286" i="3" s="1"/>
  <c r="CR286" i="3" s="1"/>
  <c r="CS286" i="3" s="1"/>
  <c r="CT286" i="3" s="1"/>
  <c r="CU286" i="3" s="1"/>
  <c r="CV286" i="3" s="1"/>
  <c r="CW286" i="3" s="1"/>
  <c r="CX286" i="3" s="1"/>
  <c r="CY286" i="3" s="1"/>
  <c r="CN259" i="3"/>
  <c r="CK244" i="3"/>
  <c r="CK245" i="3" s="1"/>
  <c r="CM242" i="3" s="1"/>
  <c r="CM298" i="3" l="1"/>
  <c r="CN298" i="3" s="1"/>
  <c r="CO298" i="3" s="1"/>
  <c r="CP298" i="3" s="1"/>
  <c r="CQ298" i="3" s="1"/>
  <c r="CR298" i="3" s="1"/>
  <c r="CS298" i="3" s="1"/>
  <c r="CT298" i="3" s="1"/>
  <c r="CU298" i="3" s="1"/>
  <c r="CV298" i="3" s="1"/>
  <c r="CW298" i="3" s="1"/>
  <c r="CX298" i="3" s="1"/>
  <c r="CM245" i="3"/>
  <c r="CY242" i="3"/>
  <c r="CY245" i="3" s="1"/>
  <c r="CO259" i="3"/>
  <c r="BZ242" i="3"/>
  <c r="F10" i="5"/>
  <c r="CN242" i="3" l="1"/>
  <c r="CN245" i="3" s="1"/>
  <c r="CM299" i="3"/>
  <c r="CP259" i="3"/>
  <c r="BZ245" i="3"/>
  <c r="BZ299" i="3" s="1"/>
  <c r="BW99" i="3"/>
  <c r="CG99" i="3"/>
  <c r="CO242" i="3" l="1"/>
  <c r="CO245" i="3" s="1"/>
  <c r="CN299" i="3"/>
  <c r="CQ259" i="3"/>
  <c r="CA242" i="3"/>
  <c r="CA245" i="3" s="1"/>
  <c r="AB89" i="3"/>
  <c r="AK89" i="3"/>
  <c r="AX89" i="3"/>
  <c r="BK89" i="3"/>
  <c r="BX89" i="3"/>
  <c r="CK89" i="3"/>
  <c r="AW88" i="3"/>
  <c r="CW96" i="3"/>
  <c r="CT96" i="3"/>
  <c r="CQ96" i="3"/>
  <c r="CN96" i="3"/>
  <c r="CI96" i="3"/>
  <c r="CF96" i="3"/>
  <c r="CP242" i="3" l="1"/>
  <c r="CP245" i="3" s="1"/>
  <c r="CO299" i="3"/>
  <c r="CR259" i="3"/>
  <c r="CA299" i="3"/>
  <c r="CB242" i="3"/>
  <c r="CB245" i="3" s="1"/>
  <c r="CY96" i="3"/>
  <c r="BA165" i="3"/>
  <c r="BB165" i="3"/>
  <c r="BC165" i="3"/>
  <c r="BD165" i="3"/>
  <c r="BE165" i="3"/>
  <c r="BF165" i="3"/>
  <c r="BG165" i="3"/>
  <c r="BH165" i="3"/>
  <c r="BI165" i="3"/>
  <c r="BJ165" i="3"/>
  <c r="CQ242" i="3" l="1"/>
  <c r="CQ245" i="3" s="1"/>
  <c r="CP299" i="3"/>
  <c r="CS259" i="3"/>
  <c r="CB299" i="3"/>
  <c r="CC242" i="3"/>
  <c r="CC245" i="3" s="1"/>
  <c r="CR242" i="3" l="1"/>
  <c r="CR245" i="3" s="1"/>
  <c r="CQ299" i="3"/>
  <c r="CT259" i="3"/>
  <c r="CC299" i="3"/>
  <c r="CD242" i="3"/>
  <c r="CD245" i="3" s="1"/>
  <c r="BY168" i="3"/>
  <c r="CK168" i="3" s="1"/>
  <c r="BY88" i="3"/>
  <c r="CS242" i="3" l="1"/>
  <c r="CS245" i="3" s="1"/>
  <c r="CR299" i="3"/>
  <c r="CU259" i="3"/>
  <c r="CD299" i="3"/>
  <c r="CE242" i="3"/>
  <c r="CE245" i="3" s="1"/>
  <c r="BW112" i="3"/>
  <c r="CT242" i="3" l="1"/>
  <c r="CT245" i="3" s="1"/>
  <c r="CS299" i="3"/>
  <c r="CV259" i="3"/>
  <c r="CE299" i="3"/>
  <c r="CF242" i="3"/>
  <c r="CF245" i="3" s="1"/>
  <c r="CU242" i="3" l="1"/>
  <c r="CU245" i="3" s="1"/>
  <c r="CT299" i="3"/>
  <c r="CW259" i="3"/>
  <c r="CF299" i="3"/>
  <c r="CG242" i="3"/>
  <c r="CG245" i="3" s="1"/>
  <c r="CV242" i="3" l="1"/>
  <c r="CV245" i="3" s="1"/>
  <c r="CU299" i="3"/>
  <c r="CX259" i="3"/>
  <c r="CG299" i="3"/>
  <c r="CH242" i="3"/>
  <c r="CH245" i="3" s="1"/>
  <c r="CW242" i="3" l="1"/>
  <c r="CW245" i="3" s="1"/>
  <c r="CV299" i="3"/>
  <c r="CY259" i="3"/>
  <c r="CH299" i="3"/>
  <c r="CI242" i="3"/>
  <c r="CI245" i="3" s="1"/>
  <c r="CX242" i="3" l="1"/>
  <c r="CX245" i="3" s="1"/>
  <c r="CW299" i="3"/>
  <c r="CI299" i="3"/>
  <c r="CJ242" i="3"/>
  <c r="CJ245" i="3" s="1"/>
  <c r="CJ299" i="3" l="1"/>
  <c r="CX299" i="3"/>
  <c r="BY16" i="3"/>
  <c r="BY74" i="3" s="1"/>
  <c r="BY130" i="3" l="1"/>
  <c r="CK16" i="3"/>
  <c r="BW95" i="3"/>
  <c r="CK49" i="3" l="1"/>
  <c r="BX49" i="3"/>
  <c r="BK49" i="3"/>
  <c r="AX49" i="3"/>
  <c r="AK49" i="3"/>
  <c r="G44" i="4"/>
  <c r="BW122" i="3" l="1"/>
  <c r="CY7" i="3" l="1"/>
  <c r="CW74" i="3"/>
  <c r="CW130" i="3" s="1"/>
  <c r="CV74" i="3"/>
  <c r="CV130" i="3" s="1"/>
  <c r="CT74" i="3"/>
  <c r="CT130" i="3" s="1"/>
  <c r="CR74" i="3"/>
  <c r="CR130" i="3" s="1"/>
  <c r="CP74" i="3"/>
  <c r="CP130" i="3" s="1"/>
  <c r="CN74" i="3"/>
  <c r="CN130" i="3" s="1"/>
  <c r="CM74" i="3"/>
  <c r="CM130" i="3" s="1"/>
  <c r="CY37" i="3" l="1"/>
  <c r="CX74" i="3"/>
  <c r="CX130" i="3" s="1"/>
  <c r="CU74" i="3"/>
  <c r="CU130" i="3" s="1"/>
  <c r="CO24" i="3"/>
  <c r="CY24" i="3" s="1"/>
  <c r="CG24" i="3"/>
  <c r="CK22" i="3"/>
  <c r="CY33" i="3" l="1"/>
  <c r="CQ74" i="3"/>
  <c r="CQ130" i="3" s="1"/>
  <c r="CO74" i="3"/>
  <c r="CO130" i="3" s="1"/>
  <c r="BV71" i="3"/>
  <c r="BW114" i="3" l="1"/>
  <c r="BV33" i="3" l="1"/>
  <c r="BW88" i="3" l="1"/>
  <c r="BW87" i="3" l="1"/>
  <c r="BV99" i="3" l="1"/>
  <c r="BV137" i="3" l="1"/>
  <c r="BV95" i="3" l="1"/>
  <c r="BV112" i="3" l="1"/>
  <c r="BX48" i="3" l="1"/>
  <c r="AK48" i="3"/>
  <c r="AX48" i="3"/>
  <c r="BK47" i="3"/>
  <c r="BK48" i="3"/>
  <c r="BV96" i="3"/>
  <c r="BV87" i="3"/>
  <c r="CK48" i="3" l="1"/>
  <c r="F94" i="5" l="1"/>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67" i="5" l="1"/>
  <c r="F68" i="5"/>
  <c r="F69" i="5"/>
  <c r="F70" i="5"/>
  <c r="F71" i="5"/>
  <c r="F72" i="5"/>
  <c r="F73" i="5"/>
  <c r="F74" i="5"/>
  <c r="F75" i="5"/>
  <c r="F76" i="5"/>
  <c r="F77" i="5"/>
  <c r="F78" i="5"/>
  <c r="F79" i="5"/>
  <c r="F80" i="5"/>
  <c r="F81" i="5"/>
  <c r="F82" i="5"/>
  <c r="F83" i="5"/>
  <c r="F84" i="5"/>
  <c r="F85" i="5"/>
  <c r="F86" i="5"/>
  <c r="F87" i="5"/>
  <c r="F88" i="5"/>
  <c r="F89" i="5"/>
  <c r="F90" i="5"/>
  <c r="F91" i="5"/>
  <c r="F92" i="5"/>
  <c r="F93" i="5"/>
  <c r="F48" i="5"/>
  <c r="F49" i="5"/>
  <c r="F50" i="5"/>
  <c r="F51" i="5"/>
  <c r="F52" i="5"/>
  <c r="F53" i="5"/>
  <c r="F54" i="5"/>
  <c r="F55" i="5"/>
  <c r="F56" i="5"/>
  <c r="F57" i="5"/>
  <c r="F58" i="5"/>
  <c r="F59" i="5"/>
  <c r="F60" i="5"/>
  <c r="F61" i="5"/>
  <c r="F62" i="5"/>
  <c r="F63" i="5"/>
  <c r="F64" i="5"/>
  <c r="F65" i="5"/>
  <c r="F66" i="5"/>
  <c r="F45" i="5"/>
  <c r="F46" i="5"/>
  <c r="F47" i="5"/>
  <c r="F42" i="5"/>
  <c r="F41" i="5"/>
  <c r="F29" i="5"/>
  <c r="F9" i="5"/>
  <c r="F6" i="5"/>
  <c r="BV121" i="3"/>
  <c r="BV122" i="3"/>
  <c r="BU80" i="3" l="1"/>
  <c r="BV88" i="3" l="1"/>
  <c r="BU95" i="3" l="1"/>
  <c r="BU97" i="3"/>
  <c r="BU112" i="3"/>
  <c r="BU99" i="3" l="1"/>
  <c r="BU25" i="3"/>
  <c r="BU137" i="3" l="1"/>
  <c r="AK47" i="3" l="1"/>
  <c r="BX47" i="3"/>
  <c r="BX50" i="3"/>
  <c r="AX47" i="3"/>
  <c r="BU111" i="3"/>
  <c r="BU189" i="3" l="1"/>
  <c r="BU186" i="3"/>
  <c r="BU122" i="3" l="1"/>
  <c r="BV79" i="3" l="1"/>
  <c r="BU79" i="3"/>
  <c r="BU98" i="3" l="1"/>
  <c r="BT137" i="3" l="1"/>
  <c r="BU88" i="3"/>
  <c r="BT123" i="3" l="1"/>
  <c r="BT95" i="3" l="1"/>
  <c r="BT111" i="3" l="1"/>
  <c r="BT99" i="3"/>
  <c r="BT112" i="3" l="1"/>
  <c r="BU43" i="3" l="1"/>
  <c r="BT122" i="3" l="1"/>
  <c r="BT94" i="3" l="1"/>
  <c r="BT88" i="3" l="1"/>
  <c r="BS88" i="3"/>
  <c r="BT121" i="3" l="1"/>
  <c r="BS69" i="3" l="1"/>
  <c r="BS99" i="3" l="1"/>
  <c r="BS315" i="3" l="1"/>
  <c r="BT144" i="3"/>
  <c r="BT103" i="3"/>
  <c r="BS33" i="3" l="1"/>
  <c r="BS24" i="3"/>
  <c r="BS111" i="3" l="1"/>
  <c r="CY97" i="3" l="1"/>
  <c r="BS31" i="3" l="1"/>
  <c r="CI121" i="3" l="1"/>
  <c r="CF121" i="3"/>
  <c r="CJ121" i="3"/>
  <c r="CH121" i="3"/>
  <c r="CG121" i="3"/>
  <c r="BY121" i="3"/>
  <c r="BW121" i="3"/>
  <c r="BU121" i="3"/>
  <c r="BS96" i="3"/>
  <c r="BS112" i="3" l="1"/>
  <c r="BU313" i="3" l="1"/>
  <c r="BV313" i="3" s="1"/>
  <c r="BS20" i="3" l="1"/>
  <c r="BS42" i="3"/>
  <c r="BW312" i="3" l="1"/>
  <c r="BS137" i="3"/>
  <c r="BS162" i="3"/>
  <c r="BY312" i="3" l="1"/>
  <c r="BY315" i="3" s="1"/>
  <c r="BW313" i="3"/>
  <c r="BW315" i="3" s="1"/>
  <c r="C42" i="12" s="1"/>
  <c r="C44" i="12" s="1"/>
  <c r="CE312" i="3" l="1"/>
  <c r="CF312" i="3" s="1"/>
  <c r="CG312" i="3" s="1"/>
  <c r="CH312" i="3" s="1"/>
  <c r="CI312" i="3" s="1"/>
  <c r="CJ312" i="3" s="1"/>
  <c r="BZ315" i="3"/>
  <c r="BX158" i="3"/>
  <c r="BX191" i="3"/>
  <c r="BX8" i="3" l="1"/>
  <c r="BX10" i="3"/>
  <c r="BX11" i="3"/>
  <c r="BX12" i="3"/>
  <c r="BX13" i="3"/>
  <c r="BX14" i="3"/>
  <c r="BX15" i="3"/>
  <c r="BX16" i="3"/>
  <c r="BX17" i="3"/>
  <c r="BX18" i="3"/>
  <c r="BX19" i="3"/>
  <c r="BX20" i="3"/>
  <c r="BX23" i="3"/>
  <c r="BX26" i="3"/>
  <c r="BX27" i="3"/>
  <c r="BX28" i="3"/>
  <c r="BX29" i="3"/>
  <c r="BX30" i="3"/>
  <c r="BX34" i="3"/>
  <c r="BX35" i="3"/>
  <c r="BX36" i="3"/>
  <c r="BX40" i="3"/>
  <c r="BX41" i="3"/>
  <c r="BX42" i="3"/>
  <c r="BX44" i="3"/>
  <c r="BX45" i="3"/>
  <c r="BX51" i="3"/>
  <c r="BX52" i="3"/>
  <c r="BX53" i="3"/>
  <c r="BX54" i="3"/>
  <c r="BX55" i="3"/>
  <c r="BX56" i="3"/>
  <c r="BX57" i="3"/>
  <c r="BX58" i="3"/>
  <c r="BX59" i="3"/>
  <c r="BX60" i="3"/>
  <c r="BX61" i="3"/>
  <c r="BX63" i="3"/>
  <c r="BX65" i="3"/>
  <c r="BX66" i="3"/>
  <c r="BX67" i="3"/>
  <c r="BX70" i="3"/>
  <c r="BX72" i="3"/>
  <c r="BX73" i="3"/>
  <c r="BX75" i="3"/>
  <c r="BX84" i="3"/>
  <c r="BX86" i="3"/>
  <c r="BX101" i="3"/>
  <c r="BX106" i="3"/>
  <c r="BX107" i="3"/>
  <c r="BX108" i="3"/>
  <c r="BX109" i="3"/>
  <c r="BX110" i="3"/>
  <c r="BX113" i="3"/>
  <c r="BX115" i="3"/>
  <c r="BX116" i="3"/>
  <c r="BX117" i="3"/>
  <c r="BX120" i="3"/>
  <c r="BX125" i="3"/>
  <c r="BX126" i="3"/>
  <c r="BX128" i="3"/>
  <c r="BX6" i="3"/>
  <c r="CK80" i="3" l="1"/>
  <c r="BK80" i="3"/>
  <c r="BK82" i="3"/>
  <c r="AX80" i="3"/>
  <c r="AK80" i="3"/>
  <c r="AB80" i="3"/>
  <c r="BS121" i="3"/>
  <c r="BS43" i="3" l="1"/>
  <c r="BX43" i="3" s="1"/>
  <c r="BR85" i="3"/>
  <c r="BX85" i="3" s="1"/>
  <c r="BX69" i="3"/>
  <c r="BR99" i="3" l="1"/>
  <c r="BR71" i="3"/>
  <c r="BR21" i="3"/>
  <c r="BX21" i="3" s="1"/>
  <c r="BR64" i="3" l="1"/>
  <c r="BX64" i="3" s="1"/>
  <c r="BR93" i="3" l="1"/>
  <c r="BR31" i="3"/>
  <c r="BR95" i="3" l="1"/>
  <c r="BR151" i="3" l="1"/>
  <c r="BS151" i="3" s="1"/>
  <c r="BT151" i="3" s="1"/>
  <c r="BU151" i="3" s="1"/>
  <c r="BV151" i="3" s="1"/>
  <c r="BW151" i="3" s="1"/>
  <c r="BR111" i="3"/>
  <c r="CK115" i="3"/>
  <c r="CK116" i="3"/>
  <c r="CK117" i="3"/>
  <c r="BK116" i="3"/>
  <c r="BX151" i="3" l="1"/>
  <c r="BY151" i="3" s="1"/>
  <c r="BZ151" i="3" s="1"/>
  <c r="CA151" i="3" s="1"/>
  <c r="CB151" i="3" s="1"/>
  <c r="CC151" i="3" s="1"/>
  <c r="CD151" i="3" s="1"/>
  <c r="BR112" i="3"/>
  <c r="BX112" i="3" s="1"/>
  <c r="CE151" i="3" l="1"/>
  <c r="CF151" i="3" s="1"/>
  <c r="CK64" i="3"/>
  <c r="CG151" i="3" l="1"/>
  <c r="CH151" i="3" s="1"/>
  <c r="CI151" i="3" s="1"/>
  <c r="CJ151" i="3" s="1"/>
  <c r="BR139" i="3"/>
  <c r="CK151" i="3" l="1"/>
  <c r="CM151" i="3"/>
  <c r="CN151" i="3" s="1"/>
  <c r="CO151" i="3" s="1"/>
  <c r="CP151" i="3" s="1"/>
  <c r="CQ151" i="3" s="1"/>
  <c r="CR151" i="3" s="1"/>
  <c r="CS151" i="3" s="1"/>
  <c r="CT151" i="3" s="1"/>
  <c r="CU151" i="3" s="1"/>
  <c r="CV151" i="3" s="1"/>
  <c r="CW151" i="3" s="1"/>
  <c r="CX151" i="3" s="1"/>
  <c r="CY151" i="3" s="1"/>
  <c r="BR97" i="3"/>
  <c r="BR162" i="3"/>
  <c r="BQ162" i="3"/>
  <c r="BQ81" i="3"/>
  <c r="BQ80" i="3"/>
  <c r="BX80" i="3" s="1"/>
  <c r="BI186" i="3"/>
  <c r="BI187" i="3" s="1"/>
  <c r="BP124" i="3"/>
  <c r="BO124" i="3"/>
  <c r="BN124" i="3"/>
  <c r="BR186" i="3"/>
  <c r="BM124" i="3"/>
  <c r="BX97" i="3" l="1"/>
  <c r="F7" i="5" l="1"/>
  <c r="F8" i="5"/>
  <c r="F11" i="5"/>
  <c r="F12" i="5"/>
  <c r="F13" i="5"/>
  <c r="F14" i="5"/>
  <c r="F15" i="5"/>
  <c r="F16" i="5"/>
  <c r="F17" i="5"/>
  <c r="F18" i="5"/>
  <c r="F19" i="5"/>
  <c r="F20" i="5"/>
  <c r="F21" i="5"/>
  <c r="F22" i="5"/>
  <c r="F23" i="5"/>
  <c r="F24" i="5"/>
  <c r="F25" i="5"/>
  <c r="F26" i="5"/>
  <c r="F27" i="5"/>
  <c r="F28" i="5"/>
  <c r="F30" i="5"/>
  <c r="F31" i="5"/>
  <c r="F32" i="5"/>
  <c r="F33" i="5"/>
  <c r="F34" i="5"/>
  <c r="F35" i="5"/>
  <c r="F36" i="5"/>
  <c r="F37" i="5"/>
  <c r="F38" i="5"/>
  <c r="F39" i="5"/>
  <c r="F40" i="5"/>
  <c r="F43" i="5"/>
  <c r="F44" i="5"/>
  <c r="BR121" i="3" l="1"/>
  <c r="BX31" i="3"/>
  <c r="BR88" i="3" l="1"/>
  <c r="BR189" i="3" l="1"/>
  <c r="BQ111" i="3" l="1"/>
  <c r="BQ33" i="3"/>
  <c r="BE97" i="3" l="1"/>
  <c r="BQ90" i="3" l="1"/>
  <c r="CF81" i="3" l="1"/>
  <c r="BQ99" i="3"/>
  <c r="CE82" i="3"/>
  <c r="BQ96" i="3"/>
  <c r="BX96" i="3" s="1"/>
  <c r="BQ95" i="3"/>
  <c r="BQ87" i="3"/>
  <c r="CK46" i="3" l="1"/>
  <c r="CS38" i="3"/>
  <c r="CY38" i="3" s="1"/>
  <c r="CK37" i="3"/>
  <c r="CF20" i="3"/>
  <c r="CK20" i="3" s="1"/>
  <c r="CK7" i="3"/>
  <c r="CS74" i="3" l="1"/>
  <c r="CS130" i="3" s="1"/>
  <c r="CY130" i="3" s="1"/>
  <c r="CY74" i="3"/>
  <c r="BM159" i="3"/>
  <c r="CY75" i="3" l="1"/>
  <c r="BQ159" i="3"/>
  <c r="BR159" i="3"/>
  <c r="BS159" i="3"/>
  <c r="BP159" i="3"/>
  <c r="BN159" i="3"/>
  <c r="BO159" i="3" l="1"/>
  <c r="BQ37" i="3" l="1"/>
  <c r="BQ121" i="3" l="1"/>
  <c r="BS22" i="3" l="1"/>
  <c r="BX22" i="3" l="1"/>
  <c r="BJ190" i="3"/>
  <c r="BK190" i="3" s="1"/>
  <c r="BL190" i="3" s="1"/>
  <c r="BM190" i="3" s="1"/>
  <c r="BN190" i="3" s="1"/>
  <c r="BO190" i="3" s="1"/>
  <c r="BP190" i="3" s="1"/>
  <c r="BQ190" i="3" s="1"/>
  <c r="BR190" i="3" s="1"/>
  <c r="BS190" i="3" s="1"/>
  <c r="BT190" i="3" s="1"/>
  <c r="BU190" i="3" s="1"/>
  <c r="BV190" i="3" s="1"/>
  <c r="BW190" i="3" s="1"/>
  <c r="BX190" i="3" s="1"/>
  <c r="BJ187" i="3"/>
  <c r="BK187" i="3" s="1"/>
  <c r="BL187" i="3" s="1"/>
  <c r="BM187" i="3" s="1"/>
  <c r="BN187" i="3" s="1"/>
  <c r="BO187" i="3" s="1"/>
  <c r="BP187" i="3" s="1"/>
  <c r="BQ187" i="3" s="1"/>
  <c r="BY190" i="3" l="1"/>
  <c r="BZ190" i="3" s="1"/>
  <c r="CA190" i="3" s="1"/>
  <c r="CB190" i="3" s="1"/>
  <c r="CC190" i="3" s="1"/>
  <c r="CD190" i="3" s="1"/>
  <c r="CE190" i="3" s="1"/>
  <c r="CF190" i="3" s="1"/>
  <c r="CG190" i="3" s="1"/>
  <c r="CH190" i="3" s="1"/>
  <c r="CI190" i="3" s="1"/>
  <c r="CJ190" i="3" s="1"/>
  <c r="BR187" i="3"/>
  <c r="BS187" i="3" s="1"/>
  <c r="BT187" i="3" s="1"/>
  <c r="BU187" i="3" s="1"/>
  <c r="BV187" i="3" s="1"/>
  <c r="BW187" i="3" s="1"/>
  <c r="BX187" i="3" s="1"/>
  <c r="AQ124" i="3"/>
  <c r="AQ166" i="3"/>
  <c r="AR166" i="3" s="1"/>
  <c r="AS166" i="3" s="1"/>
  <c r="AT166" i="3" s="1"/>
  <c r="AU166" i="3" s="1"/>
  <c r="AV166" i="3" s="1"/>
  <c r="AW166" i="3" s="1"/>
  <c r="AX166" i="3" s="1"/>
  <c r="AY166" i="3" s="1"/>
  <c r="BP99" i="3"/>
  <c r="BJ184" i="3"/>
  <c r="BK184" i="3" s="1"/>
  <c r="BL184" i="3" s="1"/>
  <c r="BM184" i="3" s="1"/>
  <c r="BN184" i="3" s="1"/>
  <c r="BO184" i="3" s="1"/>
  <c r="BP184" i="3" s="1"/>
  <c r="BQ184" i="3" s="1"/>
  <c r="BR184" i="3" s="1"/>
  <c r="BS184" i="3" s="1"/>
  <c r="BT184" i="3" s="1"/>
  <c r="BU184" i="3" s="1"/>
  <c r="BV184" i="3" s="1"/>
  <c r="BW184" i="3" s="1"/>
  <c r="BX184" i="3" s="1"/>
  <c r="BP111" i="3"/>
  <c r="BP37" i="3"/>
  <c r="BX37" i="3" s="1"/>
  <c r="BP68" i="3"/>
  <c r="BX68" i="3" s="1"/>
  <c r="CM190" i="3" l="1"/>
  <c r="CN190" i="3" s="1"/>
  <c r="CO190" i="3" s="1"/>
  <c r="CP190" i="3" s="1"/>
  <c r="CQ190" i="3" s="1"/>
  <c r="CR190" i="3" s="1"/>
  <c r="CS190" i="3" s="1"/>
  <c r="CT190" i="3" s="1"/>
  <c r="CU190" i="3" s="1"/>
  <c r="CV190" i="3" s="1"/>
  <c r="CW190" i="3" s="1"/>
  <c r="CX190" i="3" s="1"/>
  <c r="CK190" i="3"/>
  <c r="BY187" i="3"/>
  <c r="BY184" i="3"/>
  <c r="BZ184" i="3" s="1"/>
  <c r="CA184" i="3" s="1"/>
  <c r="CB184" i="3" s="1"/>
  <c r="CC184" i="3" s="1"/>
  <c r="CD184" i="3" s="1"/>
  <c r="CE184" i="3" s="1"/>
  <c r="CF184" i="3" s="1"/>
  <c r="CG184" i="3" s="1"/>
  <c r="CH184" i="3" s="1"/>
  <c r="CI184" i="3" s="1"/>
  <c r="CJ184" i="3" s="1"/>
  <c r="BP137" i="3"/>
  <c r="BZ187" i="3" l="1"/>
  <c r="CA187" i="3" s="1"/>
  <c r="CB187" i="3" s="1"/>
  <c r="CC187" i="3" s="1"/>
  <c r="CD187" i="3" s="1"/>
  <c r="CE187" i="3" s="1"/>
  <c r="CF187" i="3" s="1"/>
  <c r="CG187" i="3" s="1"/>
  <c r="CH187" i="3" s="1"/>
  <c r="CI187" i="3" s="1"/>
  <c r="CJ187" i="3" s="1"/>
  <c r="CK187" i="3" s="1"/>
  <c r="CY190" i="3"/>
  <c r="CK184" i="3"/>
  <c r="CM184" i="3"/>
  <c r="CN184" i="3" s="1"/>
  <c r="CO184" i="3" s="1"/>
  <c r="CP184" i="3" s="1"/>
  <c r="CQ184" i="3" s="1"/>
  <c r="CR184" i="3" s="1"/>
  <c r="CS184" i="3" s="1"/>
  <c r="CT184" i="3" s="1"/>
  <c r="CU184" i="3" s="1"/>
  <c r="CV184" i="3" s="1"/>
  <c r="CW184" i="3" s="1"/>
  <c r="CX184" i="3" s="1"/>
  <c r="BQ88" i="3"/>
  <c r="CM187" i="3" l="1"/>
  <c r="CN187" i="3" s="1"/>
  <c r="CO187" i="3" s="1"/>
  <c r="CP187" i="3" s="1"/>
  <c r="CQ187" i="3" s="1"/>
  <c r="CR187" i="3" s="1"/>
  <c r="CS187" i="3" s="1"/>
  <c r="CT187" i="3" s="1"/>
  <c r="CU187" i="3" s="1"/>
  <c r="CV187" i="3" s="1"/>
  <c r="CW187" i="3" s="1"/>
  <c r="CX187" i="3" s="1"/>
  <c r="CY187" i="3" s="1"/>
  <c r="CY184" i="3"/>
  <c r="BP162" i="3"/>
  <c r="BP121" i="3" l="1"/>
  <c r="CK33" i="3" l="1"/>
  <c r="BP95" i="3"/>
  <c r="BP88" i="3" l="1"/>
  <c r="BR38" i="3" l="1"/>
  <c r="BX38" i="3" s="1"/>
  <c r="BO99" i="3" l="1"/>
  <c r="BO137" i="3"/>
  <c r="BO315" i="3"/>
  <c r="BO71" i="3"/>
  <c r="BO74" i="3" s="1"/>
  <c r="BP7" i="3"/>
  <c r="BX7" i="3" s="1"/>
  <c r="BR82" i="3" l="1"/>
  <c r="BX82" i="3" s="1"/>
  <c r="BP144" i="3"/>
  <c r="BP103" i="3"/>
  <c r="BO88" i="3" l="1"/>
  <c r="BO111" i="3"/>
  <c r="BO162" i="3" l="1"/>
  <c r="BO90" i="3" l="1"/>
  <c r="BO121" i="3"/>
  <c r="CK114" i="3"/>
  <c r="BX114" i="3"/>
  <c r="CY98" i="3"/>
  <c r="BX94" i="3"/>
  <c r="CK92" i="3"/>
  <c r="CK91" i="3"/>
  <c r="CK78" i="3"/>
  <c r="CA159" i="3"/>
  <c r="CB159" i="3"/>
  <c r="CC159" i="3"/>
  <c r="CD159" i="3"/>
  <c r="CE159" i="3"/>
  <c r="CF159" i="3"/>
  <c r="CG159" i="3"/>
  <c r="CH159" i="3"/>
  <c r="CI159" i="3"/>
  <c r="CJ159" i="3"/>
  <c r="BZ159" i="3"/>
  <c r="BY159" i="3"/>
  <c r="CB74" i="3"/>
  <c r="CB130" i="3" s="1"/>
  <c r="CC74" i="3"/>
  <c r="CC130" i="3" s="1"/>
  <c r="CD74" i="3"/>
  <c r="CE74" i="3"/>
  <c r="CF74" i="3"/>
  <c r="CG74" i="3"/>
  <c r="CG130" i="3" s="1"/>
  <c r="CH74" i="3"/>
  <c r="CH130" i="3" s="1"/>
  <c r="CI74" i="3"/>
  <c r="CI130" i="3" s="1"/>
  <c r="CJ74" i="3"/>
  <c r="CJ130" i="3" s="1"/>
  <c r="CK94" i="3"/>
  <c r="CK125" i="3"/>
  <c r="CK124" i="3"/>
  <c r="CK123" i="3"/>
  <c r="CK122" i="3"/>
  <c r="CK120" i="3"/>
  <c r="CK113" i="3"/>
  <c r="CK112" i="3"/>
  <c r="CK111" i="3"/>
  <c r="CK110" i="3"/>
  <c r="CK109" i="3"/>
  <c r="CK108" i="3"/>
  <c r="CK107" i="3"/>
  <c r="CK106" i="3"/>
  <c r="CK101" i="3"/>
  <c r="CK99" i="3"/>
  <c r="CK96" i="3"/>
  <c r="CK95" i="3"/>
  <c r="CK90" i="3"/>
  <c r="CK87" i="3"/>
  <c r="CK86" i="3"/>
  <c r="CK85" i="3"/>
  <c r="CK84" i="3"/>
  <c r="CK83" i="3"/>
  <c r="CK82" i="3"/>
  <c r="CK81" i="3"/>
  <c r="CK79" i="3"/>
  <c r="CK73" i="3"/>
  <c r="CK72" i="3"/>
  <c r="CK71" i="3"/>
  <c r="CE130" i="3" l="1"/>
  <c r="CF130" i="3"/>
  <c r="CD130" i="3"/>
  <c r="CK159" i="3"/>
  <c r="CK88" i="3"/>
  <c r="CK97" i="3"/>
  <c r="CK93" i="3"/>
  <c r="BO95" i="3" l="1"/>
  <c r="BN162" i="3" l="1"/>
  <c r="BO87" i="3" l="1"/>
  <c r="BO78" i="3"/>
  <c r="BX78" i="3" s="1"/>
  <c r="L34" i="4" l="1"/>
  <c r="L35" i="4" s="1"/>
  <c r="K33" i="4"/>
  <c r="BN99" i="3" l="1"/>
  <c r="BN122" i="3"/>
  <c r="BN88" i="3"/>
  <c r="BX93" i="3"/>
  <c r="BN71" i="3"/>
  <c r="BN123" i="3" l="1"/>
  <c r="BN95" i="3" l="1"/>
  <c r="BN9" i="3" l="1"/>
  <c r="BN81" i="3" l="1"/>
  <c r="BB81" i="3"/>
  <c r="AQ81" i="3"/>
  <c r="AD81" i="3"/>
  <c r="AA81" i="3"/>
  <c r="Z81" i="3"/>
  <c r="X81" i="3"/>
  <c r="W81" i="3"/>
  <c r="T81" i="3"/>
  <c r="BN137" i="3" l="1"/>
  <c r="CA98" i="3"/>
  <c r="CK98" i="3" l="1"/>
  <c r="BM71" i="3" l="1"/>
  <c r="BX71" i="3" s="1"/>
  <c r="BM33" i="3" l="1"/>
  <c r="BX33" i="3" s="1"/>
  <c r="BM99" i="3" l="1"/>
  <c r="BM24" i="3" l="1"/>
  <c r="BM92" i="3"/>
  <c r="BX92" i="3" s="1"/>
  <c r="BM46" i="3"/>
  <c r="BX46" i="3" s="1"/>
  <c r="BM25" i="3"/>
  <c r="BX25" i="3" s="1"/>
  <c r="BM74" i="3" l="1"/>
  <c r="BM111" i="3"/>
  <c r="BN32" i="3" l="1"/>
  <c r="BN74" i="3" l="1"/>
  <c r="BX32" i="3"/>
  <c r="BN98" i="3"/>
  <c r="BX98" i="3" s="1"/>
  <c r="BM137" i="3" l="1"/>
  <c r="BM162" i="3"/>
  <c r="BL162" i="3" l="1"/>
  <c r="BM123" i="3" l="1"/>
  <c r="BL123" i="3"/>
  <c r="BL137" i="3"/>
  <c r="BM83" i="3"/>
  <c r="BX83" i="3" s="1"/>
  <c r="BM121" i="3"/>
  <c r="BM88" i="3"/>
  <c r="BM122" i="3"/>
  <c r="BX122" i="3" s="1"/>
  <c r="BX123" i="3" l="1"/>
  <c r="BL315" i="3"/>
  <c r="BL124" i="3" l="1"/>
  <c r="BX124" i="3" s="1"/>
  <c r="BL99" i="3"/>
  <c r="CK121" i="3" l="1"/>
  <c r="BL111" i="3"/>
  <c r="BX111" i="3" s="1"/>
  <c r="BN87" i="3"/>
  <c r="BX87" i="3" s="1"/>
  <c r="BK69" i="3" l="1"/>
  <c r="G41" i="4"/>
  <c r="BJ162" i="3" l="1"/>
  <c r="AT95" i="3" l="1"/>
  <c r="BK46" i="3" l="1"/>
  <c r="AK46" i="3"/>
  <c r="AX46" i="3"/>
  <c r="BL81" i="3" l="1"/>
  <c r="BX81" i="3" l="1"/>
  <c r="BL90" i="3"/>
  <c r="BX90" i="3" s="1"/>
  <c r="BL95" i="3" l="1"/>
  <c r="BX95" i="3" s="1"/>
  <c r="CK24" i="3" l="1"/>
  <c r="CK74" i="3" s="1"/>
  <c r="CA74" i="3"/>
  <c r="CA130" i="3" s="1"/>
  <c r="BX24" i="3"/>
  <c r="BS74" i="3"/>
  <c r="BZ74" i="3"/>
  <c r="BZ130" i="3" l="1"/>
  <c r="CK75" i="3"/>
  <c r="BX99" i="3"/>
  <c r="CK130" i="3" l="1"/>
  <c r="BJ124" i="3"/>
  <c r="BJ138" i="3" l="1"/>
  <c r="BL138" i="3"/>
  <c r="BJ111" i="3"/>
  <c r="BJ71" i="3" l="1"/>
  <c r="BJ315" i="3"/>
  <c r="BJ99" i="3" l="1"/>
  <c r="BJ103" i="3" l="1"/>
  <c r="BJ144" i="3"/>
  <c r="BL121" i="3"/>
  <c r="BX121" i="3" s="1"/>
  <c r="BJ95" i="3"/>
  <c r="BJ177" i="3" l="1"/>
  <c r="BI181" i="3" l="1"/>
  <c r="BJ181" i="3" s="1"/>
  <c r="BK181" i="3" s="1"/>
  <c r="BL181" i="3" s="1"/>
  <c r="BM181" i="3" s="1"/>
  <c r="BN181" i="3" s="1"/>
  <c r="BO181" i="3" s="1"/>
  <c r="BP181" i="3" s="1"/>
  <c r="BQ181" i="3" s="1"/>
  <c r="BR181" i="3" s="1"/>
  <c r="BS181" i="3" s="1"/>
  <c r="BT181" i="3" s="1"/>
  <c r="BU181" i="3" s="1"/>
  <c r="BV181" i="3" s="1"/>
  <c r="BW181" i="3" s="1"/>
  <c r="BX181" i="3" s="1"/>
  <c r="BY181" i="3" l="1"/>
  <c r="BZ181" i="3" s="1"/>
  <c r="CA181" i="3" s="1"/>
  <c r="CB181" i="3" s="1"/>
  <c r="CC181" i="3" s="1"/>
  <c r="CD181" i="3" s="1"/>
  <c r="CE181" i="3" s="1"/>
  <c r="CF181" i="3" s="1"/>
  <c r="CG181" i="3" s="1"/>
  <c r="CH181" i="3" s="1"/>
  <c r="CI181" i="3" s="1"/>
  <c r="CJ181" i="3" s="1"/>
  <c r="CK181" i="3" l="1"/>
  <c r="CM181" i="3"/>
  <c r="CN181" i="3" s="1"/>
  <c r="CO181" i="3" s="1"/>
  <c r="CP181" i="3" s="1"/>
  <c r="CQ181" i="3" s="1"/>
  <c r="CR181" i="3" s="1"/>
  <c r="CS181" i="3" s="1"/>
  <c r="CT181" i="3" s="1"/>
  <c r="CU181" i="3" s="1"/>
  <c r="CV181" i="3" s="1"/>
  <c r="CW181" i="3" s="1"/>
  <c r="CX181" i="3" s="1"/>
  <c r="BJ79" i="3"/>
  <c r="CY181" i="3" l="1"/>
  <c r="BP9" i="3"/>
  <c r="BP74" i="3" l="1"/>
  <c r="BX9" i="3"/>
  <c r="BJ87" i="3"/>
  <c r="BJ123" i="3" l="1"/>
  <c r="BJ88" i="3"/>
  <c r="BK115" i="3" l="1"/>
  <c r="BK117" i="3"/>
  <c r="AK117" i="3"/>
  <c r="AK120" i="3"/>
  <c r="AX117" i="3"/>
  <c r="AX120" i="3"/>
  <c r="BI124" i="3" l="1"/>
  <c r="BI123" i="3"/>
  <c r="BI99" i="3" l="1"/>
  <c r="BI177" i="3" l="1"/>
  <c r="BI121" i="3" l="1"/>
  <c r="BI93" i="3"/>
  <c r="BI24" i="3"/>
  <c r="BI162" i="3"/>
  <c r="BI33" i="3"/>
  <c r="AX115" i="3" l="1"/>
  <c r="BH124" i="3" l="1"/>
  <c r="BG124" i="3" l="1"/>
  <c r="AZ124" i="3"/>
  <c r="AY124" i="3"/>
  <c r="AU124" i="3"/>
  <c r="AT124" i="3"/>
  <c r="AR124" i="3"/>
  <c r="BK123" i="3" l="1"/>
  <c r="AK121" i="3"/>
  <c r="AK122" i="3"/>
  <c r="AK123" i="3"/>
  <c r="AX114" i="3"/>
  <c r="AX121" i="3"/>
  <c r="AX122" i="3"/>
  <c r="AX123" i="3"/>
  <c r="BH162" i="3"/>
  <c r="BI98" i="3" l="1"/>
  <c r="BI25" i="3" l="1"/>
  <c r="BL159" i="3" l="1"/>
  <c r="BI88" i="3" l="1"/>
  <c r="BH88" i="3"/>
  <c r="BH99" i="3" l="1"/>
  <c r="BI111" i="3" l="1"/>
  <c r="BH95" i="3"/>
  <c r="BH304" i="3" l="1"/>
  <c r="BH315" i="3" s="1"/>
  <c r="BH168" i="3" l="1"/>
  <c r="BH177" i="3" l="1"/>
  <c r="BB178" i="3"/>
  <c r="BC178" i="3" l="1"/>
  <c r="BD178" i="3" s="1"/>
  <c r="BE178" i="3" s="1"/>
  <c r="BF178" i="3" s="1"/>
  <c r="BG178" i="3" s="1"/>
  <c r="BH178" i="3" s="1"/>
  <c r="BI178" i="3" s="1"/>
  <c r="BJ178" i="3" s="1"/>
  <c r="BK178" i="3" s="1"/>
  <c r="BL178" i="3" s="1"/>
  <c r="BM178" i="3" l="1"/>
  <c r="BN178" i="3" l="1"/>
  <c r="BO178" i="3" l="1"/>
  <c r="BP178" i="3" l="1"/>
  <c r="BQ178" i="3" l="1"/>
  <c r="BR178" i="3" l="1"/>
  <c r="BS178" i="3" l="1"/>
  <c r="BT178" i="3" l="1"/>
  <c r="BU178" i="3" l="1"/>
  <c r="BV178" i="3" l="1"/>
  <c r="BW178" i="3" l="1"/>
  <c r="BX178" i="3" s="1"/>
  <c r="BY178" i="3" l="1"/>
  <c r="BZ178" i="3" s="1"/>
  <c r="CA178" i="3" s="1"/>
  <c r="CB178" i="3" s="1"/>
  <c r="CC178" i="3" s="1"/>
  <c r="CD178" i="3" s="1"/>
  <c r="CE178" i="3" s="1"/>
  <c r="CF178" i="3" s="1"/>
  <c r="CG178" i="3" s="1"/>
  <c r="CH178" i="3" s="1"/>
  <c r="CI178" i="3" s="1"/>
  <c r="CJ178" i="3" s="1"/>
  <c r="CK178" i="3" l="1"/>
  <c r="CM178" i="3"/>
  <c r="CN178" i="3" s="1"/>
  <c r="CO178" i="3" s="1"/>
  <c r="CP178" i="3" s="1"/>
  <c r="CQ178" i="3" s="1"/>
  <c r="CR178" i="3" s="1"/>
  <c r="CS178" i="3" s="1"/>
  <c r="CT178" i="3" s="1"/>
  <c r="CU178" i="3" s="1"/>
  <c r="CV178" i="3" s="1"/>
  <c r="CW178" i="3" s="1"/>
  <c r="CX178" i="3" s="1"/>
  <c r="BH122" i="3"/>
  <c r="CY178" i="3" l="1"/>
  <c r="BL62" i="3"/>
  <c r="BX62" i="3" s="1"/>
  <c r="BH66" i="3" l="1"/>
  <c r="BK45" i="3" l="1"/>
  <c r="AK45" i="3"/>
  <c r="AX45" i="3"/>
  <c r="BH68" i="3" l="1"/>
  <c r="BH20" i="3"/>
  <c r="BH93" i="3" l="1"/>
  <c r="BG99" i="3" l="1"/>
  <c r="BG144" i="3"/>
  <c r="BG71" i="3"/>
  <c r="AX68" i="3" l="1"/>
  <c r="BG162" i="3" l="1"/>
  <c r="BG33" i="3"/>
  <c r="BG304" i="3"/>
  <c r="BX79" i="3" l="1"/>
  <c r="BG79" i="3"/>
  <c r="BG95" i="3" l="1"/>
  <c r="BX91" i="3" l="1"/>
  <c r="BG91" i="3" l="1"/>
  <c r="BF162" i="3" l="1"/>
  <c r="BG83" i="3" l="1"/>
  <c r="BG94" i="3" l="1"/>
  <c r="BF124" i="3" l="1"/>
  <c r="BG87" i="3" l="1"/>
  <c r="BF99" i="3" l="1"/>
  <c r="BF33" i="3" l="1"/>
  <c r="BF42" i="3" l="1"/>
  <c r="BF21" i="3"/>
  <c r="BF304" i="3" l="1"/>
  <c r="BF121" i="3"/>
  <c r="BG78" i="3"/>
  <c r="BG66" i="3"/>
  <c r="BG88" i="3" l="1"/>
  <c r="BK44" i="3" l="1"/>
  <c r="AK44" i="3"/>
  <c r="AX44" i="3"/>
  <c r="BF81" i="3" l="1"/>
  <c r="BK25" i="3" l="1"/>
  <c r="BK24" i="3"/>
  <c r="AX24" i="3"/>
  <c r="AX25" i="3"/>
  <c r="AK24" i="3"/>
  <c r="AK25" i="3"/>
  <c r="AB24" i="3"/>
  <c r="AB25" i="3"/>
  <c r="AB26" i="3"/>
  <c r="BK43" i="3" l="1"/>
  <c r="AX42" i="3"/>
  <c r="AX43" i="3"/>
  <c r="AK42" i="3"/>
  <c r="AK43" i="3"/>
  <c r="G20" i="4" l="1"/>
  <c r="BK6" i="3" l="1"/>
  <c r="BK10" i="3"/>
  <c r="BK11" i="3"/>
  <c r="BK12" i="3"/>
  <c r="BK13" i="3"/>
  <c r="BK14" i="3"/>
  <c r="BK15" i="3"/>
  <c r="BK16" i="3"/>
  <c r="BK17" i="3"/>
  <c r="BK18" i="3"/>
  <c r="BK19" i="3"/>
  <c r="BK20" i="3"/>
  <c r="BK23" i="3"/>
  <c r="BK26" i="3"/>
  <c r="BK27" i="3"/>
  <c r="BK28" i="3"/>
  <c r="BK29" i="3"/>
  <c r="BK30" i="3"/>
  <c r="BK34" i="3"/>
  <c r="BK36" i="3"/>
  <c r="BK38" i="3"/>
  <c r="BK39" i="3"/>
  <c r="BK40" i="3"/>
  <c r="BK41" i="3"/>
  <c r="BK51" i="3"/>
  <c r="BK53" i="3"/>
  <c r="BK54" i="3"/>
  <c r="BK55" i="3"/>
  <c r="BK56" i="3"/>
  <c r="BK57" i="3"/>
  <c r="BK59" i="3"/>
  <c r="BK60" i="3"/>
  <c r="BK61" i="3"/>
  <c r="BK62" i="3"/>
  <c r="BK65" i="3"/>
  <c r="BK67" i="3"/>
  <c r="BK72" i="3"/>
  <c r="BK73" i="3"/>
  <c r="BK78" i="3"/>
  <c r="BK83" i="3"/>
  <c r="BK84" i="3"/>
  <c r="BK85" i="3"/>
  <c r="BK86" i="3"/>
  <c r="BK94" i="3"/>
  <c r="BK98" i="3"/>
  <c r="BK101" i="3"/>
  <c r="BK106" i="3"/>
  <c r="BK108" i="3"/>
  <c r="BK109" i="3"/>
  <c r="BK110" i="3"/>
  <c r="BK112" i="3"/>
  <c r="BK122" i="3"/>
  <c r="BK125" i="3"/>
  <c r="BH22" i="3" l="1"/>
  <c r="BH74" i="3" s="1"/>
  <c r="BK21" i="3" l="1"/>
  <c r="BE124" i="3"/>
  <c r="BD99" i="3"/>
  <c r="BE99" i="3"/>
  <c r="BE304" i="3" l="1"/>
  <c r="BK97" i="3"/>
  <c r="BE64" i="3"/>
  <c r="BF88" i="3"/>
  <c r="BE111" i="3" l="1"/>
  <c r="BE88" i="3"/>
  <c r="BK42" i="3" l="1"/>
  <c r="BK96" i="3" l="1"/>
  <c r="BK68" i="3" l="1"/>
  <c r="BK66" i="3"/>
  <c r="BD93" i="3" l="1"/>
  <c r="BJ114" i="3" l="1"/>
  <c r="BK114" i="3" s="1"/>
  <c r="BD124" i="3" l="1"/>
  <c r="BD304" i="3" l="1"/>
  <c r="BE7" i="3" l="1"/>
  <c r="BK7" i="3" s="1"/>
  <c r="BL88" i="3"/>
  <c r="BX88" i="3" l="1"/>
  <c r="BF8" i="3"/>
  <c r="BK8" i="3" s="1"/>
  <c r="BF9" i="3" l="1"/>
  <c r="BK9" i="3" s="1"/>
  <c r="BD88" i="3" l="1"/>
  <c r="BD87" i="3"/>
  <c r="BD95" i="3"/>
  <c r="BC124" i="3" l="1"/>
  <c r="BD121" i="3" l="1"/>
  <c r="BC304" i="3" l="1"/>
  <c r="BC37" i="3"/>
  <c r="BC74" i="3" l="1"/>
  <c r="BK37" i="3"/>
  <c r="AW124" i="3"/>
  <c r="AV124" i="3"/>
  <c r="BC99" i="3"/>
  <c r="AX41" i="3" l="1"/>
  <c r="AK41" i="3"/>
  <c r="AK40" i="3"/>
  <c r="BC138" i="3" l="1"/>
  <c r="AT64" i="3" l="1"/>
  <c r="BB124" i="3" l="1"/>
  <c r="BB99" i="3" l="1"/>
  <c r="BB64" i="3"/>
  <c r="BK64" i="3" s="1"/>
  <c r="AX113" i="3" l="1"/>
  <c r="BB71" i="3"/>
  <c r="BB304" i="3"/>
  <c r="BB111" i="3"/>
  <c r="BK111" i="3" s="1"/>
  <c r="BC79" i="3" l="1"/>
  <c r="BK79" i="3" s="1"/>
  <c r="BB113" i="3"/>
  <c r="BK113" i="3" s="1"/>
  <c r="BB95" i="3" l="1"/>
  <c r="BB174" i="3" l="1"/>
  <c r="BB90" i="3"/>
  <c r="BK90" i="3" s="1"/>
  <c r="BB107" i="3"/>
  <c r="BK107" i="3" s="1"/>
  <c r="BB87" i="3" l="1"/>
  <c r="BK87" i="3" s="1"/>
  <c r="BC95" i="3" l="1"/>
  <c r="BB91" i="3"/>
  <c r="BD22" i="3" l="1"/>
  <c r="BK22" i="3" s="1"/>
  <c r="BJ121" i="3" l="1"/>
  <c r="BA144" i="3" l="1"/>
  <c r="AY168" i="3" l="1"/>
  <c r="AP168" i="3"/>
  <c r="AM168" i="3"/>
  <c r="AL169" i="3"/>
  <c r="BB175" i="3"/>
  <c r="BA124" i="3"/>
  <c r="BK124" i="3" s="1"/>
  <c r="AM169" i="3" l="1"/>
  <c r="AN169" i="3" s="1"/>
  <c r="AO169" i="3" s="1"/>
  <c r="AP169" i="3" s="1"/>
  <c r="AQ169" i="3" s="1"/>
  <c r="AR169" i="3" s="1"/>
  <c r="AS169" i="3" s="1"/>
  <c r="AT169" i="3" s="1"/>
  <c r="AU169" i="3" s="1"/>
  <c r="AV169" i="3" s="1"/>
  <c r="AW169" i="3" s="1"/>
  <c r="BC175" i="3"/>
  <c r="BD175" i="3" s="1"/>
  <c r="BE175" i="3" s="1"/>
  <c r="BF175" i="3" s="1"/>
  <c r="BG175" i="3" s="1"/>
  <c r="BH175" i="3" s="1"/>
  <c r="BI175" i="3" s="1"/>
  <c r="BJ175" i="3" s="1"/>
  <c r="BB172" i="3"/>
  <c r="BC172" i="3" s="1"/>
  <c r="BD172" i="3" s="1"/>
  <c r="BE172" i="3" s="1"/>
  <c r="BF172" i="3" s="1"/>
  <c r="BG172" i="3" s="1"/>
  <c r="BH172" i="3" s="1"/>
  <c r="BI172" i="3" s="1"/>
  <c r="BJ172" i="3" s="1"/>
  <c r="BK172" i="3" l="1"/>
  <c r="BL172" i="3" s="1"/>
  <c r="BK175" i="3"/>
  <c r="BL175" i="3" s="1"/>
  <c r="BM175" i="3" l="1"/>
  <c r="BN175" i="3" s="1"/>
  <c r="BO175" i="3" s="1"/>
  <c r="BP175" i="3" s="1"/>
  <c r="BQ175" i="3" s="1"/>
  <c r="BR175" i="3" s="1"/>
  <c r="BS175" i="3" s="1"/>
  <c r="BT175" i="3" s="1"/>
  <c r="BU175" i="3" s="1"/>
  <c r="BV175" i="3" s="1"/>
  <c r="BW175" i="3" s="1"/>
  <c r="BX175" i="3" s="1"/>
  <c r="BM172" i="3"/>
  <c r="BN172" i="3" s="1"/>
  <c r="BO172" i="3" s="1"/>
  <c r="BP172" i="3" s="1"/>
  <c r="BQ172" i="3" s="1"/>
  <c r="BR172" i="3" s="1"/>
  <c r="BS172" i="3" s="1"/>
  <c r="BT172" i="3" s="1"/>
  <c r="BU172" i="3" s="1"/>
  <c r="BV172" i="3" s="1"/>
  <c r="BB121" i="3"/>
  <c r="BW172" i="3" l="1"/>
  <c r="BX172" i="3" s="1"/>
  <c r="BY175" i="3"/>
  <c r="BZ175" i="3" s="1"/>
  <c r="CA175" i="3" s="1"/>
  <c r="CB175" i="3" s="1"/>
  <c r="CC175" i="3" s="1"/>
  <c r="CD175" i="3" s="1"/>
  <c r="CE175" i="3" s="1"/>
  <c r="CF175" i="3" s="1"/>
  <c r="CG175" i="3" s="1"/>
  <c r="CH175" i="3" s="1"/>
  <c r="CI175" i="3" s="1"/>
  <c r="CJ175" i="3" s="1"/>
  <c r="BA121" i="3"/>
  <c r="CK175" i="3" l="1"/>
  <c r="CM175" i="3"/>
  <c r="CN175" i="3" s="1"/>
  <c r="CO175" i="3" s="1"/>
  <c r="CP175" i="3" s="1"/>
  <c r="CQ175" i="3" s="1"/>
  <c r="CR175" i="3" s="1"/>
  <c r="CS175" i="3" s="1"/>
  <c r="CT175" i="3" s="1"/>
  <c r="CU175" i="3" s="1"/>
  <c r="CV175" i="3" s="1"/>
  <c r="CW175" i="3" s="1"/>
  <c r="CX175" i="3" s="1"/>
  <c r="BY172" i="3"/>
  <c r="BZ172" i="3" s="1"/>
  <c r="CA172" i="3" s="1"/>
  <c r="CB172" i="3" s="1"/>
  <c r="CC172" i="3" s="1"/>
  <c r="CD172" i="3" s="1"/>
  <c r="CE172" i="3" s="1"/>
  <c r="CF172" i="3" s="1"/>
  <c r="CG172" i="3" s="1"/>
  <c r="CH172" i="3" s="1"/>
  <c r="CI172" i="3" s="1"/>
  <c r="CJ172" i="3" s="1"/>
  <c r="BA304" i="3"/>
  <c r="C30" i="4"/>
  <c r="CK172" i="3" l="1"/>
  <c r="CM172" i="3"/>
  <c r="CN172" i="3" s="1"/>
  <c r="CO172" i="3" s="1"/>
  <c r="CP172" i="3" s="1"/>
  <c r="CQ172" i="3" s="1"/>
  <c r="CR172" i="3" s="1"/>
  <c r="CS172" i="3" s="1"/>
  <c r="CT172" i="3" s="1"/>
  <c r="CU172" i="3" s="1"/>
  <c r="CV172" i="3" s="1"/>
  <c r="CW172" i="3" s="1"/>
  <c r="CX172" i="3" s="1"/>
  <c r="CY175" i="3"/>
  <c r="BA33" i="3"/>
  <c r="CY172" i="3" l="1"/>
  <c r="BA74" i="3"/>
  <c r="BK33" i="3"/>
  <c r="AZ166" i="3"/>
  <c r="BA166" i="3" l="1"/>
  <c r="BB166" i="3" s="1"/>
  <c r="BC166" i="3" l="1"/>
  <c r="BD166" i="3" l="1"/>
  <c r="BE166" i="3" l="1"/>
  <c r="BF166" i="3" l="1"/>
  <c r="BG166" i="3" l="1"/>
  <c r="BH166" i="3" l="1"/>
  <c r="BI166" i="3" l="1"/>
  <c r="BJ166" i="3" l="1"/>
  <c r="BK166" i="3" s="1"/>
  <c r="AZ120" i="3" l="1"/>
  <c r="BK120" i="3" s="1"/>
  <c r="AZ63" i="3" l="1"/>
  <c r="BK63" i="3" s="1"/>
  <c r="AZ92" i="3"/>
  <c r="BK92" i="3" s="1"/>
  <c r="AZ31" i="3"/>
  <c r="BK31" i="3" s="1"/>
  <c r="AZ99" i="3" l="1"/>
  <c r="AZ35" i="3"/>
  <c r="BK35" i="3" s="1"/>
  <c r="AZ304" i="3" l="1"/>
  <c r="BA315" i="3" l="1"/>
  <c r="AZ88" i="3" l="1"/>
  <c r="BK88" i="3" s="1"/>
  <c r="AZ81" i="3"/>
  <c r="BK81" i="3" s="1"/>
  <c r="AZ121" i="3"/>
  <c r="AM112" i="3" l="1"/>
  <c r="AY99" i="3" l="1"/>
  <c r="BK99" i="3" s="1"/>
  <c r="AY71" i="3" l="1"/>
  <c r="BK71" i="3" s="1"/>
  <c r="AY93" i="3" l="1"/>
  <c r="AY74" i="3" l="1"/>
  <c r="AY121" i="3" l="1"/>
  <c r="BK121" i="3" s="1"/>
  <c r="AY304" i="3" l="1"/>
  <c r="AZ32" i="3" l="1"/>
  <c r="BK32" i="3" s="1"/>
  <c r="AB57" i="3" l="1"/>
  <c r="AX40" i="3"/>
  <c r="AF312" i="3" l="1"/>
  <c r="AW304" i="3" l="1"/>
  <c r="AW99" i="3"/>
  <c r="AV99" i="3"/>
  <c r="AW311" i="3" l="1"/>
  <c r="AY311" i="3" s="1"/>
  <c r="AZ311" i="3" s="1"/>
  <c r="AQ93" i="3" l="1"/>
  <c r="AW33" i="3"/>
  <c r="AX56" i="3" l="1"/>
  <c r="AX30" i="3"/>
  <c r="AX28" i="3"/>
  <c r="AX27" i="3"/>
  <c r="AX23" i="3"/>
  <c r="AX19" i="3"/>
  <c r="AX18" i="3"/>
  <c r="AX15" i="3"/>
  <c r="AX14" i="3"/>
  <c r="AX13" i="3"/>
  <c r="AX12" i="3"/>
  <c r="AX11" i="3"/>
  <c r="AX7" i="3"/>
  <c r="AX6" i="3"/>
  <c r="AX39" i="3" l="1"/>
  <c r="AK39" i="3"/>
  <c r="AW87" i="3" l="1"/>
  <c r="AW96" i="3"/>
  <c r="AW95" i="3"/>
  <c r="AW111" i="3" l="1"/>
  <c r="AX34" i="3" l="1"/>
  <c r="AX16" i="3"/>
  <c r="AV71" i="3" l="1"/>
  <c r="AV137" i="3" l="1"/>
  <c r="AV140" i="3" s="1"/>
  <c r="AW140" i="3" s="1"/>
  <c r="AY140" i="3" s="1"/>
  <c r="AZ140" i="3" s="1"/>
  <c r="BA140" i="3" s="1"/>
  <c r="BB140" i="3" s="1"/>
  <c r="BC140" i="3" s="1"/>
  <c r="BD140" i="3" s="1"/>
  <c r="BE140" i="3" s="1"/>
  <c r="BF140" i="3" s="1"/>
  <c r="BG140" i="3" s="1"/>
  <c r="BH140" i="3" s="1"/>
  <c r="BI140" i="3" s="1"/>
  <c r="BJ140" i="3" s="1"/>
  <c r="BL140" i="3" s="1"/>
  <c r="BM140" i="3" s="1"/>
  <c r="BN140" i="3" s="1"/>
  <c r="BO140" i="3" s="1"/>
  <c r="BP140" i="3" s="1"/>
  <c r="BQ140" i="3" s="1"/>
  <c r="BR140" i="3" s="1"/>
  <c r="BS140" i="3" s="1"/>
  <c r="BT140" i="3" s="1"/>
  <c r="BU140" i="3" l="1"/>
  <c r="AV310" i="3"/>
  <c r="AW310" i="3" s="1"/>
  <c r="AY310" i="3" s="1"/>
  <c r="AZ310" i="3" s="1"/>
  <c r="AV309" i="3"/>
  <c r="AW309" i="3" s="1"/>
  <c r="BV140" i="3" l="1"/>
  <c r="BW140" i="3" s="1"/>
  <c r="BX140" i="3" s="1"/>
  <c r="BY140" i="3" s="1"/>
  <c r="AV303" i="3"/>
  <c r="AV304" i="3"/>
  <c r="AV96" i="3"/>
  <c r="AV21" i="3" l="1"/>
  <c r="AX21" i="3" s="1"/>
  <c r="AV95" i="3" l="1"/>
  <c r="AV81" i="3" l="1"/>
  <c r="BK93" i="3" l="1"/>
  <c r="AV93" i="3"/>
  <c r="AU99" i="3" l="1"/>
  <c r="AU309" i="3" l="1"/>
  <c r="AU313" i="3"/>
  <c r="AV313" i="3" s="1"/>
  <c r="AW313" i="3" s="1"/>
  <c r="AY313" i="3" s="1"/>
  <c r="AZ313" i="3" s="1"/>
  <c r="AT71" i="3"/>
  <c r="AX71" i="3" s="1"/>
  <c r="AU305" i="3" l="1"/>
  <c r="AU304" i="3" l="1"/>
  <c r="AU8" i="3" l="1"/>
  <c r="AU93" i="3"/>
  <c r="AX8" i="3" l="1"/>
  <c r="AV79" i="3"/>
  <c r="AU79" i="3"/>
  <c r="AU100" i="3" l="1"/>
  <c r="AT99" i="3"/>
  <c r="AT100" i="3"/>
  <c r="AS99" i="3"/>
  <c r="AS100" i="3"/>
  <c r="AS101" i="3"/>
  <c r="AR99" i="3"/>
  <c r="AR100" i="3"/>
  <c r="AR101" i="3"/>
  <c r="AQ99" i="3"/>
  <c r="AQ100" i="3"/>
  <c r="AQ101" i="3"/>
  <c r="AP99" i="3"/>
  <c r="AP100" i="3"/>
  <c r="AP101" i="3"/>
  <c r="AO99" i="3"/>
  <c r="AO100" i="3"/>
  <c r="AO101" i="3"/>
  <c r="AN100" i="3"/>
  <c r="AN101" i="3"/>
  <c r="AM99" i="3"/>
  <c r="AM100" i="3"/>
  <c r="AM101" i="3"/>
  <c r="AL99" i="3"/>
  <c r="AL100" i="3"/>
  <c r="AL101" i="3"/>
  <c r="AJ101" i="3"/>
  <c r="AJ100" i="3"/>
  <c r="AI99" i="3"/>
  <c r="AI101" i="3"/>
  <c r="AI100" i="3"/>
  <c r="AH99" i="3"/>
  <c r="AH101" i="3"/>
  <c r="AH100" i="3"/>
  <c r="AG100" i="3"/>
  <c r="AG101" i="3"/>
  <c r="AB101" i="3"/>
  <c r="AB100" i="3"/>
  <c r="AG99" i="3"/>
  <c r="T95" i="3"/>
  <c r="Q95" i="3"/>
  <c r="R95" i="3"/>
  <c r="V95" i="3"/>
  <c r="AK101" i="3" l="1"/>
  <c r="AX101" i="3"/>
  <c r="AK100" i="3"/>
  <c r="AU90" i="3" l="1"/>
  <c r="AU95" i="3" l="1"/>
  <c r="AW38" i="3" l="1"/>
  <c r="AX38" i="3" l="1"/>
  <c r="AW74" i="3"/>
  <c r="AV145" i="3"/>
  <c r="AW103" i="3" s="1"/>
  <c r="AX103" i="3" l="1"/>
  <c r="AW145" i="3"/>
  <c r="AY103" i="3" s="1"/>
  <c r="AY145" i="3" l="1"/>
  <c r="BA103" i="3" s="1"/>
  <c r="AX145" i="3"/>
  <c r="AZ145" i="3" l="1"/>
  <c r="AX140" i="3"/>
  <c r="BA145" i="3" l="1"/>
  <c r="BB145" i="3" l="1"/>
  <c r="BB103" i="3"/>
  <c r="BC145" i="3" l="1"/>
  <c r="BC103" i="3"/>
  <c r="AU91" i="3"/>
  <c r="BD145" i="3" l="1"/>
  <c r="BD103" i="3"/>
  <c r="BE145" i="3" l="1"/>
  <c r="BG103" i="3" s="1"/>
  <c r="BE103" i="3"/>
  <c r="AT305" i="3"/>
  <c r="BF145" i="3" l="1"/>
  <c r="AT304" i="3"/>
  <c r="AS304" i="3"/>
  <c r="BG145" i="3" l="1"/>
  <c r="BH145" i="3" l="1"/>
  <c r="BH103" i="3"/>
  <c r="BI145" i="3" l="1"/>
  <c r="AO64" i="3"/>
  <c r="BJ145" i="3" l="1"/>
  <c r="BK103" i="3"/>
  <c r="BK145" i="3" l="1"/>
  <c r="BL103" i="3" s="1"/>
  <c r="BL145" i="3"/>
  <c r="AT33" i="3"/>
  <c r="AX33" i="3" s="1"/>
  <c r="AT20" i="3"/>
  <c r="AX20" i="3" s="1"/>
  <c r="BM145" i="3" l="1"/>
  <c r="BM103" i="3"/>
  <c r="BK140" i="3"/>
  <c r="AT107" i="3"/>
  <c r="BN145" i="3" l="1"/>
  <c r="BN103" i="3"/>
  <c r="BK91" i="3"/>
  <c r="AT91" i="3"/>
  <c r="AK91" i="3"/>
  <c r="AB91" i="3"/>
  <c r="AS124" i="3"/>
  <c r="BO145" i="3" l="1"/>
  <c r="AX91" i="3"/>
  <c r="BP145" i="3" l="1"/>
  <c r="AT94" i="3"/>
  <c r="BQ145" i="3" l="1"/>
  <c r="BR145" i="3" s="1"/>
  <c r="BS145" i="3" s="1"/>
  <c r="BT145" i="3" s="1"/>
  <c r="BQ103" i="3"/>
  <c r="AS305" i="3"/>
  <c r="BU145" i="3" l="1"/>
  <c r="BV145" i="3" s="1"/>
  <c r="BW145" i="3" s="1"/>
  <c r="BR103" i="3"/>
  <c r="AS87" i="3"/>
  <c r="AT88" i="3"/>
  <c r="AS88" i="3"/>
  <c r="AS86" i="3" l="1"/>
  <c r="AS97" i="3"/>
  <c r="AS96" i="3" l="1"/>
  <c r="BU103" i="3" l="1"/>
  <c r="AS62" i="3"/>
  <c r="AX62" i="3" s="1"/>
  <c r="BV103" i="3" l="1"/>
  <c r="BX145" i="3" l="1"/>
  <c r="BY145" i="3" s="1"/>
  <c r="BW103" i="3"/>
  <c r="BX103" i="3" s="1"/>
  <c r="BZ145" i="3" l="1"/>
  <c r="AR305" i="3"/>
  <c r="AR304" i="3"/>
  <c r="AR111" i="3"/>
  <c r="BZ140" i="3" l="1"/>
  <c r="CA140" i="3" s="1"/>
  <c r="CB140" i="3" s="1"/>
  <c r="CC140" i="3" s="1"/>
  <c r="CD140" i="3" s="1"/>
  <c r="CE140" i="3" s="1"/>
  <c r="CF140" i="3" s="1"/>
  <c r="CG140" i="3" s="1"/>
  <c r="CH140" i="3" s="1"/>
  <c r="CI140" i="3" s="1"/>
  <c r="CJ140" i="3" s="1"/>
  <c r="CK140" i="3" s="1"/>
  <c r="CM140" i="3" s="1"/>
  <c r="CN140" i="3" s="1"/>
  <c r="CO140" i="3" s="1"/>
  <c r="CP140" i="3" s="1"/>
  <c r="CQ140" i="3" s="1"/>
  <c r="CR140" i="3" s="1"/>
  <c r="CS140" i="3" s="1"/>
  <c r="CT140" i="3" s="1"/>
  <c r="CU140" i="3" s="1"/>
  <c r="CV140" i="3" s="1"/>
  <c r="CW140" i="3" s="1"/>
  <c r="CX140" i="3" s="1"/>
  <c r="CY140" i="3" s="1"/>
  <c r="CA145" i="3"/>
  <c r="CA103" i="3"/>
  <c r="AR87" i="3"/>
  <c r="CB145" i="3" l="1"/>
  <c r="AR79" i="3"/>
  <c r="CC145" i="3" l="1"/>
  <c r="AO87" i="3"/>
  <c r="AN87" i="3"/>
  <c r="CD145" i="3" l="1"/>
  <c r="CD103" i="3"/>
  <c r="AX35" i="3"/>
  <c r="CE145" i="3" l="1"/>
  <c r="CE103" i="3"/>
  <c r="AR96" i="3"/>
  <c r="CF145" i="3" l="1"/>
  <c r="CF103" i="3"/>
  <c r="CG145" i="3" l="1"/>
  <c r="CG103" i="3"/>
  <c r="AQ10" i="3"/>
  <c r="AQ37" i="3"/>
  <c r="AQ67" i="3"/>
  <c r="AX67" i="3" s="1"/>
  <c r="AQ79" i="3"/>
  <c r="AQ88" i="3"/>
  <c r="AQ90" i="3"/>
  <c r="AQ98" i="3"/>
  <c r="AQ107" i="3"/>
  <c r="AQ304" i="3"/>
  <c r="AQ305" i="3"/>
  <c r="CH145" i="3" l="1"/>
  <c r="CH103" i="3"/>
  <c r="AQ74" i="3"/>
  <c r="AQ130" i="3" s="1"/>
  <c r="AQ127" i="3"/>
  <c r="AQ131" i="3" s="1"/>
  <c r="BW74" i="3"/>
  <c r="BV74" i="3"/>
  <c r="BU74" i="3"/>
  <c r="BU130" i="3" s="1"/>
  <c r="BR74" i="3"/>
  <c r="BR130" i="3" s="1"/>
  <c r="BP130" i="3"/>
  <c r="BO130" i="3"/>
  <c r="BN130" i="3"/>
  <c r="BM130" i="3"/>
  <c r="BV130" i="3" l="1"/>
  <c r="BW130" i="3"/>
  <c r="BS130" i="3"/>
  <c r="CI145" i="3"/>
  <c r="CI103" i="3"/>
  <c r="BQ74" i="3"/>
  <c r="BQ130" i="3" s="1"/>
  <c r="BL74" i="3"/>
  <c r="BT74" i="3"/>
  <c r="BL130" i="3" l="1"/>
  <c r="BX74" i="3"/>
  <c r="BT130" i="3"/>
  <c r="CJ145" i="3"/>
  <c r="CK145" i="3" s="1"/>
  <c r="CM145" i="3" s="1"/>
  <c r="CJ103" i="3"/>
  <c r="BX130" i="3" l="1"/>
  <c r="CK103" i="3"/>
  <c r="CM103" i="3"/>
  <c r="CN145" i="3"/>
  <c r="AP304" i="3"/>
  <c r="CN103" i="3" l="1"/>
  <c r="CO103" i="3" s="1"/>
  <c r="CP103" i="3" s="1"/>
  <c r="CQ103" i="3" s="1"/>
  <c r="CR103" i="3" s="1"/>
  <c r="CS103" i="3" s="1"/>
  <c r="CT103" i="3" s="1"/>
  <c r="CU103" i="3" s="1"/>
  <c r="CV103" i="3" s="1"/>
  <c r="CW103" i="3" s="1"/>
  <c r="CX103" i="3" s="1"/>
  <c r="CO145" i="3"/>
  <c r="AT22" i="3"/>
  <c r="CY103" i="3" l="1"/>
  <c r="CP145" i="3"/>
  <c r="AP124" i="3"/>
  <c r="AP37" i="3"/>
  <c r="AX37" i="3" s="1"/>
  <c r="CQ145" i="3" l="1"/>
  <c r="AP305" i="3"/>
  <c r="CR145" i="3" l="1"/>
  <c r="AL124" i="3"/>
  <c r="AX124" i="3" s="1"/>
  <c r="CS145" i="3" l="1"/>
  <c r="AH71" i="3"/>
  <c r="AG71" i="3"/>
  <c r="AG312" i="3"/>
  <c r="AH312" i="3" s="1"/>
  <c r="AI312" i="3" s="1"/>
  <c r="AF99" i="3"/>
  <c r="AM65" i="3"/>
  <c r="AX65" i="3" s="1"/>
  <c r="AM63" i="3"/>
  <c r="AM92" i="3"/>
  <c r="AX92" i="3" s="1"/>
  <c r="AL93" i="3"/>
  <c r="AL64" i="3"/>
  <c r="AI20" i="3"/>
  <c r="AH35" i="3"/>
  <c r="AH93" i="3"/>
  <c r="AG23" i="3"/>
  <c r="AG311" i="3" s="1"/>
  <c r="CT145" i="3" l="1"/>
  <c r="AH311" i="3"/>
  <c r="AI311" i="3" s="1"/>
  <c r="AG124" i="3"/>
  <c r="CU145" i="3" l="1"/>
  <c r="AR88" i="3"/>
  <c r="AR127" i="3" s="1"/>
  <c r="AR131" i="3" s="1"/>
  <c r="CV145" i="3" l="1"/>
  <c r="AP112" i="3"/>
  <c r="CW145" i="3" l="1"/>
  <c r="AU125" i="3"/>
  <c r="CX145" i="3" l="1"/>
  <c r="AU127" i="3"/>
  <c r="AX125" i="3"/>
  <c r="CY145" i="3" l="1"/>
  <c r="AX86" i="3"/>
  <c r="AK86" i="3"/>
  <c r="AB86" i="3"/>
  <c r="AK5" i="3" l="1"/>
  <c r="AC99" i="3" l="1"/>
  <c r="AC55" i="3"/>
  <c r="AD99" i="3"/>
  <c r="AD31" i="3"/>
  <c r="AC17" i="3"/>
  <c r="AP10" i="3" l="1"/>
  <c r="AX10" i="3" s="1"/>
  <c r="AO304" i="3" l="1"/>
  <c r="AP107" i="3" l="1"/>
  <c r="AN304" i="3" l="1"/>
  <c r="AK71" i="3" l="1"/>
  <c r="AO111" i="3" l="1"/>
  <c r="AO93" i="3" l="1"/>
  <c r="AX93" i="3" s="1"/>
  <c r="AG10" i="3" l="1"/>
  <c r="AE8" i="3" l="1"/>
  <c r="AO31" i="3" l="1"/>
  <c r="AX31" i="3" s="1"/>
  <c r="AO112" i="3" l="1"/>
  <c r="AO88" i="3"/>
  <c r="AR9" i="3" l="1"/>
  <c r="AX9" i="3" l="1"/>
  <c r="AR74" i="3"/>
  <c r="AR130" i="3" s="1"/>
  <c r="AO107" i="3" l="1"/>
  <c r="AO90" i="3" l="1"/>
  <c r="BJ52" i="3" l="1"/>
  <c r="BJ74" i="3" l="1"/>
  <c r="BJ130" i="3" s="1"/>
  <c r="BI74" i="3"/>
  <c r="BI130" i="3" s="1"/>
  <c r="BG74" i="3"/>
  <c r="BG130" i="3" s="1"/>
  <c r="BH130" i="3"/>
  <c r="BF74" i="3"/>
  <c r="BF130" i="3" s="1"/>
  <c r="BK52" i="3"/>
  <c r="BK74" i="3" s="1"/>
  <c r="BD74" i="3"/>
  <c r="BD130" i="3" s="1"/>
  <c r="BE74" i="3"/>
  <c r="BE130" i="3" s="1"/>
  <c r="BC130" i="3"/>
  <c r="BA130" i="3"/>
  <c r="BB74" i="3"/>
  <c r="AZ74" i="3"/>
  <c r="AZ130" i="3" s="1"/>
  <c r="AO57" i="3"/>
  <c r="AX57" i="3" s="1"/>
  <c r="AK56" i="3"/>
  <c r="AK57" i="3"/>
  <c r="BK75" i="3" l="1"/>
  <c r="BB130" i="3"/>
  <c r="AN112" i="3"/>
  <c r="AN88" i="3"/>
  <c r="C14" i="4" l="1"/>
  <c r="AN17" i="3"/>
  <c r="AX17" i="3" s="1"/>
  <c r="AU63" i="3" l="1"/>
  <c r="AX63" i="3" l="1"/>
  <c r="AU64" i="3"/>
  <c r="AX64" i="3" s="1"/>
  <c r="AU74" i="3" l="1"/>
  <c r="AM87" i="3"/>
  <c r="AL87" i="3"/>
  <c r="AF162" i="3"/>
  <c r="AD162" i="3"/>
  <c r="AC162" i="3"/>
  <c r="AA162" i="3"/>
  <c r="AJ87" i="3"/>
  <c r="AI87" i="3"/>
  <c r="AH87" i="3"/>
  <c r="AG87" i="3"/>
  <c r="AF87" i="3"/>
  <c r="AE87" i="3"/>
  <c r="AD87" i="3"/>
  <c r="AC87" i="3"/>
  <c r="Z162" i="3"/>
  <c r="Y162" i="3"/>
  <c r="X162" i="3"/>
  <c r="AA87" i="3"/>
  <c r="Z87" i="3"/>
  <c r="X88" i="3"/>
  <c r="V162" i="3"/>
  <c r="V163" i="3" s="1"/>
  <c r="W162" i="3"/>
  <c r="Y96" i="3"/>
  <c r="W163" i="3" l="1"/>
  <c r="X163" i="3" s="1"/>
  <c r="AX169" i="3" l="1"/>
  <c r="AB148" i="3"/>
  <c r="AB160" i="3"/>
  <c r="AJ160" i="3"/>
  <c r="AF148" i="3"/>
  <c r="AG148" i="3" s="1"/>
  <c r="AH148" i="3" s="1"/>
  <c r="AI148" i="3" s="1"/>
  <c r="AJ148" i="3" s="1"/>
  <c r="AY169" i="3" l="1"/>
  <c r="AZ169" i="3" s="1"/>
  <c r="BA169" i="3" s="1"/>
  <c r="BB169" i="3" s="1"/>
  <c r="BC169" i="3" s="1"/>
  <c r="BD169" i="3" s="1"/>
  <c r="BE169" i="3" s="1"/>
  <c r="BF169" i="3" s="1"/>
  <c r="BG169" i="3" s="1"/>
  <c r="Y163" i="3"/>
  <c r="Z163" i="3" s="1"/>
  <c r="AA163" i="3" s="1"/>
  <c r="AC163" i="3" s="1"/>
  <c r="AD163" i="3" s="1"/>
  <c r="AE163" i="3" s="1"/>
  <c r="AF163" i="3" s="1"/>
  <c r="AG163" i="3" s="1"/>
  <c r="AH163" i="3" s="1"/>
  <c r="AI163" i="3" s="1"/>
  <c r="AJ163" i="3" s="1"/>
  <c r="AL148" i="3"/>
  <c r="AM148" i="3" s="1"/>
  <c r="AN148" i="3" s="1"/>
  <c r="AO148" i="3" s="1"/>
  <c r="AP148" i="3" s="1"/>
  <c r="AK148" i="3"/>
  <c r="AK160" i="3"/>
  <c r="AL160" i="3"/>
  <c r="AM160" i="3" s="1"/>
  <c r="BH169" i="3" l="1"/>
  <c r="BI169" i="3" s="1"/>
  <c r="BJ169" i="3" s="1"/>
  <c r="BK169" i="3" s="1"/>
  <c r="AQ148" i="3"/>
  <c r="AR148" i="3" s="1"/>
  <c r="AS148" i="3" s="1"/>
  <c r="AT148" i="3" s="1"/>
  <c r="AU148" i="3" s="1"/>
  <c r="AB163" i="3"/>
  <c r="AK163" i="3"/>
  <c r="AV148" i="3" l="1"/>
  <c r="AW100" i="3" s="1"/>
  <c r="AV100" i="3"/>
  <c r="AV127" i="3" s="1"/>
  <c r="BL169" i="3"/>
  <c r="AN160" i="3"/>
  <c r="BM169" i="3" l="1"/>
  <c r="BN169" i="3" s="1"/>
  <c r="BO169" i="3" s="1"/>
  <c r="BP169" i="3" s="1"/>
  <c r="BQ169" i="3" s="1"/>
  <c r="BR169" i="3" s="1"/>
  <c r="BS169" i="3" s="1"/>
  <c r="BT169" i="3" s="1"/>
  <c r="BU169" i="3" s="1"/>
  <c r="BV169" i="3" s="1"/>
  <c r="BW169" i="3" s="1"/>
  <c r="BX169" i="3" s="1"/>
  <c r="AW148" i="3"/>
  <c r="AY100" i="3" s="1"/>
  <c r="AW127" i="3"/>
  <c r="AX100" i="3"/>
  <c r="AO160" i="3"/>
  <c r="AM304" i="3"/>
  <c r="BY169" i="3" l="1"/>
  <c r="BZ169" i="3" s="1"/>
  <c r="CA169" i="3" s="1"/>
  <c r="CB169" i="3" s="1"/>
  <c r="CC169" i="3" s="1"/>
  <c r="CD169" i="3" s="1"/>
  <c r="CE169" i="3" s="1"/>
  <c r="CF169" i="3" s="1"/>
  <c r="CG169" i="3" s="1"/>
  <c r="CH169" i="3" s="1"/>
  <c r="CI169" i="3" s="1"/>
  <c r="CJ169" i="3" s="1"/>
  <c r="AY148" i="3"/>
  <c r="AZ100" i="3" s="1"/>
  <c r="AX148" i="3"/>
  <c r="AY127" i="3"/>
  <c r="AY131" i="3" s="1"/>
  <c r="AP160" i="3"/>
  <c r="AQ160" i="3" s="1"/>
  <c r="AM88" i="3"/>
  <c r="CK169" i="3" l="1"/>
  <c r="CM169" i="3"/>
  <c r="CN169" i="3" s="1"/>
  <c r="CO169" i="3" s="1"/>
  <c r="CP169" i="3" s="1"/>
  <c r="CQ169" i="3" s="1"/>
  <c r="CR169" i="3" s="1"/>
  <c r="CS169" i="3" s="1"/>
  <c r="CT169" i="3" s="1"/>
  <c r="CU169" i="3" s="1"/>
  <c r="CV169" i="3" s="1"/>
  <c r="CW169" i="3" s="1"/>
  <c r="CX169" i="3" s="1"/>
  <c r="AZ148" i="3"/>
  <c r="BA100" i="3" s="1"/>
  <c r="AR160" i="3"/>
  <c r="CY169" i="3" l="1"/>
  <c r="BA148" i="3"/>
  <c r="BB100" i="3" s="1"/>
  <c r="BA127" i="3"/>
  <c r="BA131" i="3" s="1"/>
  <c r="AZ127" i="3"/>
  <c r="AZ131" i="3" s="1"/>
  <c r="AK125" i="3"/>
  <c r="BB148" i="3" l="1"/>
  <c r="BC100" i="3" s="1"/>
  <c r="AM66" i="3"/>
  <c r="AX66" i="3" s="1"/>
  <c r="BC148" i="3" l="1"/>
  <c r="BD100" i="3" s="1"/>
  <c r="BC127" i="3"/>
  <c r="BC131" i="3" s="1"/>
  <c r="BB127" i="3"/>
  <c r="BB131" i="3" s="1"/>
  <c r="AM32" i="3"/>
  <c r="AX32" i="3" s="1"/>
  <c r="BD148" i="3" l="1"/>
  <c r="BE100" i="3" s="1"/>
  <c r="BD127" i="3"/>
  <c r="BD131" i="3" s="1"/>
  <c r="BB315" i="3"/>
  <c r="BC315" i="3"/>
  <c r="AL111" i="3"/>
  <c r="AL74" i="3"/>
  <c r="BE148" i="3" l="1"/>
  <c r="BF100" i="3" s="1"/>
  <c r="BE127" i="3"/>
  <c r="BE131" i="3" s="1"/>
  <c r="BF148" i="3" l="1"/>
  <c r="BG100" i="3" s="1"/>
  <c r="BF127" i="3"/>
  <c r="BF131" i="3" s="1"/>
  <c r="BG148" i="3" l="1"/>
  <c r="BH100" i="3" s="1"/>
  <c r="BG127" i="3"/>
  <c r="AF315" i="3"/>
  <c r="AE315" i="3"/>
  <c r="AD315" i="3"/>
  <c r="AC315" i="3"/>
  <c r="Z315" i="3"/>
  <c r="Y315" i="3"/>
  <c r="X315" i="3"/>
  <c r="W315" i="3"/>
  <c r="V315" i="3"/>
  <c r="U315" i="3"/>
  <c r="T315" i="3"/>
  <c r="S315" i="3"/>
  <c r="R315" i="3"/>
  <c r="Q315" i="3"/>
  <c r="P315" i="3"/>
  <c r="AA315" i="3"/>
  <c r="AX85" i="3"/>
  <c r="AK85" i="3"/>
  <c r="AB85" i="3"/>
  <c r="BH148" i="3" l="1"/>
  <c r="BI100" i="3" s="1"/>
  <c r="BI127" i="3" s="1"/>
  <c r="BI131" i="3" s="1"/>
  <c r="BH127" i="3"/>
  <c r="BH131" i="3" s="1"/>
  <c r="BG131" i="3"/>
  <c r="AJ312" i="3"/>
  <c r="AL312" i="3" s="1"/>
  <c r="AM312" i="3" s="1"/>
  <c r="AD88" i="3"/>
  <c r="AK38" i="3"/>
  <c r="AK37" i="3"/>
  <c r="BI148" i="3" l="1"/>
  <c r="BJ148" i="3" s="1"/>
  <c r="AN312" i="3"/>
  <c r="AO312" i="3" s="1"/>
  <c r="AP312" i="3" s="1"/>
  <c r="AX79" i="3"/>
  <c r="AX83" i="3"/>
  <c r="AX84" i="3"/>
  <c r="AX87" i="3"/>
  <c r="AX90" i="3"/>
  <c r="AX94" i="3"/>
  <c r="AX95" i="3"/>
  <c r="AX97" i="3"/>
  <c r="AX98" i="3"/>
  <c r="AX107" i="3"/>
  <c r="AX108" i="3"/>
  <c r="AX109" i="3"/>
  <c r="AX110" i="3"/>
  <c r="AX78" i="3"/>
  <c r="AS74" i="3"/>
  <c r="AS130" i="3" s="1"/>
  <c r="AU130" i="3"/>
  <c r="AX26" i="3"/>
  <c r="AX29" i="3"/>
  <c r="AX36" i="3"/>
  <c r="AX51" i="3"/>
  <c r="AX53" i="3"/>
  <c r="AX54" i="3"/>
  <c r="AX55" i="3"/>
  <c r="AX59" i="3"/>
  <c r="AX60" i="3"/>
  <c r="AX61" i="3"/>
  <c r="AX72" i="3"/>
  <c r="BJ100" i="3" l="1"/>
  <c r="BK100" i="3" s="1"/>
  <c r="BK148" i="3"/>
  <c r="BL148" i="3" s="1"/>
  <c r="BL100" i="3"/>
  <c r="AQ312" i="3"/>
  <c r="AR312" i="3" s="1"/>
  <c r="AS312" i="3" s="1"/>
  <c r="AV74" i="3"/>
  <c r="AV130" i="3" s="1"/>
  <c r="AY130" i="3"/>
  <c r="BK130" i="3" s="1"/>
  <c r="AT74" i="3"/>
  <c r="AT130" i="3" s="1"/>
  <c r="AL112" i="3"/>
  <c r="AX106" i="3"/>
  <c r="BJ127" i="3" l="1"/>
  <c r="BJ131" i="3" s="1"/>
  <c r="BK131" i="3" s="1"/>
  <c r="BL127" i="3"/>
  <c r="BM148" i="3"/>
  <c r="BM100" i="3"/>
  <c r="BM127" i="3" s="1"/>
  <c r="AT312" i="3"/>
  <c r="AU312" i="3" s="1"/>
  <c r="AV312" i="3" s="1"/>
  <c r="AX112" i="3"/>
  <c r="BM131" i="3" l="1"/>
  <c r="BM315" i="3"/>
  <c r="BL131" i="3"/>
  <c r="BN148" i="3"/>
  <c r="BO100" i="3" s="1"/>
  <c r="BO127" i="3" s="1"/>
  <c r="BN100" i="3"/>
  <c r="BN127" i="3" s="1"/>
  <c r="AW312" i="3"/>
  <c r="AV315" i="3"/>
  <c r="AU315" i="3"/>
  <c r="BN131" i="3" l="1"/>
  <c r="BN315" i="3"/>
  <c r="BO148" i="3"/>
  <c r="AY312" i="3"/>
  <c r="AW315" i="3"/>
  <c r="AX99" i="3"/>
  <c r="AL88" i="3"/>
  <c r="AX111" i="3"/>
  <c r="BP148" i="3" l="1"/>
  <c r="BP100" i="3"/>
  <c r="AY315" i="3"/>
  <c r="AZ312" i="3"/>
  <c r="AZ315" i="3" s="1"/>
  <c r="AL127" i="3"/>
  <c r="BP127" i="3" l="1"/>
  <c r="BP131" i="3" s="1"/>
  <c r="BO131" i="3"/>
  <c r="BQ148" i="3"/>
  <c r="BR100" i="3" s="1"/>
  <c r="BQ100" i="3"/>
  <c r="BQ127" i="3" s="1"/>
  <c r="BQ131" i="3" l="1"/>
  <c r="BR148" i="3"/>
  <c r="O126" i="3"/>
  <c r="BS148" i="3" l="1"/>
  <c r="BS100" i="3"/>
  <c r="BS127" i="3" s="1"/>
  <c r="BR127" i="3"/>
  <c r="AK7" i="3"/>
  <c r="AK9" i="3"/>
  <c r="AK11" i="3"/>
  <c r="AK12" i="3"/>
  <c r="AK13" i="3"/>
  <c r="AK14" i="3"/>
  <c r="AK15" i="3"/>
  <c r="AK16" i="3"/>
  <c r="AK18" i="3"/>
  <c r="AK19" i="3"/>
  <c r="AK21" i="3"/>
  <c r="AK22" i="3"/>
  <c r="AK26" i="3"/>
  <c r="AK27" i="3"/>
  <c r="AK28" i="3"/>
  <c r="AK29" i="3"/>
  <c r="AK30" i="3"/>
  <c r="AK32" i="3"/>
  <c r="AK33" i="3"/>
  <c r="AK34" i="3"/>
  <c r="AK36" i="3"/>
  <c r="AK51" i="3"/>
  <c r="AK52" i="3"/>
  <c r="AK54" i="3"/>
  <c r="AK59" i="3"/>
  <c r="AK60" i="3"/>
  <c r="AK61" i="3"/>
  <c r="AK63" i="3"/>
  <c r="AK64" i="3"/>
  <c r="AK65" i="3"/>
  <c r="AK66" i="3"/>
  <c r="AK67" i="3"/>
  <c r="AK72" i="3"/>
  <c r="AK73" i="3"/>
  <c r="AK6" i="3"/>
  <c r="BS131" i="3" l="1"/>
  <c r="BR131" i="3"/>
  <c r="BT100" i="3"/>
  <c r="BT148" i="3"/>
  <c r="BT127" i="3" l="1"/>
  <c r="BU148" i="3"/>
  <c r="BU100" i="3"/>
  <c r="BU127" i="3" s="1"/>
  <c r="AK98" i="3"/>
  <c r="AK94" i="3"/>
  <c r="AK92" i="3"/>
  <c r="AK84" i="3"/>
  <c r="AK82" i="3"/>
  <c r="AK78" i="3"/>
  <c r="AB67" i="3"/>
  <c r="AD124" i="3"/>
  <c r="AC124" i="3"/>
  <c r="M129" i="3"/>
  <c r="BT131" i="3" l="1"/>
  <c r="BU131" i="3"/>
  <c r="BV148" i="3"/>
  <c r="BW100" i="3" s="1"/>
  <c r="BV100" i="3"/>
  <c r="BV127" i="3" s="1"/>
  <c r="AK124" i="3"/>
  <c r="BV131" i="3" l="1"/>
  <c r="BW148" i="3"/>
  <c r="BW127" i="3" l="1"/>
  <c r="BW131" i="3" s="1"/>
  <c r="BX131" i="3" s="1"/>
  <c r="BX100" i="3"/>
  <c r="BX127" i="3" s="1"/>
  <c r="BY100" i="3"/>
  <c r="BY127" i="3" s="1"/>
  <c r="BX148" i="3"/>
  <c r="AJ112" i="3"/>
  <c r="AX82" i="3"/>
  <c r="AJ88" i="3"/>
  <c r="BY131" i="3" l="1"/>
  <c r="BY148" i="3"/>
  <c r="BZ100" i="3" s="1"/>
  <c r="AI95" i="3"/>
  <c r="AI112" i="3"/>
  <c r="AK112" i="3" s="1"/>
  <c r="AI88" i="3"/>
  <c r="BY132" i="3" l="1"/>
  <c r="BZ148" i="3"/>
  <c r="BZ127" i="3"/>
  <c r="O65" i="3"/>
  <c r="O66" i="3"/>
  <c r="O70" i="3"/>
  <c r="CA148" i="3" l="1"/>
  <c r="CA100" i="3"/>
  <c r="CA127" i="3" s="1"/>
  <c r="BZ131" i="3"/>
  <c r="AK93" i="3"/>
  <c r="AH111" i="3"/>
  <c r="CA131" i="3" l="1"/>
  <c r="CA132" i="3" s="1"/>
  <c r="CB148" i="3"/>
  <c r="CB100" i="3"/>
  <c r="CB127" i="3" s="1"/>
  <c r="CB131" i="3" s="1"/>
  <c r="CB132" i="3" s="1"/>
  <c r="BZ132" i="3"/>
  <c r="O72" i="3"/>
  <c r="O71" i="3"/>
  <c r="O64" i="3"/>
  <c r="O63" i="3"/>
  <c r="O62" i="3"/>
  <c r="O61" i="3"/>
  <c r="O60" i="3"/>
  <c r="O59" i="3"/>
  <c r="O58" i="3"/>
  <c r="O55" i="3"/>
  <c r="O54" i="3"/>
  <c r="O52" i="3"/>
  <c r="O51" i="3"/>
  <c r="O50" i="3"/>
  <c r="O36" i="3"/>
  <c r="O56" i="3"/>
  <c r="O35" i="3"/>
  <c r="O34" i="3"/>
  <c r="O33" i="3"/>
  <c r="O32" i="3"/>
  <c r="O31" i="3"/>
  <c r="O30" i="3"/>
  <c r="O29" i="3"/>
  <c r="O28" i="3"/>
  <c r="O27" i="3"/>
  <c r="O26" i="3"/>
  <c r="O23" i="3"/>
  <c r="O22" i="3"/>
  <c r="O21" i="3"/>
  <c r="O20" i="3"/>
  <c r="O19" i="3"/>
  <c r="O18" i="3"/>
  <c r="O17" i="3"/>
  <c r="O16" i="3"/>
  <c r="O15" i="3"/>
  <c r="O14" i="3"/>
  <c r="O13" i="3"/>
  <c r="O12" i="3"/>
  <c r="O11" i="3"/>
  <c r="O10" i="3"/>
  <c r="O9" i="3"/>
  <c r="O8" i="3"/>
  <c r="O7" i="3"/>
  <c r="O120" i="3"/>
  <c r="O112" i="3"/>
  <c r="O111" i="3"/>
  <c r="O110" i="3"/>
  <c r="O109" i="3"/>
  <c r="O108" i="3"/>
  <c r="O107" i="3"/>
  <c r="O106" i="3"/>
  <c r="O97" i="3"/>
  <c r="O96" i="3"/>
  <c r="O95" i="3"/>
  <c r="O94" i="3"/>
  <c r="O93" i="3"/>
  <c r="O87" i="3"/>
  <c r="O83" i="3"/>
  <c r="O82" i="3"/>
  <c r="O79" i="3"/>
  <c r="Z124" i="3"/>
  <c r="W124" i="3"/>
  <c r="T124" i="3"/>
  <c r="E124" i="3"/>
  <c r="O124" i="3" s="1"/>
  <c r="AJ79" i="3"/>
  <c r="AJ127" i="3" s="1"/>
  <c r="AI79" i="3"/>
  <c r="AI127" i="3" s="1"/>
  <c r="AH79" i="3"/>
  <c r="AF110" i="3"/>
  <c r="AC110" i="3"/>
  <c r="U79" i="3"/>
  <c r="T79" i="3"/>
  <c r="CC100" i="3" l="1"/>
  <c r="CC127" i="3" s="1"/>
  <c r="CC131" i="3" s="1"/>
  <c r="CC132" i="3" s="1"/>
  <c r="CC148" i="3"/>
  <c r="AB124" i="3"/>
  <c r="AK79" i="3"/>
  <c r="CD100" i="3" l="1"/>
  <c r="CD127" i="3" s="1"/>
  <c r="CD148" i="3"/>
  <c r="CD131" i="3" l="1"/>
  <c r="CD132" i="3" s="1"/>
  <c r="CE148" i="3"/>
  <c r="CE100" i="3"/>
  <c r="CE127" i="3" s="1"/>
  <c r="AG96" i="3"/>
  <c r="AK96" i="3" s="1"/>
  <c r="AG97" i="3"/>
  <c r="AK97" i="3" s="1"/>
  <c r="AG95" i="3"/>
  <c r="AA97" i="3"/>
  <c r="AA95" i="3"/>
  <c r="Y95" i="3"/>
  <c r="AB96" i="3"/>
  <c r="X98" i="3"/>
  <c r="X95" i="3"/>
  <c r="V97" i="3"/>
  <c r="L98" i="3"/>
  <c r="K98" i="3"/>
  <c r="J98" i="3"/>
  <c r="I98" i="3"/>
  <c r="G98" i="3"/>
  <c r="CE131" i="3" l="1"/>
  <c r="CD315" i="3"/>
  <c r="CF100" i="3"/>
  <c r="CF127" i="3" s="1"/>
  <c r="CF131" i="3" s="1"/>
  <c r="CF132" i="3" s="1"/>
  <c r="CF148" i="3"/>
  <c r="AB97" i="3"/>
  <c r="O98" i="3"/>
  <c r="AB98" i="3"/>
  <c r="AB73" i="3"/>
  <c r="AB72" i="3"/>
  <c r="AB71" i="3"/>
  <c r="AB61" i="3"/>
  <c r="AB55" i="3"/>
  <c r="AB54" i="3"/>
  <c r="AB53" i="3"/>
  <c r="AB51" i="3"/>
  <c r="CF304" i="3" l="1"/>
  <c r="CE132" i="3"/>
  <c r="CG148" i="3"/>
  <c r="CG100" i="3"/>
  <c r="CG127" i="3" s="1"/>
  <c r="AG55" i="3"/>
  <c r="CG304" i="3" l="1"/>
  <c r="CG131" i="3"/>
  <c r="CG132" i="3" s="1"/>
  <c r="CH148" i="3"/>
  <c r="CH100" i="3"/>
  <c r="CH127" i="3" s="1"/>
  <c r="G53" i="3"/>
  <c r="O53" i="3" s="1"/>
  <c r="CH131" i="3" l="1"/>
  <c r="CH132" i="3" s="1"/>
  <c r="CH304" i="3"/>
  <c r="CI100" i="3"/>
  <c r="CI127" i="3" s="1"/>
  <c r="CI131" i="3" s="1"/>
  <c r="CI132" i="3" s="1"/>
  <c r="CI148" i="3"/>
  <c r="AG88" i="3"/>
  <c r="AH88" i="3"/>
  <c r="AH127" i="3" s="1"/>
  <c r="CI304" i="3" l="1"/>
  <c r="CJ100" i="3"/>
  <c r="CJ148" i="3"/>
  <c r="CK148" i="3" s="1"/>
  <c r="CM148" i="3" s="1"/>
  <c r="CN148" i="3" s="1"/>
  <c r="CO148" i="3" s="1"/>
  <c r="AK99" i="3"/>
  <c r="CM100" i="3" l="1"/>
  <c r="CJ127" i="3"/>
  <c r="CK100" i="3"/>
  <c r="CK127" i="3" s="1"/>
  <c r="CP148" i="3"/>
  <c r="AK20" i="3"/>
  <c r="AW130" i="3"/>
  <c r="CJ131" i="3" l="1"/>
  <c r="CJ132" i="3" s="1"/>
  <c r="CK132" i="3" s="1"/>
  <c r="CJ304" i="3"/>
  <c r="CK131" i="3"/>
  <c r="CN100" i="3"/>
  <c r="CM127" i="3"/>
  <c r="CM131" i="3" s="1"/>
  <c r="CM132" i="3" s="1"/>
  <c r="CQ148" i="3"/>
  <c r="AG90" i="3"/>
  <c r="CN127" i="3" l="1"/>
  <c r="CN131" i="3" s="1"/>
  <c r="CN132" i="3" s="1"/>
  <c r="CO100" i="3"/>
  <c r="CR148" i="3"/>
  <c r="AK10" i="3"/>
  <c r="AF111" i="3"/>
  <c r="AK111" i="3" s="1"/>
  <c r="CO127" i="3" l="1"/>
  <c r="CO131" i="3" s="1"/>
  <c r="CO132" i="3" s="1"/>
  <c r="CP100" i="3"/>
  <c r="CS148" i="3"/>
  <c r="AF95" i="3"/>
  <c r="AK95" i="3" s="1"/>
  <c r="CP127" i="3" l="1"/>
  <c r="CP131" i="3" s="1"/>
  <c r="CP132" i="3" s="1"/>
  <c r="CQ100" i="3"/>
  <c r="CT148" i="3"/>
  <c r="AB6" i="3"/>
  <c r="AB7" i="3"/>
  <c r="AB8" i="3"/>
  <c r="AB10" i="3"/>
  <c r="AB11" i="3"/>
  <c r="AB13" i="3"/>
  <c r="AB14" i="3"/>
  <c r="AB16" i="3"/>
  <c r="AB17" i="3"/>
  <c r="AB18" i="3"/>
  <c r="AB19" i="3"/>
  <c r="AB20" i="3"/>
  <c r="AB21" i="3"/>
  <c r="AB23" i="3"/>
  <c r="AB28" i="3"/>
  <c r="AB30" i="3"/>
  <c r="AB31" i="3"/>
  <c r="AB33" i="3"/>
  <c r="AB34" i="3"/>
  <c r="AB35" i="3"/>
  <c r="AB56" i="3"/>
  <c r="CQ127" i="3" l="1"/>
  <c r="CQ131" i="3" s="1"/>
  <c r="CQ132" i="3" s="1"/>
  <c r="CR100" i="3"/>
  <c r="CU148" i="3"/>
  <c r="AG74" i="3"/>
  <c r="CR127" i="3" l="1"/>
  <c r="CR131" i="3" s="1"/>
  <c r="CR132" i="3" s="1"/>
  <c r="CS100" i="3"/>
  <c r="CV148" i="3"/>
  <c r="AG315" i="3"/>
  <c r="AK23" i="3"/>
  <c r="AF90" i="3"/>
  <c r="AK90" i="3" s="1"/>
  <c r="CS127" i="3" l="1"/>
  <c r="CS131" i="3" s="1"/>
  <c r="CS132" i="3" s="1"/>
  <c r="CT100" i="3"/>
  <c r="CW148" i="3"/>
  <c r="AF88" i="3"/>
  <c r="CT127" i="3" l="1"/>
  <c r="CT131" i="3" s="1"/>
  <c r="CT132" i="3" s="1"/>
  <c r="CU100" i="3"/>
  <c r="CX148" i="3"/>
  <c r="AF83" i="3"/>
  <c r="CV100" i="3" l="1"/>
  <c r="CU127" i="3"/>
  <c r="CU131" i="3" s="1"/>
  <c r="CU132" i="3" s="1"/>
  <c r="CY148" i="3"/>
  <c r="AJ62" i="3"/>
  <c r="AJ74" i="3" s="1"/>
  <c r="AI62" i="3"/>
  <c r="AI74" i="3" s="1"/>
  <c r="AH62" i="3"/>
  <c r="CV127" i="3" l="1"/>
  <c r="CV131" i="3" s="1"/>
  <c r="CV132" i="3" s="1"/>
  <c r="CW100" i="3"/>
  <c r="AK62" i="3"/>
  <c r="AE110" i="3"/>
  <c r="AK110" i="3" s="1"/>
  <c r="AE81" i="3"/>
  <c r="CX100" i="3" l="1"/>
  <c r="CX127" i="3" s="1"/>
  <c r="CX131" i="3" s="1"/>
  <c r="CX132" i="3" s="1"/>
  <c r="CW127" i="3"/>
  <c r="CW131" i="3" s="1"/>
  <c r="AE88" i="3"/>
  <c r="CY100" i="3" l="1"/>
  <c r="CY127" i="3" s="1"/>
  <c r="CW132" i="3"/>
  <c r="CY131" i="3"/>
  <c r="CY132" i="3" s="1"/>
  <c r="AK35" i="3"/>
  <c r="AH74" i="3"/>
  <c r="AS127" i="3"/>
  <c r="AS131" i="3" s="1"/>
  <c r="AT127" i="3"/>
  <c r="AT131" i="3" s="1"/>
  <c r="AU131" i="3"/>
  <c r="AV131" i="3"/>
  <c r="AW131" i="3"/>
  <c r="AH315" i="3" l="1"/>
  <c r="AK8" i="3"/>
  <c r="AE109" i="3"/>
  <c r="AK109" i="3" s="1"/>
  <c r="AJ311" i="3" l="1"/>
  <c r="AL311" i="3" s="1"/>
  <c r="AM311" i="3" s="1"/>
  <c r="AI315" i="3"/>
  <c r="AM22" i="3"/>
  <c r="AX22" i="3" s="1"/>
  <c r="AL315" i="3" l="1"/>
  <c r="AJ315" i="3"/>
  <c r="AX81" i="3"/>
  <c r="AM315" i="3" l="1"/>
  <c r="AN311" i="3"/>
  <c r="AK31" i="3"/>
  <c r="AN315" i="3" l="1"/>
  <c r="AO311" i="3"/>
  <c r="AP311" i="3" l="1"/>
  <c r="AO315" i="3"/>
  <c r="AP315" i="3" l="1"/>
  <c r="AQ311" i="3"/>
  <c r="AQ315" i="3" l="1"/>
  <c r="AR311" i="3"/>
  <c r="AR315" i="3" s="1"/>
  <c r="AK87" i="3"/>
  <c r="AK17" i="3"/>
  <c r="AC81" i="3"/>
  <c r="AK81" i="3" s="1"/>
  <c r="AS311" i="3" l="1"/>
  <c r="AS315" i="3" l="1"/>
  <c r="AT311" i="3"/>
  <c r="AT315" i="3" s="1"/>
  <c r="AX52" i="3"/>
  <c r="AX74" i="3" s="1"/>
  <c r="AK55" i="3" l="1"/>
  <c r="AD83" i="3" l="1"/>
  <c r="Z88" i="3" l="1"/>
  <c r="Z83" i="3"/>
  <c r="AE83" i="3" l="1"/>
  <c r="AC83" i="3"/>
  <c r="AK83" i="3" l="1"/>
  <c r="AB94" i="3"/>
  <c r="AB92" i="3"/>
  <c r="AB82" i="3"/>
  <c r="AA93" i="3" l="1"/>
  <c r="AB79" i="3"/>
  <c r="AA62" i="3"/>
  <c r="AB62" i="3" l="1"/>
  <c r="AA88" i="3"/>
  <c r="AP127" i="3" l="1"/>
  <c r="AP131" i="3" s="1"/>
  <c r="AN74" i="3" l="1"/>
  <c r="AN130" i="3" s="1"/>
  <c r="AP74" i="3"/>
  <c r="AP130" i="3" s="1"/>
  <c r="AM74" i="3"/>
  <c r="AB83" i="3" l="1"/>
  <c r="AX88" i="3"/>
  <c r="AC88" i="3"/>
  <c r="AK88" i="3" s="1"/>
  <c r="AK127" i="3" s="1"/>
  <c r="AX96" i="3"/>
  <c r="Z9" i="3" l="1"/>
  <c r="Z63" i="3"/>
  <c r="AB9" i="3" l="1"/>
  <c r="AB12" i="3"/>
  <c r="AB63" i="3"/>
  <c r="Y88" i="3" l="1"/>
  <c r="Y81" i="3" l="1"/>
  <c r="AC53" i="3" l="1"/>
  <c r="AK53" i="3" s="1"/>
  <c r="AK74" i="3" s="1"/>
  <c r="G17" i="4" l="1"/>
  <c r="AC74" i="3" l="1"/>
  <c r="AC130" i="3" s="1"/>
  <c r="Z127" i="3"/>
  <c r="Z131" i="3" s="1"/>
  <c r="Y32" i="3"/>
  <c r="X99" i="3"/>
  <c r="X15" i="3"/>
  <c r="X93" i="3"/>
  <c r="AB93" i="3" s="1"/>
  <c r="AB81" i="3"/>
  <c r="W88" i="3"/>
  <c r="W99" i="3"/>
  <c r="AJ131" i="3"/>
  <c r="AC127" i="3"/>
  <c r="AC131" i="3" s="1"/>
  <c r="AJ130" i="3"/>
  <c r="AL130" i="3"/>
  <c r="AH130" i="3"/>
  <c r="AE74" i="3"/>
  <c r="AE130" i="3" s="1"/>
  <c r="W60" i="3"/>
  <c r="W74" i="3" s="1"/>
  <c r="W130" i="3" s="1"/>
  <c r="V59" i="3"/>
  <c r="V60" i="3"/>
  <c r="T90" i="3"/>
  <c r="Y29" i="3"/>
  <c r="S88" i="3"/>
  <c r="S22" i="3"/>
  <c r="AB22" i="3" s="1"/>
  <c r="R99" i="3"/>
  <c r="C15" i="4"/>
  <c r="Q99" i="3"/>
  <c r="Q90" i="3"/>
  <c r="Q84" i="3"/>
  <c r="AB84" i="3" s="1"/>
  <c r="AX127" i="3"/>
  <c r="AI130" i="3"/>
  <c r="AF74" i="3"/>
  <c r="AF130" i="3" s="1"/>
  <c r="AD74" i="3"/>
  <c r="AD130" i="3" s="1"/>
  <c r="AB78" i="3"/>
  <c r="R52" i="3"/>
  <c r="AB52" i="3" s="1"/>
  <c r="N84" i="3"/>
  <c r="O84" i="3" s="1"/>
  <c r="N88" i="3"/>
  <c r="AB87" i="3"/>
  <c r="P127" i="3"/>
  <c r="P131" i="3" s="1"/>
  <c r="Z74" i="3"/>
  <c r="Z130" i="3" s="1"/>
  <c r="U74" i="3"/>
  <c r="U130" i="3" s="1"/>
  <c r="T74" i="3"/>
  <c r="T130" i="3" s="1"/>
  <c r="Q74" i="3"/>
  <c r="Q130" i="3" s="1"/>
  <c r="P74" i="3"/>
  <c r="P130" i="3" s="1"/>
  <c r="J78" i="3"/>
  <c r="E21" i="1"/>
  <c r="F21" i="1" s="1"/>
  <c r="E20" i="1"/>
  <c r="F20" i="1" s="1"/>
  <c r="AO127" i="3"/>
  <c r="AO131" i="3" s="1"/>
  <c r="E13" i="1"/>
  <c r="F13" i="1" s="1"/>
  <c r="E14" i="1"/>
  <c r="F14" i="1" s="1"/>
  <c r="E15" i="1"/>
  <c r="F15" i="1" s="1"/>
  <c r="E16" i="1"/>
  <c r="F16" i="1" s="1"/>
  <c r="C26" i="1"/>
  <c r="I78" i="3"/>
  <c r="AA127" i="3"/>
  <c r="AA131" i="3" s="1"/>
  <c r="D81" i="3"/>
  <c r="O81" i="3" s="1"/>
  <c r="D99" i="3"/>
  <c r="D90" i="3"/>
  <c r="O90" i="3" s="1"/>
  <c r="D78" i="3"/>
  <c r="H78" i="3"/>
  <c r="E42" i="1"/>
  <c r="F42" i="1" s="1"/>
  <c r="J18" i="1"/>
  <c r="E12" i="1"/>
  <c r="F12" i="1" s="1"/>
  <c r="C74" i="3"/>
  <c r="C130" i="3" s="1"/>
  <c r="C99" i="3"/>
  <c r="O99" i="3" s="1"/>
  <c r="E11" i="1"/>
  <c r="F11" i="1" s="1"/>
  <c r="N74" i="3"/>
  <c r="N130" i="3" s="1"/>
  <c r="M74" i="3"/>
  <c r="M130" i="3" s="1"/>
  <c r="K74" i="3"/>
  <c r="K130" i="3" s="1"/>
  <c r="J74" i="3"/>
  <c r="J130" i="3" s="1"/>
  <c r="I74" i="3"/>
  <c r="I130" i="3" s="1"/>
  <c r="H74" i="3"/>
  <c r="H130" i="3" s="1"/>
  <c r="F74" i="3"/>
  <c r="F130" i="3" s="1"/>
  <c r="E74" i="3"/>
  <c r="E130" i="3" s="1"/>
  <c r="D74" i="3"/>
  <c r="L74" i="3"/>
  <c r="L130" i="3" s="1"/>
  <c r="O6" i="3"/>
  <c r="C46" i="1"/>
  <c r="C41" i="1"/>
  <c r="E41" i="1" s="1"/>
  <c r="F41" i="1" s="1"/>
  <c r="E54" i="1"/>
  <c r="F54" i="1" s="1"/>
  <c r="E10" i="1"/>
  <c r="F10" i="1" s="1"/>
  <c r="J24" i="1"/>
  <c r="E53" i="1"/>
  <c r="F53" i="1" s="1"/>
  <c r="G92" i="3"/>
  <c r="E40" i="1"/>
  <c r="F40" i="1" s="1"/>
  <c r="E52" i="1"/>
  <c r="F52" i="1" s="1"/>
  <c r="N92" i="3"/>
  <c r="E51" i="1"/>
  <c r="F51" i="1" s="1"/>
  <c r="E48" i="1"/>
  <c r="F48" i="1" s="1"/>
  <c r="E49" i="1"/>
  <c r="F49" i="1" s="1"/>
  <c r="E50" i="1"/>
  <c r="F50" i="1" s="1"/>
  <c r="E47" i="1"/>
  <c r="F47" i="1" s="1"/>
  <c r="J22" i="1"/>
  <c r="J19" i="1"/>
  <c r="J9" i="1"/>
  <c r="J10" i="1"/>
  <c r="J8" i="1"/>
  <c r="J6" i="1"/>
  <c r="J13" i="1"/>
  <c r="J12" i="1" s="1"/>
  <c r="E33" i="1"/>
  <c r="F33" i="1" s="1"/>
  <c r="E34" i="1"/>
  <c r="F34" i="1" s="1"/>
  <c r="E35" i="1"/>
  <c r="F35" i="1" s="1"/>
  <c r="E36" i="1"/>
  <c r="F36" i="1" s="1"/>
  <c r="E37" i="1"/>
  <c r="F37" i="1" s="1"/>
  <c r="E38" i="1"/>
  <c r="F38" i="1" s="1"/>
  <c r="E39" i="1"/>
  <c r="F39" i="1" s="1"/>
  <c r="E31" i="1"/>
  <c r="F31" i="1" s="1"/>
  <c r="E32" i="1"/>
  <c r="F32" i="1" s="1"/>
  <c r="E30" i="1"/>
  <c r="F30" i="1" s="1"/>
  <c r="E9" i="1"/>
  <c r="F9" i="1" s="1"/>
  <c r="E7" i="1"/>
  <c r="F7" i="1" s="1"/>
  <c r="E8" i="1"/>
  <c r="F8" i="1" s="1"/>
  <c r="E6" i="1"/>
  <c r="F88" i="3"/>
  <c r="M127" i="3"/>
  <c r="M131" i="3" s="1"/>
  <c r="AO74" i="3" l="1"/>
  <c r="AB15" i="3"/>
  <c r="AB29" i="3"/>
  <c r="AB32" i="3"/>
  <c r="M133" i="3"/>
  <c r="F127" i="3"/>
  <c r="F131" i="3" s="1"/>
  <c r="H92" i="3"/>
  <c r="I92" i="3" s="1"/>
  <c r="J92" i="3" s="1"/>
  <c r="K92" i="3" s="1"/>
  <c r="L92" i="3" s="1"/>
  <c r="AB99" i="3"/>
  <c r="AB60" i="3"/>
  <c r="AB27" i="3"/>
  <c r="AB59" i="3"/>
  <c r="AM130" i="3"/>
  <c r="AB90" i="3"/>
  <c r="AB95" i="3"/>
  <c r="S127" i="3"/>
  <c r="S131" i="3" s="1"/>
  <c r="AB88" i="3"/>
  <c r="X74" i="3"/>
  <c r="R74" i="3"/>
  <c r="R130" i="3" s="1"/>
  <c r="R127" i="3"/>
  <c r="R131" i="3" s="1"/>
  <c r="W127" i="3"/>
  <c r="W131" i="3" s="1"/>
  <c r="J17" i="1"/>
  <c r="N127" i="3"/>
  <c r="N131" i="3" s="1"/>
  <c r="AH131" i="3"/>
  <c r="E46" i="1"/>
  <c r="S74" i="3"/>
  <c r="S130" i="3" s="1"/>
  <c r="V127" i="3"/>
  <c r="V131" i="3" s="1"/>
  <c r="AD127" i="3"/>
  <c r="AD131" i="3" s="1"/>
  <c r="G88" i="3"/>
  <c r="H88" i="3" s="1"/>
  <c r="C29" i="1"/>
  <c r="C44" i="1" s="1"/>
  <c r="C57" i="1" s="1"/>
  <c r="F46" i="1"/>
  <c r="D127" i="3"/>
  <c r="D131" i="3" s="1"/>
  <c r="AG130" i="3"/>
  <c r="AK130" i="3" s="1"/>
  <c r="C127" i="3"/>
  <c r="C131" i="3" s="1"/>
  <c r="C315" i="3" s="1"/>
  <c r="V74" i="3"/>
  <c r="V130" i="3" s="1"/>
  <c r="AE127" i="3"/>
  <c r="AE131" i="3" s="1"/>
  <c r="AN127" i="3"/>
  <c r="AN131" i="3" s="1"/>
  <c r="AG127" i="3"/>
  <c r="AG131" i="3" s="1"/>
  <c r="AL131" i="3"/>
  <c r="AA74" i="3"/>
  <c r="AA130" i="3" s="1"/>
  <c r="U127" i="3"/>
  <c r="U131" i="3" s="1"/>
  <c r="AM127" i="3"/>
  <c r="AM131" i="3" s="1"/>
  <c r="X127" i="3"/>
  <c r="X131" i="3" s="1"/>
  <c r="O78" i="3"/>
  <c r="M315" i="3"/>
  <c r="Y127" i="3"/>
  <c r="Y131" i="3" s="1"/>
  <c r="F29" i="1"/>
  <c r="E26" i="1"/>
  <c r="T127" i="3"/>
  <c r="T131" i="3" s="1"/>
  <c r="AF127" i="3"/>
  <c r="AF131" i="3" s="1"/>
  <c r="Y74" i="3"/>
  <c r="Y130" i="3" s="1"/>
  <c r="F6" i="1"/>
  <c r="F26" i="1" s="1"/>
  <c r="E29" i="1"/>
  <c r="G74" i="3"/>
  <c r="G130" i="3" s="1"/>
  <c r="Q127" i="3"/>
  <c r="Q131" i="3" s="1"/>
  <c r="D130" i="3"/>
  <c r="E127" i="3"/>
  <c r="J5" i="1"/>
  <c r="J4" i="1" s="1"/>
  <c r="J21" i="1"/>
  <c r="AI131" i="3"/>
  <c r="AX131" i="3" l="1"/>
  <c r="N129" i="3"/>
  <c r="N133" i="3" s="1"/>
  <c r="M302" i="3"/>
  <c r="AO130" i="3"/>
  <c r="AX130" i="3" s="1"/>
  <c r="AK131" i="3"/>
  <c r="AB74" i="3"/>
  <c r="AB127" i="3"/>
  <c r="X130" i="3"/>
  <c r="AB130" i="3" s="1"/>
  <c r="H127" i="3"/>
  <c r="H131" i="3" s="1"/>
  <c r="C133" i="3"/>
  <c r="O92" i="3"/>
  <c r="M7" i="1"/>
  <c r="I88" i="3"/>
  <c r="J88" i="3" s="1"/>
  <c r="AB131" i="3"/>
  <c r="E44" i="1"/>
  <c r="E57" i="1" s="1"/>
  <c r="O74" i="3"/>
  <c r="F2" i="1"/>
  <c r="F44" i="1"/>
  <c r="F57" i="1" s="1"/>
  <c r="G127" i="3"/>
  <c r="G131" i="3" s="1"/>
  <c r="E131" i="3"/>
  <c r="J2" i="1"/>
  <c r="D129" i="3" l="1"/>
  <c r="D315" i="3" s="1"/>
  <c r="C302" i="3"/>
  <c r="P129" i="3"/>
  <c r="N302" i="3"/>
  <c r="N315" i="3"/>
  <c r="I127" i="3"/>
  <c r="I131" i="3" s="1"/>
  <c r="M2" i="1"/>
  <c r="K88" i="3"/>
  <c r="J127" i="3"/>
  <c r="J131" i="3" s="1"/>
  <c r="D133" i="3" l="1"/>
  <c r="AB129" i="3"/>
  <c r="AB133" i="3" s="1"/>
  <c r="M5" i="1"/>
  <c r="M6" i="1"/>
  <c r="L88" i="3"/>
  <c r="O88" i="3" s="1"/>
  <c r="K127" i="3"/>
  <c r="K131" i="3" s="1"/>
  <c r="E129" i="3" l="1"/>
  <c r="D302" i="3"/>
  <c r="P133" i="3"/>
  <c r="P302" i="3" s="1"/>
  <c r="L127" i="3"/>
  <c r="P316" i="3" l="1"/>
  <c r="E133" i="3"/>
  <c r="E315" i="3"/>
  <c r="Q129" i="3"/>
  <c r="Q133" i="3" s="1"/>
  <c r="Q134" i="3" s="1"/>
  <c r="Q302" i="3" s="1"/>
  <c r="Q316" i="3" s="1"/>
  <c r="L131" i="3"/>
  <c r="O127" i="3"/>
  <c r="F129" i="3" l="1"/>
  <c r="E302" i="3"/>
  <c r="R129" i="3"/>
  <c r="F315" i="3" l="1"/>
  <c r="F133" i="3"/>
  <c r="R133" i="3"/>
  <c r="R134" i="3" s="1"/>
  <c r="R302" i="3" s="1"/>
  <c r="R316" i="3" s="1"/>
  <c r="G129" i="3" l="1"/>
  <c r="F302" i="3"/>
  <c r="S129" i="3"/>
  <c r="S133" i="3" s="1"/>
  <c r="G315" i="3" l="1"/>
  <c r="G133" i="3"/>
  <c r="T129" i="3"/>
  <c r="S134" i="3"/>
  <c r="T133" i="3" l="1"/>
  <c r="T134" i="3" s="1"/>
  <c r="T302" i="3" s="1"/>
  <c r="T316" i="3" s="1"/>
  <c r="S302" i="3"/>
  <c r="S316" i="3" s="1"/>
  <c r="H129" i="3"/>
  <c r="G302" i="3"/>
  <c r="U129" i="3" l="1"/>
  <c r="U133" i="3" s="1"/>
  <c r="V129" i="3" s="1"/>
  <c r="H315" i="3"/>
  <c r="H133" i="3"/>
  <c r="U134" i="3" l="1"/>
  <c r="I129" i="3"/>
  <c r="H302" i="3"/>
  <c r="V133" i="3"/>
  <c r="V302" i="3" s="1"/>
  <c r="U302" i="3" l="1"/>
  <c r="U316" i="3" s="1"/>
  <c r="V134" i="3"/>
  <c r="I133" i="3"/>
  <c r="I315" i="3"/>
  <c r="W129" i="3"/>
  <c r="W133" i="3" s="1"/>
  <c r="W302" i="3" s="1"/>
  <c r="V316" i="3" l="1"/>
  <c r="J129" i="3"/>
  <c r="I302" i="3"/>
  <c r="X129" i="3"/>
  <c r="W134" i="3"/>
  <c r="W316" i="3" s="1"/>
  <c r="J315" i="3" l="1"/>
  <c r="J133" i="3"/>
  <c r="X133" i="3"/>
  <c r="X302" i="3" s="1"/>
  <c r="X134" i="3" l="1"/>
  <c r="K129" i="3"/>
  <c r="J302" i="3"/>
  <c r="Y129" i="3"/>
  <c r="Y133" i="3" s="1"/>
  <c r="Y302" i="3" s="1"/>
  <c r="X316" i="3" l="1"/>
  <c r="K133" i="3"/>
  <c r="K315" i="3"/>
  <c r="Z129" i="3"/>
  <c r="Y134" i="3"/>
  <c r="Y316" i="3" s="1"/>
  <c r="K302" i="3" l="1"/>
  <c r="L129" i="3"/>
  <c r="Z133" i="3"/>
  <c r="Z302" i="3" s="1"/>
  <c r="L133" i="3" l="1"/>
  <c r="L302" i="3" s="1"/>
  <c r="L315" i="3"/>
  <c r="AA129" i="3"/>
  <c r="Z134" i="3"/>
  <c r="Z316" i="3" s="1"/>
  <c r="AA133" i="3" l="1"/>
  <c r="AA302" i="3" s="1"/>
  <c r="AC129" i="3" l="1"/>
  <c r="AK129" i="3" s="1"/>
  <c r="AK133" i="3" s="1"/>
  <c r="AA134" i="3"/>
  <c r="AA316" i="3" s="1"/>
  <c r="AC133" i="3" l="1"/>
  <c r="AC134" i="3" l="1"/>
  <c r="AC302" i="3"/>
  <c r="AD129" i="3"/>
  <c r="AD133" i="3" s="1"/>
  <c r="AD134" i="3" l="1"/>
  <c r="AD302" i="3"/>
  <c r="AC316" i="3"/>
  <c r="AE129" i="3"/>
  <c r="AE133" i="3" s="1"/>
  <c r="AE134" i="3" l="1"/>
  <c r="AE302" i="3"/>
  <c r="AD316" i="3"/>
  <c r="AF129" i="3"/>
  <c r="AF133" i="3" s="1"/>
  <c r="AF134" i="3" l="1"/>
  <c r="AF302" i="3"/>
  <c r="AE316" i="3"/>
  <c r="AG129" i="3"/>
  <c r="AG133" i="3" s="1"/>
  <c r="AG134" i="3" l="1"/>
  <c r="AG302" i="3"/>
  <c r="AH129" i="3"/>
  <c r="AH133" i="3" s="1"/>
  <c r="AH134" i="3" l="1"/>
  <c r="AH302" i="3"/>
  <c r="AI129" i="3"/>
  <c r="AI133" i="3" s="1"/>
  <c r="AI134" i="3" l="1"/>
  <c r="AI302" i="3"/>
  <c r="AJ129" i="3"/>
  <c r="AJ133" i="3" s="1"/>
  <c r="AJ134" i="3" l="1"/>
  <c r="AJ302" i="3"/>
  <c r="AL129" i="3"/>
  <c r="AX129" i="3" s="1"/>
  <c r="AF316" i="3" l="1"/>
  <c r="AL133" i="3"/>
  <c r="AX133" i="3"/>
  <c r="AY129" i="3" s="1"/>
  <c r="BK129" i="3" s="1"/>
  <c r="BK133" i="3" s="1"/>
  <c r="AG316" i="3"/>
  <c r="AY133" i="3" l="1"/>
  <c r="BL129" i="3"/>
  <c r="BX129" i="3" s="1"/>
  <c r="BX133" i="3" s="1"/>
  <c r="BY129" i="3" s="1"/>
  <c r="BY133" i="3" s="1"/>
  <c r="AL134" i="3"/>
  <c r="AM129" i="3"/>
  <c r="AM133" i="3" s="1"/>
  <c r="AY134" i="3" l="1"/>
  <c r="BL133" i="3"/>
  <c r="AZ129" i="3"/>
  <c r="AZ133" i="3" s="1"/>
  <c r="AM134" i="3"/>
  <c r="AN129" i="3"/>
  <c r="AN133" i="3" s="1"/>
  <c r="AN134" i="3" s="1"/>
  <c r="AH316" i="3"/>
  <c r="AI316" i="3"/>
  <c r="BL134" i="3" l="1"/>
  <c r="AZ134" i="3"/>
  <c r="BM129" i="3"/>
  <c r="BA129" i="3"/>
  <c r="BA133" i="3" s="1"/>
  <c r="AO129" i="3"/>
  <c r="AO133" i="3" s="1"/>
  <c r="AO134" i="3" s="1"/>
  <c r="BM133" i="3" l="1"/>
  <c r="BA134" i="3"/>
  <c r="BB129" i="3"/>
  <c r="BB133" i="3" s="1"/>
  <c r="AP129" i="3"/>
  <c r="AP133" i="3" s="1"/>
  <c r="AP134" i="3" s="1"/>
  <c r="AJ316" i="3"/>
  <c r="AK315" i="3"/>
  <c r="AK316" i="3" s="1"/>
  <c r="BN129" i="3" l="1"/>
  <c r="BM134" i="3"/>
  <c r="BB134" i="3"/>
  <c r="AQ129" i="3"/>
  <c r="AQ133" i="3" s="1"/>
  <c r="BC129" i="3"/>
  <c r="BC133" i="3" s="1"/>
  <c r="AK317" i="3"/>
  <c r="BN133" i="3" l="1"/>
  <c r="AQ134" i="3"/>
  <c r="AR129" i="3"/>
  <c r="BC134" i="3"/>
  <c r="BD129" i="3"/>
  <c r="BD133" i="3" s="1"/>
  <c r="BN134" i="3" l="1"/>
  <c r="BO129" i="3"/>
  <c r="AR133" i="3"/>
  <c r="BD134" i="3"/>
  <c r="BE129" i="3"/>
  <c r="BE133" i="3" s="1"/>
  <c r="BO133" i="3" l="1"/>
  <c r="AR134" i="3"/>
  <c r="AS129" i="3"/>
  <c r="AS133" i="3" s="1"/>
  <c r="BE134" i="3"/>
  <c r="BF129" i="3"/>
  <c r="BF133" i="3" s="1"/>
  <c r="BO134" i="3" l="1"/>
  <c r="BP129" i="3"/>
  <c r="BP133" i="3" s="1"/>
  <c r="AS134" i="3"/>
  <c r="AT129" i="3"/>
  <c r="AT133" i="3" s="1"/>
  <c r="BF134" i="3"/>
  <c r="BG129" i="3"/>
  <c r="BG133" i="3" s="1"/>
  <c r="BP134" i="3" l="1"/>
  <c r="BQ129" i="3"/>
  <c r="BQ133" i="3" s="1"/>
  <c r="AT134" i="3"/>
  <c r="AU129" i="3"/>
  <c r="AU133" i="3" s="1"/>
  <c r="BG134" i="3"/>
  <c r="BH129" i="3"/>
  <c r="BH133" i="3" s="1"/>
  <c r="BI129" i="3" s="1"/>
  <c r="BQ134" i="3" l="1"/>
  <c r="BR129" i="3"/>
  <c r="BR133" i="3" s="1"/>
  <c r="AU134" i="3"/>
  <c r="AV129" i="3"/>
  <c r="AV133" i="3" s="1"/>
  <c r="BH134" i="3"/>
  <c r="BI133" i="3"/>
  <c r="BJ129" i="3" s="1"/>
  <c r="BR134" i="3" l="1"/>
  <c r="BS129" i="3"/>
  <c r="BS133" i="3" s="1"/>
  <c r="AV134" i="3"/>
  <c r="BI134" i="3"/>
  <c r="AW129" i="3"/>
  <c r="BJ133" i="3"/>
  <c r="AL163" i="3"/>
  <c r="AL302" i="3" s="1"/>
  <c r="BS134" i="3" l="1"/>
  <c r="BT129" i="3"/>
  <c r="BT133" i="3" s="1"/>
  <c r="BJ134" i="3"/>
  <c r="AW133" i="3"/>
  <c r="AM163" i="3"/>
  <c r="AM302" i="3" s="1"/>
  <c r="AL316" i="3"/>
  <c r="BT134" i="3" l="1"/>
  <c r="BU129" i="3"/>
  <c r="BU133" i="3" s="1"/>
  <c r="AW134" i="3"/>
  <c r="AL320" i="3"/>
  <c r="BU134" i="3" l="1"/>
  <c r="BV129" i="3"/>
  <c r="BV133" i="3" s="1"/>
  <c r="AM320" i="3"/>
  <c r="AM316" i="3"/>
  <c r="BV134" i="3" l="1"/>
  <c r="BW129" i="3"/>
  <c r="AN163" i="3"/>
  <c r="BW133" i="3" l="1"/>
  <c r="AO163" i="3"/>
  <c r="AN302" i="3"/>
  <c r="BW134" i="3" l="1"/>
  <c r="AN320" i="3"/>
  <c r="AN316" i="3"/>
  <c r="AP163" i="3"/>
  <c r="AQ163" i="3" s="1"/>
  <c r="AQ302" i="3" s="1"/>
  <c r="AO302" i="3"/>
  <c r="AQ316" i="3" l="1"/>
  <c r="AQ320" i="3"/>
  <c r="AO320" i="3"/>
  <c r="AO316" i="3"/>
  <c r="AP302" i="3"/>
  <c r="CK129" i="3" l="1"/>
  <c r="CK133" i="3" s="1"/>
  <c r="AR163" i="3"/>
  <c r="AP320" i="3"/>
  <c r="AP316" i="3"/>
  <c r="BZ129" i="3" l="1"/>
  <c r="BZ133" i="3" s="1"/>
  <c r="BY134" i="3"/>
  <c r="AR302" i="3"/>
  <c r="AR316" i="3" s="1"/>
  <c r="AS163" i="3"/>
  <c r="BZ134" i="3" l="1"/>
  <c r="CA129" i="3"/>
  <c r="CA133" i="3" s="1"/>
  <c r="AR320" i="3"/>
  <c r="AT163" i="3"/>
  <c r="AU163" i="3" s="1"/>
  <c r="AV163" i="3" s="1"/>
  <c r="CA134" i="3" l="1"/>
  <c r="CB129" i="3"/>
  <c r="CB133" i="3" s="1"/>
  <c r="AS160" i="3"/>
  <c r="AS302" i="3" s="1"/>
  <c r="CC129" i="3" l="1"/>
  <c r="CC133" i="3" s="1"/>
  <c r="CB134" i="3"/>
  <c r="AT160" i="3"/>
  <c r="AT302" i="3" s="1"/>
  <c r="CC134" i="3" l="1"/>
  <c r="CD129" i="3"/>
  <c r="CD133" i="3" s="1"/>
  <c r="AS320" i="3"/>
  <c r="AS316" i="3"/>
  <c r="AU160" i="3"/>
  <c r="AU302" i="3" s="1"/>
  <c r="CD134" i="3" l="1"/>
  <c r="CE129" i="3"/>
  <c r="CE133" i="3" s="1"/>
  <c r="AT320" i="3"/>
  <c r="AT316" i="3"/>
  <c r="AV160" i="3"/>
  <c r="AV302" i="3" s="1"/>
  <c r="CF129" i="3" l="1"/>
  <c r="CF133" i="3" s="1"/>
  <c r="CE134" i="3"/>
  <c r="AV316" i="3"/>
  <c r="AU320" i="3"/>
  <c r="AU316" i="3"/>
  <c r="CG129" i="3" l="1"/>
  <c r="CG133" i="3" s="1"/>
  <c r="CF134" i="3"/>
  <c r="AV320" i="3"/>
  <c r="CH129" i="3" l="1"/>
  <c r="CH133" i="3" s="1"/>
  <c r="CG134" i="3"/>
  <c r="AW160" i="3"/>
  <c r="CI129" i="3" l="1"/>
  <c r="CI133" i="3" s="1"/>
  <c r="CH134" i="3"/>
  <c r="AX160" i="3"/>
  <c r="AY160" i="3" s="1"/>
  <c r="CJ129" i="3" l="1"/>
  <c r="CI134" i="3"/>
  <c r="AZ160" i="3"/>
  <c r="BA160" i="3" s="1"/>
  <c r="CJ133" i="3" l="1"/>
  <c r="BB160" i="3"/>
  <c r="CJ134" i="3" l="1"/>
  <c r="CM129" i="3"/>
  <c r="CM133" i="3" s="1"/>
  <c r="BC160" i="3"/>
  <c r="CN129" i="3" l="1"/>
  <c r="CN133" i="3" s="1"/>
  <c r="CM134" i="3"/>
  <c r="BD160" i="3"/>
  <c r="CO129" i="3" l="1"/>
  <c r="CO133" i="3" s="1"/>
  <c r="CN134" i="3"/>
  <c r="BE160" i="3"/>
  <c r="CP129" i="3" l="1"/>
  <c r="CP133" i="3" s="1"/>
  <c r="CO134" i="3"/>
  <c r="AX75" i="3"/>
  <c r="CQ129" i="3" l="1"/>
  <c r="CQ133" i="3" s="1"/>
  <c r="CP134" i="3"/>
  <c r="AW163" i="3"/>
  <c r="CR129" i="3" l="1"/>
  <c r="CR133" i="3" s="1"/>
  <c r="CQ134" i="3"/>
  <c r="AW302" i="3"/>
  <c r="AX302" i="3" s="1"/>
  <c r="AX163" i="3"/>
  <c r="CS129" i="3" l="1"/>
  <c r="CS133" i="3" s="1"/>
  <c r="CR134" i="3"/>
  <c r="AW316" i="3"/>
  <c r="AW320" i="3"/>
  <c r="CT129" i="3" l="1"/>
  <c r="CT133" i="3" s="1"/>
  <c r="CS134" i="3"/>
  <c r="AY163" i="3"/>
  <c r="AY302" i="3" s="1"/>
  <c r="CU129" i="3" l="1"/>
  <c r="CU133" i="3" s="1"/>
  <c r="CT134" i="3"/>
  <c r="AZ163" i="3"/>
  <c r="AZ302" i="3" s="1"/>
  <c r="CV129" i="3" l="1"/>
  <c r="CV133" i="3" s="1"/>
  <c r="CU134" i="3"/>
  <c r="AY316" i="3"/>
  <c r="AY320" i="3"/>
  <c r="CW129" i="3" l="1"/>
  <c r="CW133" i="3" s="1"/>
  <c r="CV134" i="3"/>
  <c r="AZ320" i="3"/>
  <c r="AZ316" i="3"/>
  <c r="CX129" i="3" l="1"/>
  <c r="CX133" i="3" s="1"/>
  <c r="CW134" i="3"/>
  <c r="BA163" i="3"/>
  <c r="BA302" i="3" s="1"/>
  <c r="CX134" i="3" l="1"/>
  <c r="CY129" i="3"/>
  <c r="BA316" i="3"/>
  <c r="BB163" i="3"/>
  <c r="BB302" i="3" s="1"/>
  <c r="BC163" i="3" l="1"/>
  <c r="BC302" i="3" s="1"/>
  <c r="BA320" i="3"/>
  <c r="BB316" i="3" l="1"/>
  <c r="BB320" i="3"/>
  <c r="BC316" i="3" l="1"/>
  <c r="BC320" i="3"/>
  <c r="BD163" i="3" l="1"/>
  <c r="BD302" i="3" s="1"/>
  <c r="BD320" i="3" l="1"/>
  <c r="BE163" i="3"/>
  <c r="BE302" i="3" s="1"/>
  <c r="BD315" i="3"/>
  <c r="BD316" i="3" l="1"/>
  <c r="BE315" i="3"/>
  <c r="BF163" i="3"/>
  <c r="BE320" i="3" l="1"/>
  <c r="BE316" i="3"/>
  <c r="BG163" i="3"/>
  <c r="BF315" i="3"/>
  <c r="BU159" i="3" l="1"/>
  <c r="BV159" i="3"/>
  <c r="BT159" i="3"/>
  <c r="BW159" i="3"/>
  <c r="BT315" i="3" l="1"/>
  <c r="BX159" i="3"/>
  <c r="BP315" i="3"/>
  <c r="BG315" i="3"/>
  <c r="BQ315" i="3" l="1"/>
  <c r="BF160" i="3"/>
  <c r="BF302" i="3" s="1"/>
  <c r="BV315" i="3" l="1"/>
  <c r="BR315" i="3"/>
  <c r="BG302" i="3"/>
  <c r="BF320" i="3" l="1"/>
  <c r="BF316" i="3"/>
  <c r="BG316" i="3" l="1"/>
  <c r="BG320" i="3"/>
  <c r="BU315" i="3" l="1"/>
  <c r="BH160" i="3"/>
  <c r="BI160" i="3" l="1"/>
  <c r="BI315" i="3" l="1"/>
  <c r="BJ160" i="3"/>
  <c r="BK160" i="3" l="1"/>
  <c r="BL160" i="3" s="1"/>
  <c r="BM160" i="3" l="1"/>
  <c r="BN160" i="3" l="1"/>
  <c r="BO160" i="3" l="1"/>
  <c r="BP160" i="3" l="1"/>
  <c r="BQ160" i="3" l="1"/>
  <c r="BR160" i="3" l="1"/>
  <c r="BS160" i="3" l="1"/>
  <c r="BT160" i="3" l="1"/>
  <c r="BU160" i="3" l="1"/>
  <c r="BV160" i="3" l="1"/>
  <c r="BW160" i="3" l="1"/>
  <c r="BX160" i="3" l="1"/>
  <c r="BY160" i="3" s="1"/>
  <c r="BH163" i="3"/>
  <c r="BH302" i="3" s="1"/>
  <c r="BZ160" i="3" l="1"/>
  <c r="BI163" i="3"/>
  <c r="BI302" i="3" s="1"/>
  <c r="CA160" i="3" l="1"/>
  <c r="BH316" i="3"/>
  <c r="BH320" i="3"/>
  <c r="BJ163" i="3"/>
  <c r="BJ302" i="3" s="1"/>
  <c r="BK302" i="3" s="1"/>
  <c r="CB160" i="3" l="1"/>
  <c r="BI320" i="3"/>
  <c r="BI316" i="3"/>
  <c r="BK163" i="3"/>
  <c r="BL163" i="3" s="1"/>
  <c r="CC160" i="3" l="1"/>
  <c r="BJ316" i="3"/>
  <c r="BM163" i="3"/>
  <c r="BJ320" i="3"/>
  <c r="CD160" i="3" l="1"/>
  <c r="BN163" i="3"/>
  <c r="CE160" i="3" l="1"/>
  <c r="BO163" i="3"/>
  <c r="CF160" i="3" l="1"/>
  <c r="CG160" i="3" s="1"/>
  <c r="BP163" i="3"/>
  <c r="CH160" i="3" l="1"/>
  <c r="BQ163" i="3"/>
  <c r="CI160" i="3" l="1"/>
  <c r="BR163" i="3"/>
  <c r="CJ160" i="3" l="1"/>
  <c r="BS163" i="3"/>
  <c r="CM160" i="3" l="1"/>
  <c r="CK160" i="3"/>
  <c r="BT163" i="3"/>
  <c r="CN160" i="3" l="1"/>
  <c r="BK95" i="3"/>
  <c r="BK127" i="3" s="1"/>
  <c r="CO160" i="3" l="1"/>
  <c r="BX39" i="3"/>
  <c r="CP160" i="3" l="1"/>
  <c r="BW162" i="3"/>
  <c r="CQ160" i="3" l="1"/>
  <c r="BV162" i="3"/>
  <c r="CR160" i="3" l="1"/>
  <c r="BU162" i="3"/>
  <c r="BU163" i="3" s="1"/>
  <c r="CS160" i="3" l="1"/>
  <c r="BV163" i="3"/>
  <c r="CT160" i="3" l="1"/>
  <c r="BW163" i="3"/>
  <c r="CU160" i="3" l="1"/>
  <c r="BX163" i="3"/>
  <c r="CV160" i="3" l="1"/>
  <c r="BY163" i="3"/>
  <c r="CW160" i="3" l="1"/>
  <c r="BZ163" i="3"/>
  <c r="CX160" i="3" l="1"/>
  <c r="CA163" i="3"/>
  <c r="CB163" i="3" l="1"/>
  <c r="CY160" i="3" l="1"/>
  <c r="CC163" i="3"/>
  <c r="CD163" i="3" l="1"/>
  <c r="CE163" i="3" l="1"/>
  <c r="CF163" i="3" l="1"/>
  <c r="CG163" i="3" l="1"/>
  <c r="CH163" i="3" l="1"/>
  <c r="CI163" i="3" l="1"/>
  <c r="CJ163" i="3" l="1"/>
  <c r="CM163" i="3" l="1"/>
  <c r="CK163" i="3"/>
  <c r="CN163" i="3" l="1"/>
  <c r="BL165" i="3"/>
  <c r="BL166" i="3" s="1"/>
  <c r="CO163" i="3" l="1"/>
  <c r="BL302" i="3"/>
  <c r="BM165" i="3"/>
  <c r="BM166" i="3" s="1"/>
  <c r="CP163" i="3" l="1"/>
  <c r="BM302" i="3"/>
  <c r="BN165" i="3"/>
  <c r="BN166" i="3" s="1"/>
  <c r="BL316" i="3"/>
  <c r="BL320" i="3"/>
  <c r="CQ163" i="3" l="1"/>
  <c r="BN302" i="3"/>
  <c r="BO165" i="3"/>
  <c r="BO166" i="3" s="1"/>
  <c r="BM316" i="3"/>
  <c r="BM320" i="3"/>
  <c r="CR163" i="3" l="1"/>
  <c r="BO302" i="3"/>
  <c r="BP165" i="3"/>
  <c r="BP166" i="3" s="1"/>
  <c r="BN316" i="3"/>
  <c r="BN320" i="3"/>
  <c r="CS163" i="3" l="1"/>
  <c r="BP302" i="3"/>
  <c r="BQ165" i="3"/>
  <c r="BQ166" i="3" s="1"/>
  <c r="BO320" i="3"/>
  <c r="BO316" i="3"/>
  <c r="CT163" i="3" l="1"/>
  <c r="BQ302" i="3"/>
  <c r="BR165" i="3"/>
  <c r="BR166" i="3" s="1"/>
  <c r="BP320" i="3"/>
  <c r="BP316" i="3"/>
  <c r="CU163" i="3" l="1"/>
  <c r="BR302" i="3"/>
  <c r="BS165" i="3"/>
  <c r="BS166" i="3" s="1"/>
  <c r="BQ320" i="3"/>
  <c r="BQ316" i="3"/>
  <c r="CV163" i="3" l="1"/>
  <c r="BS302" i="3"/>
  <c r="BT165" i="3"/>
  <c r="BT166" i="3" s="1"/>
  <c r="BR316" i="3"/>
  <c r="BR320" i="3"/>
  <c r="CW163" i="3" l="1"/>
  <c r="BT302" i="3"/>
  <c r="BU165" i="3"/>
  <c r="BU166" i="3" s="1"/>
  <c r="BS316" i="3"/>
  <c r="BS320" i="3"/>
  <c r="CX163" i="3" l="1"/>
  <c r="BU302" i="3"/>
  <c r="BV165" i="3"/>
  <c r="BV166" i="3" s="1"/>
  <c r="BT320" i="3"/>
  <c r="BT316" i="3"/>
  <c r="BV302" i="3" l="1"/>
  <c r="BW166" i="3"/>
  <c r="BW302" i="3" s="1"/>
  <c r="BU320" i="3"/>
  <c r="BU316" i="3"/>
  <c r="CY163" i="3" l="1"/>
  <c r="BX166" i="3"/>
  <c r="BV320" i="3"/>
  <c r="BV316" i="3"/>
  <c r="BW316" i="3" l="1"/>
  <c r="BW320" i="3"/>
  <c r="BY166" i="3"/>
  <c r="BX302" i="3"/>
  <c r="BY192" i="3" s="1"/>
  <c r="BZ192" i="3" s="1"/>
  <c r="BY302" i="3" l="1"/>
  <c r="BY316" i="3" s="1"/>
  <c r="BY193" i="3"/>
  <c r="BY301" i="3" s="1"/>
  <c r="CB315" i="3" l="1"/>
  <c r="CE315" i="3" l="1"/>
  <c r="CF315" i="3" l="1"/>
  <c r="CG315" i="3" l="1"/>
  <c r="CH315" i="3" l="1"/>
  <c r="CI315" i="3" l="1"/>
  <c r="CJ315" i="3" l="1"/>
  <c r="CK165" i="3" l="1"/>
  <c r="BZ166" i="3"/>
  <c r="CA192" i="3"/>
  <c r="CB192" i="3" s="1"/>
  <c r="CC192" i="3" s="1"/>
  <c r="CD192" i="3" s="1"/>
  <c r="CE192" i="3" s="1"/>
  <c r="CF192" i="3" l="1"/>
  <c r="CG192" i="3" s="1"/>
  <c r="CH192" i="3" s="1"/>
  <c r="CI192" i="3" s="1"/>
  <c r="CJ192" i="3" s="1"/>
  <c r="CM192" i="3" s="1"/>
  <c r="CN192" i="3" s="1"/>
  <c r="CO192" i="3" s="1"/>
  <c r="CP192" i="3" s="1"/>
  <c r="CQ192" i="3" s="1"/>
  <c r="CR192" i="3" s="1"/>
  <c r="CS192" i="3" s="1"/>
  <c r="CT192" i="3" s="1"/>
  <c r="CU192" i="3" s="1"/>
  <c r="CV192" i="3" s="1"/>
  <c r="CW192" i="3" s="1"/>
  <c r="CX192" i="3" s="1"/>
  <c r="BZ302" i="3"/>
  <c r="CA166" i="3"/>
  <c r="BZ193" i="3"/>
  <c r="BZ301" i="3" s="1"/>
  <c r="CA302" i="3" l="1"/>
  <c r="CA316" i="3" s="1"/>
  <c r="CB166" i="3"/>
  <c r="CA193" i="3"/>
  <c r="CA301" i="3" s="1"/>
  <c r="BZ321" i="3"/>
  <c r="BZ316" i="3"/>
  <c r="CB193" i="3" l="1"/>
  <c r="CB301" i="3" s="1"/>
  <c r="CC166" i="3"/>
  <c r="CC193" i="3" s="1"/>
  <c r="CB302" i="3"/>
  <c r="CB316" i="3" s="1"/>
  <c r="CC302" i="3" l="1"/>
  <c r="H42" i="12" s="1"/>
  <c r="H44" i="12" s="1"/>
  <c r="CC301" i="3"/>
  <c r="CD166" i="3"/>
  <c r="CD302" i="3" s="1"/>
  <c r="I42" i="12" l="1"/>
  <c r="I44" i="12" s="1"/>
  <c r="CC316" i="3"/>
  <c r="CD316" i="3"/>
  <c r="CD193" i="3"/>
  <c r="CD301" i="3" s="1"/>
  <c r="CE166" i="3"/>
  <c r="H60" i="12" l="1"/>
  <c r="CE302" i="3"/>
  <c r="CE316" i="3" s="1"/>
  <c r="CF166" i="3"/>
  <c r="CE193" i="3"/>
  <c r="CE301" i="3" s="1"/>
  <c r="J42" i="12" l="1"/>
  <c r="J44" i="12" s="1"/>
  <c r="I60" i="12"/>
  <c r="CF302" i="3"/>
  <c r="CF316" i="3" s="1"/>
  <c r="CG166" i="3"/>
  <c r="CF193" i="3"/>
  <c r="CF301" i="3" s="1"/>
  <c r="K42" i="12" l="1"/>
  <c r="K44" i="12" s="1"/>
  <c r="J60" i="12"/>
  <c r="CG302" i="3"/>
  <c r="CG316" i="3" s="1"/>
  <c r="CH166" i="3"/>
  <c r="CG193" i="3"/>
  <c r="CG301" i="3" s="1"/>
  <c r="L42" i="12" l="1"/>
  <c r="L44" i="12" s="1"/>
  <c r="K60" i="12"/>
  <c r="CH193" i="3"/>
  <c r="CH301" i="3" s="1"/>
  <c r="CI166" i="3"/>
  <c r="CH302" i="3"/>
  <c r="CH316" i="3" s="1"/>
  <c r="M42" i="12" l="1"/>
  <c r="M44" i="12" s="1"/>
  <c r="L60" i="12"/>
  <c r="CI193" i="3"/>
  <c r="CI301" i="3" s="1"/>
  <c r="CI302" i="3"/>
  <c r="CI316" i="3" s="1"/>
  <c r="CJ166" i="3"/>
  <c r="N42" i="12" l="1"/>
  <c r="N44" i="12" s="1"/>
  <c r="N60" i="12" s="1"/>
  <c r="M60" i="12"/>
  <c r="CM166" i="3"/>
  <c r="CJ302" i="3"/>
  <c r="CJ316" i="3" s="1"/>
  <c r="CJ193" i="3"/>
  <c r="CJ301" i="3" s="1"/>
  <c r="CK166" i="3"/>
  <c r="P42" i="12" l="1"/>
  <c r="P44" i="12" s="1"/>
  <c r="CN166" i="3"/>
  <c r="CM193" i="3"/>
  <c r="CM301" i="3" s="1"/>
  <c r="CM302" i="3"/>
  <c r="Q42" i="12" l="1"/>
  <c r="Q44" i="12" s="1"/>
  <c r="P60" i="12"/>
  <c r="CN193" i="3"/>
  <c r="CN301" i="3" s="1"/>
  <c r="CN302" i="3"/>
  <c r="CO166" i="3"/>
  <c r="R42" i="12" l="1"/>
  <c r="R44" i="12" s="1"/>
  <c r="Q60" i="12"/>
  <c r="CO193" i="3"/>
  <c r="CO301" i="3" s="1"/>
  <c r="CP166" i="3"/>
  <c r="CO302" i="3"/>
  <c r="S42" i="12" l="1"/>
  <c r="S44" i="12" s="1"/>
  <c r="S60" i="12" s="1"/>
  <c r="R60" i="12"/>
  <c r="CP193" i="3"/>
  <c r="CP301" i="3" s="1"/>
  <c r="CQ166" i="3"/>
  <c r="CP302" i="3"/>
  <c r="CQ193" i="3" l="1"/>
  <c r="CQ301" i="3" s="1"/>
  <c r="CR166" i="3"/>
  <c r="CQ302" i="3"/>
  <c r="T42" i="12" l="1"/>
  <c r="T44" i="12" s="1"/>
  <c r="T60" i="12" s="1"/>
  <c r="CR193" i="3"/>
  <c r="CR301" i="3" s="1"/>
  <c r="CS166" i="3"/>
  <c r="CR302" i="3"/>
  <c r="CS193" i="3" l="1"/>
  <c r="CS301" i="3" s="1"/>
  <c r="CT166" i="3"/>
  <c r="CS302" i="3"/>
  <c r="U42" i="12" l="1"/>
  <c r="U44" i="12" s="1"/>
  <c r="U60" i="12" s="1"/>
  <c r="CT193" i="3"/>
  <c r="CT301" i="3" s="1"/>
  <c r="CU166" i="3"/>
  <c r="CT302" i="3"/>
  <c r="V42" i="12" l="1"/>
  <c r="V44" i="12" s="1"/>
  <c r="W42" i="12" s="1"/>
  <c r="W44" i="12" s="1"/>
  <c r="X42" i="12" s="1"/>
  <c r="X44" i="12" s="1"/>
  <c r="CU193" i="3"/>
  <c r="CU301" i="3" s="1"/>
  <c r="CV166" i="3"/>
  <c r="CU302" i="3"/>
  <c r="V60" i="12" l="1"/>
  <c r="W60" i="12"/>
  <c r="Y42" i="12"/>
  <c r="Y44" i="12" s="1"/>
  <c r="X60" i="12"/>
  <c r="CV193" i="3"/>
  <c r="CV301" i="3" s="1"/>
  <c r="CW166" i="3"/>
  <c r="CV302" i="3"/>
  <c r="Z42" i="12" l="1"/>
  <c r="Z44" i="12" s="1"/>
  <c r="Y60" i="12"/>
  <c r="CW193" i="3"/>
  <c r="CW301" i="3" s="1"/>
  <c r="CX166" i="3"/>
  <c r="CW302" i="3"/>
  <c r="AA42" i="12" l="1"/>
  <c r="AA44" i="12" s="1"/>
  <c r="Z60" i="12"/>
  <c r="CX302" i="3"/>
  <c r="CX193" i="3"/>
  <c r="CX301" i="3" s="1"/>
  <c r="CY166" i="3"/>
  <c r="CK8" i="7"/>
  <c r="AA60" i="12" l="1"/>
  <c r="AC42" i="12"/>
  <c r="AC44" i="12" s="1"/>
  <c r="AD42" i="12" l="1"/>
  <c r="AD44" i="12" s="1"/>
  <c r="AC60" i="12"/>
  <c r="AE42" i="12" l="1"/>
  <c r="AE44" i="12" s="1"/>
  <c r="AD60" i="12"/>
  <c r="AE60" i="12" l="1"/>
  <c r="AF42" i="12"/>
  <c r="AF44" i="12" s="1"/>
  <c r="AF60" i="12" l="1"/>
  <c r="AG42" i="12"/>
  <c r="AG44" i="12" s="1"/>
  <c r="AG60" i="12" l="1"/>
  <c r="AH42" i="12"/>
  <c r="AH44" i="12" s="1"/>
  <c r="AI42" i="12" l="1"/>
  <c r="AI44" i="12" s="1"/>
  <c r="AH60" i="12"/>
  <c r="AJ42" i="12" l="1"/>
  <c r="AJ44" i="12" s="1"/>
  <c r="AJ60" i="12" s="1"/>
  <c r="AI60" i="12"/>
  <c r="AK42" i="12" l="1"/>
  <c r="AK44" i="12" s="1"/>
  <c r="AL42" i="12" l="1"/>
  <c r="AL44" i="12" s="1"/>
  <c r="AK60" i="12"/>
  <c r="AM42" i="12" l="1"/>
  <c r="AM44" i="12" s="1"/>
  <c r="AL60" i="12"/>
  <c r="AN42" i="12" l="1"/>
  <c r="AN44" i="12" s="1"/>
  <c r="AN60" i="12" s="1"/>
  <c r="AM60" i="12"/>
  <c r="DX36"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Alberto</author>
  </authors>
  <commentList>
    <comment ref="J6" authorId="0" shapeId="0" xr:uid="{00000000-0006-0000-0000-000001000000}">
      <text>
        <r>
          <rPr>
            <b/>
            <sz val="9"/>
            <color indexed="81"/>
            <rFont val="Tahoma"/>
            <family val="2"/>
          </rPr>
          <t>Alberto:</t>
        </r>
        <r>
          <rPr>
            <sz val="9"/>
            <color indexed="81"/>
            <rFont val="Tahoma"/>
            <family val="2"/>
          </rPr>
          <t xml:space="preserve">
850 vuelo
500 hotel
500 comidas</t>
        </r>
      </text>
    </comment>
    <comment ref="J8" authorId="0" shapeId="0" xr:uid="{00000000-0006-0000-0000-000002000000}">
      <text>
        <r>
          <rPr>
            <b/>
            <sz val="9"/>
            <color indexed="81"/>
            <rFont val="Tahoma"/>
            <family val="2"/>
          </rPr>
          <t>Alberto:</t>
        </r>
        <r>
          <rPr>
            <sz val="9"/>
            <color indexed="81"/>
            <rFont val="Tahoma"/>
            <family val="2"/>
          </rPr>
          <t xml:space="preserve">
850 vuelo
500 hotel
500 comidas</t>
        </r>
      </text>
    </comment>
    <comment ref="J9" authorId="0" shapeId="0" xr:uid="{00000000-0006-0000-0000-000003000000}">
      <text>
        <r>
          <rPr>
            <b/>
            <sz val="9"/>
            <color indexed="81"/>
            <rFont val="Tahoma"/>
            <family val="2"/>
          </rPr>
          <t>Alberto:</t>
        </r>
        <r>
          <rPr>
            <sz val="9"/>
            <color indexed="81"/>
            <rFont val="Tahoma"/>
            <family val="2"/>
          </rPr>
          <t xml:space="preserve">
250 avion
0 hotel (apto tio Alf)
50 comidas
215 Taxis, metro, etc</t>
        </r>
      </text>
    </comment>
    <comment ref="J10" authorId="0" shapeId="0" xr:uid="{00000000-0006-0000-0000-000004000000}">
      <text>
        <r>
          <rPr>
            <b/>
            <sz val="9"/>
            <color indexed="81"/>
            <rFont val="Tahoma"/>
            <family val="2"/>
          </rPr>
          <t>Alberto:</t>
        </r>
        <r>
          <rPr>
            <sz val="9"/>
            <color indexed="81"/>
            <rFont val="Tahoma"/>
            <family val="2"/>
          </rPr>
          <t xml:space="preserve">
550 avion
550 hotel
250 comidas</t>
        </r>
      </text>
    </comment>
    <comment ref="B11" authorId="0" shapeId="0" xr:uid="{00000000-0006-0000-0000-000005000000}">
      <text>
        <r>
          <rPr>
            <b/>
            <sz val="9"/>
            <color indexed="81"/>
            <rFont val="Tahoma"/>
            <family val="2"/>
          </rPr>
          <t>Alberto:</t>
        </r>
        <r>
          <rPr>
            <sz val="9"/>
            <color indexed="81"/>
            <rFont val="Tahoma"/>
            <family val="2"/>
          </rPr>
          <t xml:space="preserve">
Estudio precios L/P</t>
        </r>
      </text>
    </comment>
    <comment ref="J13" authorId="0" shapeId="0" xr:uid="{00000000-0006-0000-0000-000006000000}">
      <text>
        <r>
          <rPr>
            <b/>
            <sz val="9"/>
            <color indexed="81"/>
            <rFont val="Tahoma"/>
            <family val="2"/>
          </rPr>
          <t>Alberto:</t>
        </r>
        <r>
          <rPr>
            <sz val="9"/>
            <color indexed="81"/>
            <rFont val="Tahoma"/>
            <family val="2"/>
          </rPr>
          <t xml:space="preserve">
130 AVE
100 Comidas
100 Taxis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recepción</author>
    <author>alfonso</author>
    <author>programas4</author>
    <author>Alberto Carmona</author>
    <author>Backoffice</author>
    <author>Alberto</author>
    <author>Alfonso Carmona</author>
  </authors>
  <commentList>
    <comment ref="AP6" authorId="0" shapeId="0" xr:uid="{00000000-0006-0000-0100-000001000000}">
      <text>
        <r>
          <rPr>
            <b/>
            <sz val="9"/>
            <color indexed="81"/>
            <rFont val="Tahoma"/>
            <family val="2"/>
          </rPr>
          <t xml:space="preserve">rosa:
</t>
        </r>
        <r>
          <rPr>
            <sz val="9"/>
            <color indexed="81"/>
            <rFont val="Tahoma"/>
            <family val="2"/>
          </rPr>
          <t>15000 EUR de anualidad Mktint
Fra del 11/01/21 
Cobro previsto: enero
Abonado Caixa: 22/01/21</t>
        </r>
      </text>
    </comment>
    <comment ref="BC6" authorId="0" shapeId="0" xr:uid="{BCBA38B1-95B7-4C1C-9F4A-757BB15ECE1B}">
      <text>
        <r>
          <rPr>
            <b/>
            <sz val="9"/>
            <color indexed="81"/>
            <rFont val="Tahoma"/>
            <family val="2"/>
          </rPr>
          <t xml:space="preserve">rosa:
</t>
        </r>
        <r>
          <rPr>
            <sz val="9"/>
            <color indexed="81"/>
            <rFont val="Tahoma"/>
            <family val="2"/>
          </rPr>
          <t>15000 EUR de anualidad Mktint
Fra del 12/01/22
Cobro previsto: enero
Abonado Caixa: 19/01/22</t>
        </r>
      </text>
    </comment>
    <comment ref="BR6" authorId="0" shapeId="0" xr:uid="{8D4047CD-EE2C-462C-B84F-C4718B1CA833}">
      <text>
        <r>
          <rPr>
            <b/>
            <sz val="9"/>
            <color indexed="81"/>
            <rFont val="Tahoma"/>
            <family val="2"/>
          </rPr>
          <t xml:space="preserve">rosa:
</t>
        </r>
        <r>
          <rPr>
            <sz val="9"/>
            <color indexed="81"/>
            <rFont val="Tahoma"/>
            <family val="2"/>
          </rPr>
          <t>15000 EUR de anualidad Mktint
Fra del 11/01/23
Cobro previsto: enero
RE Alberto 22/02: Les damos hasta final feb.  Me avisáis lunes 6/3.
07/03 Reclamado por Alberto
Esperar al lunes 20/03 para reclamar si no llega el pago
El 21/03 realizan el pago
Abonado Caixa: 22/03/23</t>
        </r>
      </text>
    </comment>
    <comment ref="CC6" authorId="0" shapeId="0" xr:uid="{5A8B9D74-47E1-44B5-9195-5051EDC7546E}">
      <text>
        <r>
          <rPr>
            <b/>
            <sz val="9"/>
            <color indexed="81"/>
            <rFont val="Tahoma"/>
            <family val="2"/>
          </rPr>
          <t xml:space="preserve">
</t>
        </r>
        <r>
          <rPr>
            <sz val="9"/>
            <color indexed="81"/>
            <rFont val="Tahoma"/>
            <family val="2"/>
          </rPr>
          <t xml:space="preserve">15000 EUR de anualidad Mktint
Fra del 24/01/24
Cobro previsto: febrero
Abonado Caixa: 31/01/24
</t>
        </r>
      </text>
    </comment>
    <comment ref="AD7" authorId="0" shapeId="0" xr:uid="{00000000-0006-0000-0100-000002000000}">
      <text>
        <r>
          <rPr>
            <b/>
            <sz val="9"/>
            <color indexed="81"/>
            <rFont val="Tahoma"/>
            <family val="2"/>
          </rPr>
          <t>rosa:</t>
        </r>
        <r>
          <rPr>
            <sz val="9"/>
            <color indexed="81"/>
            <rFont val="Tahoma"/>
            <family val="2"/>
          </rPr>
          <t xml:space="preserve">
40000 eu entran en banco
Abonado: 27/02/20</t>
        </r>
      </text>
    </comment>
    <comment ref="AP7" authorId="0" shapeId="0" xr:uid="{00000000-0006-0000-0100-000003000000}">
      <text>
        <r>
          <rPr>
            <b/>
            <sz val="9"/>
            <color indexed="81"/>
            <rFont val="Tahoma"/>
            <family val="2"/>
          </rPr>
          <t xml:space="preserve">rosa:
</t>
        </r>
        <r>
          <rPr>
            <sz val="9"/>
            <color indexed="81"/>
            <rFont val="Tahoma"/>
            <family val="2"/>
          </rPr>
          <t>40000 EUR de anualidad Mktint
Fra del 11/01/21 
Cobro previsto: enero
Abonado Caixa: 18/01/21</t>
        </r>
      </text>
    </comment>
    <comment ref="BE7" authorId="0" shapeId="0" xr:uid="{7CE687DA-7B3B-4F39-B753-5DAB23C8BB7F}">
      <text>
        <r>
          <rPr>
            <b/>
            <sz val="9"/>
            <color indexed="81"/>
            <rFont val="Tahoma"/>
            <family val="2"/>
          </rPr>
          <t xml:space="preserve">rosa:
</t>
        </r>
        <r>
          <rPr>
            <sz val="9"/>
            <color indexed="81"/>
            <rFont val="Tahoma"/>
            <family val="2"/>
          </rPr>
          <t>40000€ de anualidad Mktint
Fra del 24/02/22 
Cobro previsto: marzo
Abonado Caixa: 07/03/22
-------------------------------------------
10000€ de "Additional services to the 2021 contract requested by the client and according to clause 3.1.1 of the contract"
Fra del 24/02/22 
Cobro previsto: marzo
Abonado Caixa: 07/03/22</t>
        </r>
      </text>
    </comment>
    <comment ref="BP7" authorId="0" shapeId="0" xr:uid="{87686955-1784-46AA-B541-261A70AE5310}">
      <text>
        <r>
          <rPr>
            <b/>
            <sz val="9"/>
            <color indexed="81"/>
            <rFont val="Tahoma"/>
            <family val="2"/>
          </rPr>
          <t xml:space="preserve">Info Alberto 09/01/23: Teniamos contrato por 2 años:
</t>
        </r>
        <r>
          <rPr>
            <sz val="9"/>
            <color indexed="81"/>
            <rFont val="Tahoma"/>
            <family val="2"/>
          </rPr>
          <t xml:space="preserve">40000€ de anualidad Mktint
Fra del 10/01/23 
Cobro previsto: febrero
Abonado Caixa: 25/01/23
-------------------------------------------
</t>
        </r>
      </text>
    </comment>
    <comment ref="CC7" authorId="0" shapeId="0" xr:uid="{85FF4FEB-DF2C-4838-AC15-9F1EF286B605}">
      <text>
        <r>
          <rPr>
            <b/>
            <sz val="9"/>
            <color indexed="81"/>
            <rFont val="Tahoma"/>
            <family val="2"/>
          </rPr>
          <t xml:space="preserve">Info Alberto 15/01/24: Renovación de Bioagra por 2 años a 41500 Eur/año. 
</t>
        </r>
        <r>
          <rPr>
            <sz val="9"/>
            <color indexed="81"/>
            <rFont val="Tahoma"/>
            <family val="2"/>
          </rPr>
          <t xml:space="preserve">41500€ de anualidad Mktint
Fra del 15/01/24 
Cobro previsto: febrero
Abonado Caixa: 31/01/24
</t>
        </r>
      </text>
    </comment>
    <comment ref="CD7" authorId="0" shapeId="0" xr:uid="{5FB8A80E-B97B-47B4-9531-00742A536BD4}">
      <text>
        <r>
          <rPr>
            <sz val="9"/>
            <color indexed="81"/>
            <rFont val="Tahoma"/>
            <family val="2"/>
          </rPr>
          <t xml:space="preserve">Info Alberto 24/01/24: Suscripción ARA Storage por 17.892 USD
Esto lo vamos a repercutir a cuatro clientes a partes iguales de 4.200 Eur cada uno (Vertex, Bioagra, Panonnia y Verbio 4.300€) Finalmt Sucden tb
Incluir en febrero
Info Alberto 07/02/24: 
Aditional coverage of Market Intelligence services por 4.200€
Fra del 07/02/24
Cobro previsto: febrero
Abonado Cta Caixa: 22/02/24
-----------------------------------
</t>
        </r>
      </text>
    </comment>
    <comment ref="CQ7" authorId="0" shapeId="0" xr:uid="{5A207032-7472-43DD-B501-795DAFAC962D}">
      <text>
        <r>
          <rPr>
            <b/>
            <sz val="9"/>
            <color indexed="81"/>
            <rFont val="Tahoma"/>
            <family val="2"/>
          </rPr>
          <t xml:space="preserve">Info Alberto 15/01/24: Renovación de Bioagra por 2 años a 41500 Eur/año. 
</t>
        </r>
        <r>
          <rPr>
            <sz val="9"/>
            <color indexed="81"/>
            <rFont val="Tahoma"/>
            <family val="2"/>
          </rPr>
          <t xml:space="preserve">41500€ de anualidad Mktint
-------------------------------------------
</t>
        </r>
      </text>
    </comment>
    <comment ref="AE8" authorId="1" shapeId="0" xr:uid="{00000000-0006-0000-0100-000004000000}">
      <text>
        <r>
          <rPr>
            <b/>
            <sz val="8"/>
            <color indexed="81"/>
            <rFont val="Tahoma"/>
            <family val="2"/>
          </rPr>
          <t>Rosa:</t>
        </r>
        <r>
          <rPr>
            <sz val="8"/>
            <color indexed="81"/>
            <rFont val="Tahoma"/>
            <family val="2"/>
          </rPr>
          <t xml:space="preserve">
9000 E de anualidad Mktint 
30000 E de additional bonus fee for Market Intel services
39000 eu entran en banco
-78 eu comision bancaria anotado en gastos bancarios
Abonado: 24/03/20</t>
        </r>
      </text>
    </comment>
    <comment ref="AU8" authorId="1" shapeId="0" xr:uid="{00000000-0006-0000-0100-000005000000}">
      <text>
        <r>
          <rPr>
            <b/>
            <sz val="8"/>
            <color indexed="81"/>
            <rFont val="Tahoma"/>
            <family val="2"/>
          </rPr>
          <t>Rosa:</t>
        </r>
        <r>
          <rPr>
            <sz val="8"/>
            <color indexed="81"/>
            <rFont val="Tahoma"/>
            <family val="2"/>
          </rPr>
          <t xml:space="preserve">
9000 E de anualidad Mktint 
Fra del 11/01/21
Cobro previsto: enero
Abonado el 02/06/21. 
</t>
        </r>
      </text>
    </comment>
    <comment ref="AV8" authorId="1" shapeId="0" xr:uid="{8474ABE1-6C14-497C-829A-00D6CAD28D8F}">
      <text>
        <r>
          <rPr>
            <b/>
            <sz val="8"/>
            <color indexed="81"/>
            <rFont val="Tahoma"/>
            <family val="2"/>
          </rPr>
          <t>Rosa:</t>
        </r>
        <r>
          <rPr>
            <sz val="8"/>
            <color indexed="81"/>
            <rFont val="Tahoma"/>
            <family val="2"/>
          </rPr>
          <t xml:space="preserve">
30000 E de additional bonus fee for Market Intel services
Fra del 18/01/21
Cobro previsto: febrero
Cobro: 28/07/21.</t>
        </r>
      </text>
    </comment>
    <comment ref="BF8" authorId="1" shapeId="0" xr:uid="{8BA4EE28-081B-44E9-A251-3D589627F5BD}">
      <text>
        <r>
          <rPr>
            <b/>
            <sz val="8"/>
            <color indexed="81"/>
            <rFont val="Tahoma"/>
            <family val="2"/>
          </rPr>
          <t xml:space="preserve">Rosa:
</t>
        </r>
        <r>
          <rPr>
            <sz val="8"/>
            <color indexed="81"/>
            <rFont val="Tahoma"/>
            <family val="2"/>
          </rPr>
          <t>9000 E de anualidad Mktint 
Fra del 12/01/22
Cobro previsto: enero
Abonado Caixa: 13/04/22
---------------------------------------
30000 E de additional bonus fee for Market Intel services
Fra del 12/01/22 pndte sin pasar a conta
Esperar respuesta de Alberto, pndte de confirmación por parte de Verbio
08/02/22: Comunicado por Alberto que ha enviado esa factura al cliente, preguntado a Verónica si puede ser con esa fecha de enero, Ok Verónica y Alf
Abonado Caixa: 13/04/22</t>
        </r>
      </text>
    </comment>
    <comment ref="BQ8" authorId="0" shapeId="0" xr:uid="{8271F3BD-2937-4CA2-A8D5-65CEBC2CA864}">
      <text>
        <r>
          <rPr>
            <sz val="9"/>
            <color indexed="81"/>
            <rFont val="Tahoma"/>
            <family val="2"/>
          </rPr>
          <t xml:space="preserve">9000€ de anualidad Mktint 
Fra del 11/01/23
Cobro previsto: enero
Info Alberto 19/01/23: Modificamos fra a 15000€
Fra de Abono del 19/01/23
Fra importe correcto del 19/01/23
Abonado Caixa: 01/02/23
</t>
        </r>
      </text>
    </comment>
    <comment ref="CF8" authorId="0" shapeId="0" xr:uid="{AB47C28B-E4B5-4496-A86A-63E0E0E07F5E}">
      <text>
        <r>
          <rPr>
            <sz val="9"/>
            <color indexed="81"/>
            <rFont val="Tahoma"/>
            <family val="2"/>
          </rPr>
          <t>Info Alberto 24/01/24: Suscripción ARA Storage por 17.892 USD
Esto lo vamos a repercutir a cuatro clientes a partes iguales de 4.200 Eur cada uno (Vertex, Bioagra, Panonnia y Verbio 4.300€) Finalmt Sucden tb
Incluir en febrero
4.300€: Suscripción ARA
15.000€ de anualidad Mktint 
Fra del 26/01/24
Cobro previsto: febrero</t>
        </r>
      </text>
    </comment>
    <comment ref="Z9" authorId="1" shapeId="0" xr:uid="{00000000-0006-0000-0100-000006000000}">
      <text>
        <r>
          <rPr>
            <b/>
            <sz val="8"/>
            <color indexed="81"/>
            <rFont val="Tahoma"/>
            <family val="2"/>
          </rPr>
          <t>alfonso:</t>
        </r>
        <r>
          <rPr>
            <sz val="8"/>
            <color indexed="81"/>
            <rFont val="Tahoma"/>
            <family val="2"/>
          </rPr>
          <t xml:space="preserve">
15000+iva de anualidad Mktint 1 de 2
</t>
        </r>
      </text>
    </comment>
    <comment ref="AC9" authorId="1" shapeId="0" xr:uid="{00000000-0006-0000-0100-000007000000}">
      <text>
        <r>
          <rPr>
            <b/>
            <sz val="8"/>
            <color indexed="81"/>
            <rFont val="Tahoma"/>
            <family val="2"/>
          </rPr>
          <t>de noviembre:</t>
        </r>
        <r>
          <rPr>
            <sz val="8"/>
            <color indexed="81"/>
            <rFont val="Tahoma"/>
            <family val="2"/>
          </rPr>
          <t xml:space="preserve">
15000 de anualidad Mktint 2de 2 pasada a empresa de francia sin IVA en una de 20.000 que incluye 5000 de 10 year market outlook AdHoc
en diciembre estaba en rojo 16000x1,21
Modificado a 15 + Iva según he acordado con Vertex</t>
        </r>
      </text>
    </comment>
    <comment ref="AR9" authorId="0" shapeId="0" xr:uid="{00000000-0006-0000-0100-000008000000}">
      <text>
        <r>
          <rPr>
            <b/>
            <sz val="9"/>
            <color indexed="81"/>
            <rFont val="Tahoma"/>
            <family val="2"/>
          </rPr>
          <t xml:space="preserve">rosa:
</t>
        </r>
        <r>
          <rPr>
            <sz val="9"/>
            <color indexed="81"/>
            <rFont val="Tahoma"/>
            <family val="2"/>
          </rPr>
          <t>25000 EUR de anualidad Mktint
pasada a empresa de francia sin IVA 
Fra del 23/12/20 
Cobro previsto: enero
Info Alberto 08/01/21: Cobro en febrero 
26/02/21: Reclamado por Alberto
Lo abonarán el próximo 05/03/21
Abonado Cta Caixa Molino: 09/03/21 y realizada transferencia a Cta Caixa Nixal el 10/03/21</t>
        </r>
      </text>
    </comment>
    <comment ref="BA9" authorId="1" shapeId="0" xr:uid="{7FB651CB-35F4-4AE8-9E20-4E35EA5FFBF1}">
      <text>
        <r>
          <rPr>
            <sz val="9"/>
            <color indexed="81"/>
            <rFont val="Tahoma"/>
            <family val="2"/>
          </rPr>
          <t>Info Alberto 17/12/20:
25.000€: Previsión en enero 2021
Info Alberto 08/01/21: Pndte emitir fra en enero, Alberto nos avisa. Cobro en marzo.
Anotado en marzo. 
10/03/21: Pndte de que le confirmen a Alberto el nº de pedido
Fra del 29/04/21.
Abonado: 08/11/21</t>
        </r>
      </text>
    </comment>
    <comment ref="BF9" authorId="1" shapeId="0" xr:uid="{414A33D4-3B55-4E2C-8227-9C1CAA0C663C}">
      <text>
        <r>
          <rPr>
            <b/>
            <sz val="9"/>
            <color indexed="81"/>
            <rFont val="Tahoma"/>
            <family val="2"/>
          </rPr>
          <t>alfonso:</t>
        </r>
        <r>
          <rPr>
            <sz val="9"/>
            <color indexed="81"/>
            <rFont val="Tahoma"/>
            <family val="2"/>
          </rPr>
          <t xml:space="preserve">
nueva estimación Alberto  a 14/6/21
Corresponde al contrato de 2021
10/02/22: Confirmado a Alberto el nº de pedido
Fra del 10/02/22
Pago a 60 días
Cobro previsto: 05/04/22
Abonado Caixa: 06/04/22</t>
        </r>
      </text>
    </comment>
    <comment ref="BN9" authorId="0" shapeId="0" xr:uid="{8D0CE2B7-E9B7-4CC4-83E3-78CCDEAF0D3C}">
      <text>
        <r>
          <rPr>
            <b/>
            <sz val="9"/>
            <color indexed="81"/>
            <rFont val="Tahoma"/>
            <family val="2"/>
          </rPr>
          <t>Corresponde al contrato 2022</t>
        </r>
        <r>
          <rPr>
            <sz val="9"/>
            <color indexed="81"/>
            <rFont val="Tahoma"/>
            <family val="2"/>
          </rPr>
          <t xml:space="preserve">
</t>
        </r>
      </text>
    </comment>
    <comment ref="BP9" authorId="1" shapeId="0" xr:uid="{35B8AB01-2D12-4613-BC69-AADCC3B5429F}">
      <text>
        <r>
          <rPr>
            <b/>
            <sz val="9"/>
            <color indexed="81"/>
            <rFont val="Tahoma"/>
            <family val="2"/>
          </rPr>
          <t>alfonso:</t>
        </r>
        <r>
          <rPr>
            <sz val="9"/>
            <color indexed="81"/>
            <rFont val="Tahoma"/>
            <family val="2"/>
          </rPr>
          <t xml:space="preserve">
nueva estimación Alberto  a 14/6/21
Corresponde al contrato de 2021.
Fra 2022/VTX/002 emitida el 24/11/22.
segunda anualidad: 25.000,00€. 
Cobro: 60 días fecha factura. 
Abonado Caixa: 21/01/23</t>
        </r>
      </text>
    </comment>
    <comment ref="BS9" authorId="0" shapeId="0" xr:uid="{D436E7D3-1B7E-434C-A139-230F3E12D700}">
      <text>
        <r>
          <rPr>
            <b/>
            <sz val="9"/>
            <color indexed="81"/>
            <rFont val="Tahoma"/>
            <family val="2"/>
          </rPr>
          <t>Corresponde 2023</t>
        </r>
        <r>
          <rPr>
            <sz val="9"/>
            <color indexed="81"/>
            <rFont val="Tahoma"/>
            <family val="2"/>
          </rPr>
          <t xml:space="preserve">
Fra 2023/VTX/001 emitida el 15/02/23.
25.000,00€. 
Cobro: 60 días fecha factura. 
Abonado Caixa: 11/04/23</t>
        </r>
      </text>
    </comment>
    <comment ref="CB9" authorId="0" shapeId="0" xr:uid="{FA577488-4741-4E67-BC04-C6EE6E8E226B}">
      <text>
        <r>
          <rPr>
            <b/>
            <sz val="9"/>
            <color indexed="81"/>
            <rFont val="Tahoma"/>
            <family val="2"/>
          </rPr>
          <t xml:space="preserve">Corresponde 2023
</t>
        </r>
        <r>
          <rPr>
            <sz val="9"/>
            <color indexed="81"/>
            <rFont val="Tahoma"/>
            <family val="2"/>
          </rPr>
          <t xml:space="preserve">
Fra 2023/VTX/002 emitida el 18/10/23.
segunda anualidad: 25.000,00€. 
Cobro: 60 días fecha factura. 
Cobro previsto: diciembre
Abonado Caixa: 06/12/23</t>
        </r>
      </text>
    </comment>
    <comment ref="CF9" authorId="1" shapeId="0" xr:uid="{62675B3B-1286-4E3A-90C5-7782445A3ECF}">
      <text>
        <r>
          <rPr>
            <sz val="9"/>
            <color indexed="81"/>
            <rFont val="Tahoma"/>
            <family val="2"/>
          </rPr>
          <t>Info Alberto 24/01/24: 
Suscripción ARA Storage por 17.892 USD
Esto lo vamos a repercutir a cuatro clientes a partes iguales de 4.200 Eur cada uno (Vertex, Bioagra, Panonnia y Verbio 4.300€) Finalmt Sucden tb
Incluir en febrero
Fra del 23/02/24
Cobro previsto: abril</t>
        </r>
      </text>
    </comment>
    <comment ref="AG10" authorId="0" shapeId="0" xr:uid="{00000000-0006-0000-0100-00000B000000}">
      <text>
        <r>
          <rPr>
            <b/>
            <sz val="9"/>
            <color indexed="81"/>
            <rFont val="Tahoma"/>
            <family val="2"/>
          </rPr>
          <t>rosa:</t>
        </r>
        <r>
          <rPr>
            <sz val="9"/>
            <color indexed="81"/>
            <rFont val="Tahoma"/>
            <family val="2"/>
          </rPr>
          <t xml:space="preserve">
Factura 2 de 2 (el pago de la 1 es en julio de 2019)
Fra: 10/01/20
Cobro previsto: enero
4500 eu entran en banco
77,60 eu comision bancaria
Abonado: 14/05/20</t>
        </r>
      </text>
    </comment>
    <comment ref="AP10" authorId="0" shapeId="0" xr:uid="{00000000-0006-0000-0100-00000C000000}">
      <text>
        <r>
          <rPr>
            <b/>
            <sz val="9"/>
            <color indexed="81"/>
            <rFont val="Tahoma"/>
            <family val="2"/>
          </rPr>
          <t>rosa:</t>
        </r>
        <r>
          <rPr>
            <sz val="9"/>
            <color indexed="81"/>
            <rFont val="Tahoma"/>
            <family val="2"/>
          </rPr>
          <t xml:space="preserve">
Factura 2 de 2
Fra: 15/12/20
Cobro previsto: diciembre
Abonado Caixa: 15/01/21
</t>
        </r>
      </text>
    </comment>
    <comment ref="AQ10" authorId="0" shapeId="0" xr:uid="{00000000-0006-0000-0100-00000D000000}">
      <text>
        <r>
          <rPr>
            <b/>
            <sz val="9"/>
            <color indexed="81"/>
            <rFont val="Tahoma"/>
            <family val="2"/>
          </rPr>
          <t>rosa:</t>
        </r>
        <r>
          <rPr>
            <sz val="9"/>
            <color indexed="81"/>
            <rFont val="Tahoma"/>
            <family val="2"/>
          </rPr>
          <t xml:space="preserve">
Factura 1 de 2
Fra: 15/06/20
Cobro previsto: julio
Pendiente de pago, reclamado por Alberto
Abonado Caixa: 09/02/21
</t>
        </r>
      </text>
    </comment>
    <comment ref="AZ10" authorId="2" shapeId="0" xr:uid="{E42F46A9-D86E-4489-87CD-17701451845F}">
      <text>
        <r>
          <rPr>
            <sz val="9"/>
            <color indexed="81"/>
            <rFont val="Tahoma"/>
            <family val="2"/>
          </rPr>
          <t>Info alberto 07/05/21: Emitir factura en la primera semana de junio. 
Fra del 04/06/21
Fra 1 de 2. 
Cobro previsto: junio.
Info Alberto 15/06/21: si no nos pagan en dos semanas, el día 29 del junio. 
Volver a AVISAR a Alberto en una semana el 06/07/21.
Abonado Caixa: 14/10/21</t>
        </r>
      </text>
    </comment>
    <comment ref="BC10" authorId="2" shapeId="0" xr:uid="{CECF2435-2AF6-4481-B04D-C0132F39CCA9}">
      <text>
        <r>
          <rPr>
            <sz val="9"/>
            <color indexed="81"/>
            <rFont val="Tahoma"/>
            <family val="2"/>
          </rPr>
          <t xml:space="preserve">Info alberto 15/06/21: Emitir factura en la primera semana de diciembre. 
Fra 2 de 2. </t>
        </r>
        <r>
          <rPr>
            <b/>
            <sz val="9"/>
            <color indexed="81"/>
            <rFont val="Tahoma"/>
            <family val="2"/>
          </rPr>
          <t xml:space="preserve">
</t>
        </r>
        <r>
          <rPr>
            <sz val="9"/>
            <color indexed="81"/>
            <rFont val="Tahoma"/>
            <family val="2"/>
          </rPr>
          <t xml:space="preserve">Fra del 13/12/21
Cobro: 06/01/2021.
</t>
        </r>
      </text>
    </comment>
    <comment ref="BO10" authorId="2" shapeId="0" xr:uid="{1D78C1F0-BD3E-4027-BDA9-3CBB9D7508A6}">
      <text>
        <r>
          <rPr>
            <sz val="9"/>
            <color indexed="81"/>
            <rFont val="Tahoma"/>
            <family val="2"/>
          </rPr>
          <t xml:space="preserve">Info alberto 05/10/22: 12.000€ de anualidad Mktint en 2 fras semestrales de 6.000€
Fra del 06/10/22
Fra 1 de 2. 
Cobro previsto: octubre
Abonado Caixa: 21/12/22
</t>
        </r>
      </text>
    </comment>
    <comment ref="BS10" authorId="2" shapeId="0" xr:uid="{6237B8E8-E102-4164-BB56-9FE8C948DDEB}">
      <text>
        <r>
          <rPr>
            <sz val="9"/>
            <color indexed="81"/>
            <rFont val="Tahoma"/>
            <family val="2"/>
          </rPr>
          <t xml:space="preserve">Info alberto 05/10/22: 12.000€ de anualidad Mktint en 2 fras semestrales de 6.000€
 emitimos en febrero Fra 2 de 2. 
Fra del 21/02/23
Cobro previsto: marzo
Abonado Caixa: 05/04/23
</t>
        </r>
      </text>
    </comment>
    <comment ref="BY10" authorId="2" shapeId="0" xr:uid="{6D741B1F-298C-474F-B5E9-5CB4ED7ED736}">
      <text>
        <r>
          <rPr>
            <sz val="9"/>
            <color indexed="81"/>
            <rFont val="Tahoma"/>
            <family val="2"/>
          </rPr>
          <t>Info alberto 06/07/23: 12.000€ de anualidad Mktint en 2 fras semestrales de 6.000€
Fra del 07/07/23
Fra 1 de 2. 
Cobro previsto: agosto
09/08/23: Enviada fra modificada con nueva dirección
1€: Abonado Caixa: 05/09/23
5.999€: Abonado Caixa: 07/09/23</t>
        </r>
      </text>
    </comment>
    <comment ref="CB10" authorId="2" shapeId="0" xr:uid="{DA7CBC84-004E-4B5C-8C43-BC76BC9A047C}">
      <text>
        <r>
          <rPr>
            <sz val="9"/>
            <color indexed="81"/>
            <rFont val="Tahoma"/>
            <family val="2"/>
          </rPr>
          <t>Info alberto 06/07/23: 12.000€ de anualidad Mktint en 2 fras semestrales de 6.000€
Emitir Fra a principios de dic
Fra 2 de 2. 
Fra del 12/12/23
Abonado Caixa: 27/12/23</t>
        </r>
      </text>
    </comment>
    <comment ref="AL11" authorId="1" shapeId="0" xr:uid="{00000000-0006-0000-0100-00000E000000}">
      <text>
        <r>
          <rPr>
            <b/>
            <sz val="8"/>
            <color indexed="81"/>
            <rFont val="Tahoma"/>
            <family val="2"/>
          </rPr>
          <t>Rosa:</t>
        </r>
        <r>
          <rPr>
            <sz val="8"/>
            <color indexed="81"/>
            <rFont val="Tahoma"/>
            <family val="2"/>
          </rPr>
          <t xml:space="preserve">
10000 EUR de anualidad Mktint
Fra del 31/08/20
Cobro previsto: septiembre
Abonado Caixa: 18/09/20</t>
        </r>
      </text>
    </comment>
    <comment ref="AZ11" authorId="2" shapeId="0" xr:uid="{D466330B-4819-455F-8F2B-F8D0E18446E1}">
      <text>
        <r>
          <rPr>
            <sz val="9"/>
            <color indexed="81"/>
            <rFont val="Tahoma"/>
            <family val="2"/>
          </rPr>
          <t>10.000 EUR de anualidad Mktint
Fra del 16/09/21
Cobro previsto: septiembre
Abonado: 01/10/21</t>
        </r>
      </text>
    </comment>
    <comment ref="BL11" authorId="2" shapeId="0" xr:uid="{E4D31FB4-CC5D-4478-ABA2-933B84A5EF33}">
      <text>
        <r>
          <rPr>
            <sz val="9"/>
            <color indexed="81"/>
            <rFont val="Tahoma"/>
            <family val="2"/>
          </rPr>
          <t>10.000 EUR de anualidad Mktint
Fra del 08/09/22
Cobro previsto: septiembre
Abonado Caixa: 27/09/22</t>
        </r>
      </text>
    </comment>
    <comment ref="BW11" authorId="2" shapeId="0" xr:uid="{AC69A7F9-D8CC-4445-A1BA-5C8D648A293E}">
      <text>
        <r>
          <rPr>
            <sz val="9"/>
            <color indexed="81"/>
            <rFont val="Tahoma"/>
            <family val="2"/>
          </rPr>
          <t>10.500 EUR de anualidad Mktint
Fra del 10/08/23
Cobro previsto: septiembre
Cobro: 24/08/23.</t>
        </r>
      </text>
    </comment>
    <comment ref="AG12" authorId="0" shapeId="0" xr:uid="{00000000-0006-0000-0100-00000F000000}">
      <text>
        <r>
          <rPr>
            <b/>
            <sz val="9"/>
            <color indexed="81"/>
            <rFont val="Tahoma"/>
            <family val="2"/>
          </rPr>
          <t>rosa:</t>
        </r>
        <r>
          <rPr>
            <sz val="9"/>
            <color indexed="81"/>
            <rFont val="Tahoma"/>
            <family val="2"/>
          </rPr>
          <t xml:space="preserve">
Factura 2 de 2 (el pago de la 1 es en octubre de 2019)
Fra: 22/04/20
Cobro previsto: mayo
Abonado: 11/05/20</t>
        </r>
      </text>
    </comment>
    <comment ref="AN12" authorId="0" shapeId="0" xr:uid="{00000000-0006-0000-0100-000010000000}">
      <text>
        <r>
          <rPr>
            <sz val="11"/>
            <color theme="1"/>
            <rFont val="Calibri"/>
            <family val="2"/>
            <scheme val="minor"/>
          </rPr>
          <t>rosa:
Factura 1 de 2 
Fra: 15/10/20
Cobro previsto: octubre
Abonado Caixa: 04/11/20</t>
        </r>
      </text>
    </comment>
    <comment ref="AR12" authorId="0" shapeId="0" xr:uid="{00000000-0006-0000-0100-000011000000}">
      <text>
        <r>
          <rPr>
            <sz val="11"/>
            <color theme="1"/>
            <rFont val="Calibri"/>
            <family val="2"/>
            <scheme val="minor"/>
          </rPr>
          <t xml:space="preserve">rosa:
Factura 2 de 2 (la emisión de la 1 es en octubre de 2020). 
Emitir fra el 15/03/21
Fra del 16/03/21
Cobro previsto en marzo.
Abonado: 31/03/21
</t>
        </r>
      </text>
    </comment>
    <comment ref="BA12" authorId="0" shapeId="0" xr:uid="{C7E0CD45-3EF6-4911-A87A-92770A8C6399}">
      <text>
        <r>
          <rPr>
            <sz val="11"/>
            <color theme="1"/>
            <rFont val="Calibri"/>
            <family val="2"/>
            <scheme val="minor"/>
          </rPr>
          <t xml:space="preserve">Info Alberto 05/10/21:
Factura 1 de 2 
Fra del 15/10/21
Cobro previsto: noviembre
Abonado Caixa: 03/11/21
</t>
        </r>
      </text>
    </comment>
    <comment ref="BF12" authorId="0" shapeId="0" xr:uid="{BE58BBCC-B59F-4562-87F8-A90A2A3A938B}">
      <text>
        <r>
          <rPr>
            <sz val="11"/>
            <color theme="1"/>
            <rFont val="Calibri"/>
            <family val="2"/>
            <scheme val="minor"/>
          </rPr>
          <t xml:space="preserve">Info Alberto 05/10/21:
Factura 2 de 2 
Preguntar a Alberto si emitimos el 15/03/22, ok Alberto, en reunión de cierre Nixal, emitir esta fra
Fra del 18/03/22
Cobro previsto: abril 
Abonado Caixa: 07/04/22
</t>
        </r>
      </text>
    </comment>
    <comment ref="BO12" authorId="0" shapeId="0" xr:uid="{EC250645-11BE-4CE5-9195-4E25A22148B3}">
      <text>
        <r>
          <rPr>
            <sz val="11"/>
            <color theme="1"/>
            <rFont val="Calibri"/>
            <family val="2"/>
            <scheme val="minor"/>
          </rPr>
          <t xml:space="preserve">Info Alberto 07/11/22: Renovación mismas condiciones
Factura 1 de 2 
Fra del 07/11/22
18/11/22: Enviadas Fra de abono y nueva Fra del 18/11/22 con VAT nuevo y persona contacto
Cobro previsto: noviembre
Abonado Caixa: 06/12/22
</t>
        </r>
      </text>
    </comment>
    <comment ref="BR12" authorId="0" shapeId="0" xr:uid="{2EA7220D-9259-4FD5-BD55-EC857EA9139B}">
      <text>
        <r>
          <rPr>
            <sz val="11"/>
            <color theme="1"/>
            <rFont val="Calibri"/>
            <family val="2"/>
            <scheme val="minor"/>
          </rPr>
          <t xml:space="preserve">Info Alberto 07/11/22: Renovación mismas condiciones
Factura 2 de 2 
Preguntar a Alberto si emitimos el 15/03/23, OK Alberto 08/03/23 
Fra del 09/03/23
Cobro previsto: abril 
Abonado Caixa: 28/03/23
</t>
        </r>
      </text>
    </comment>
    <comment ref="AI13" authorId="0" shapeId="0" xr:uid="{00000000-0006-0000-0100-000012000000}">
      <text>
        <r>
          <rPr>
            <b/>
            <sz val="9"/>
            <color indexed="81"/>
            <rFont val="Tahoma"/>
            <family val="2"/>
          </rPr>
          <t>rosa:</t>
        </r>
        <r>
          <rPr>
            <sz val="9"/>
            <color indexed="81"/>
            <rFont val="Tahoma"/>
            <family val="2"/>
          </rPr>
          <t xml:space="preserve">
Fra: 07/02/20
Cobro previsto: febrero
Reenviada Fra: 10/07/20
Abonada Caixa: 17/07/20</t>
        </r>
      </text>
    </comment>
    <comment ref="AR13" authorId="0" shapeId="0" xr:uid="{00000000-0006-0000-0100-000013000000}">
      <text>
        <r>
          <rPr>
            <b/>
            <sz val="9"/>
            <color indexed="81"/>
            <rFont val="Tahoma"/>
            <family val="2"/>
          </rPr>
          <t xml:space="preserve">rosa:
</t>
        </r>
        <r>
          <rPr>
            <sz val="9"/>
            <color indexed="81"/>
            <rFont val="Tahoma"/>
            <family val="2"/>
          </rPr>
          <t>10000 EUR de anualidad Mktint
Fra: 10/02/21
Cobro previsto: febrero
Abonado Caixa: 19/03/21</t>
        </r>
      </text>
    </comment>
    <comment ref="BE13" authorId="0" shapeId="0" xr:uid="{D928105E-7770-4F52-9F56-D23443C59152}">
      <text>
        <r>
          <rPr>
            <b/>
            <sz val="9"/>
            <color indexed="81"/>
            <rFont val="Tahoma"/>
            <family val="2"/>
          </rPr>
          <t xml:space="preserve">rosa:
</t>
        </r>
        <r>
          <rPr>
            <sz val="9"/>
            <color indexed="81"/>
            <rFont val="Tahoma"/>
            <family val="2"/>
          </rPr>
          <t>10000 EUR de anualidad Mktint
Fra: 10/02/22
Cobro previsto: febrero
Abonado Caixa: 04/03/22</t>
        </r>
      </text>
    </comment>
    <comment ref="BR13" authorId="0" shapeId="0" xr:uid="{60C5D92F-7D51-4D3F-9174-FF4AC1D3769E}">
      <text>
        <r>
          <rPr>
            <sz val="9"/>
            <color indexed="81"/>
            <rFont val="Tahoma"/>
            <family val="2"/>
          </rPr>
          <t xml:space="preserve">
12500 EUR de anualidad Mktint
Fra: 14/02/23
Cobro previsto: febrero
Abonado Caixa: 22/03/23
</t>
        </r>
      </text>
    </comment>
    <comment ref="CD13" authorId="0" shapeId="0" xr:uid="{9141A39E-5A54-4358-BB70-A491FB251F9E}">
      <text>
        <r>
          <rPr>
            <sz val="9"/>
            <color indexed="81"/>
            <rFont val="Tahoma"/>
            <family val="2"/>
          </rPr>
          <t xml:space="preserve">
12000 EUR de anualidad Mktint
Fra: 31/01/24
Cobro previsto: febrero
Abonado Caixa: 28/02/24
</t>
        </r>
      </text>
    </comment>
    <comment ref="AD14" authorId="0" shapeId="0" xr:uid="{00000000-0006-0000-0100-000014000000}">
      <text>
        <r>
          <rPr>
            <b/>
            <sz val="9"/>
            <color indexed="81"/>
            <rFont val="Tahoma"/>
            <family val="2"/>
          </rPr>
          <t>rosa:</t>
        </r>
        <r>
          <rPr>
            <sz val="9"/>
            <color indexed="81"/>
            <rFont val="Tahoma"/>
            <family val="2"/>
          </rPr>
          <t xml:space="preserve">
Abonado: 05/02/20</t>
        </r>
      </text>
    </comment>
    <comment ref="AJ14" authorId="1" shapeId="0" xr:uid="{00000000-0006-0000-0100-000015000000}">
      <text>
        <r>
          <rPr>
            <b/>
            <sz val="8"/>
            <color indexed="81"/>
            <rFont val="Tahoma"/>
            <family val="2"/>
          </rPr>
          <t>Rosa:</t>
        </r>
        <r>
          <rPr>
            <sz val="8"/>
            <color indexed="81"/>
            <rFont val="Tahoma"/>
            <family val="2"/>
          </rPr>
          <t xml:space="preserve">
6000 EUR de anualidad Mktint
Fra del 17/07/20
Cobro previsto: agosto
Abonado Caixa: 28/08/20</t>
        </r>
      </text>
    </comment>
    <comment ref="AQ14" authorId="0" shapeId="0" xr:uid="{00000000-0006-0000-0100-000016000000}">
      <text>
        <r>
          <rPr>
            <b/>
            <sz val="9"/>
            <color indexed="81"/>
            <rFont val="Tahoma"/>
            <family val="2"/>
          </rPr>
          <t xml:space="preserve">rosa:
</t>
        </r>
        <r>
          <rPr>
            <sz val="9"/>
            <color indexed="81"/>
            <rFont val="Tahoma"/>
            <family val="2"/>
          </rPr>
          <t>6000 EUR de anualidad Mktint
Fra 1 de 2
Fra del 11/01/21 
Cobro previsto: enero
Abonado: 08/02/21</t>
        </r>
      </text>
    </comment>
    <comment ref="AY14" authorId="0" shapeId="0" xr:uid="{4355FCB8-CBE2-49EE-B612-A4FB52D0DD5F}">
      <text>
        <r>
          <rPr>
            <b/>
            <sz val="9"/>
            <color indexed="81"/>
            <rFont val="Tahoma"/>
            <family val="2"/>
          </rPr>
          <t xml:space="preserve">rosa:
</t>
        </r>
        <r>
          <rPr>
            <sz val="9"/>
            <color indexed="81"/>
            <rFont val="Tahoma"/>
            <family val="2"/>
          </rPr>
          <t>6000 EUR de anualidad Mktint.
Emitir factura el miercoles 30 con fecha de emisión el 01/07/21 y enviar a Alberto. 
Fra 2 de 2
Fra del 01/07/21. 
Cobro previsto: julio.
Info alberto 21/07: pasar el cobro a Agosto. 
Cobro: 07/09/21.</t>
        </r>
      </text>
    </comment>
    <comment ref="BF14" authorId="0" shapeId="0" xr:uid="{E499590F-1AE7-42BA-9764-B4EED84DF693}">
      <text>
        <r>
          <rPr>
            <b/>
            <sz val="9"/>
            <color indexed="81"/>
            <rFont val="Tahoma"/>
            <family val="2"/>
          </rPr>
          <t xml:space="preserve">
</t>
        </r>
        <r>
          <rPr>
            <sz val="9"/>
            <color indexed="81"/>
            <rFont val="Tahoma"/>
            <family val="2"/>
          </rPr>
          <t>6000 EUR de anualidad Mktint.
Emitir factura la primera semana de enero. 
Fra 1 de 2
Fra del 12/01/2022. 
Cobro previsto: enero.
29/03/22: Debe de llegar el pago esta semana
Reclamado por Alberto el 19/04/22
Abonado Caixa: 21/04/22</t>
        </r>
      </text>
    </comment>
    <comment ref="BJ14" authorId="0" shapeId="0" xr:uid="{CF249E2A-D4B6-464B-B3A6-AA130E09CD32}">
      <text>
        <r>
          <rPr>
            <b/>
            <sz val="9"/>
            <color indexed="81"/>
            <rFont val="Tahoma"/>
            <family val="2"/>
          </rPr>
          <t xml:space="preserve">
</t>
        </r>
        <r>
          <rPr>
            <sz val="9"/>
            <color indexed="81"/>
            <rFont val="Tahoma"/>
            <family val="2"/>
          </rPr>
          <t>6000 EUR de anualidad Mktint.
Preguntar a Alberto si emitimos factura a principios de julio
Fra 2 de 2
Pendiente realizar factura. 
Enviar fra en junio
Fra del 29/06/22
Cobro previsto: Julio  
Cobro en caixa el 22/08/22.</t>
        </r>
      </text>
    </comment>
    <comment ref="BQ14" authorId="0" shapeId="0" xr:uid="{A781A706-444F-4C6C-ADAF-2BA8ACC0A4B9}">
      <text>
        <r>
          <rPr>
            <b/>
            <sz val="9"/>
            <color indexed="81"/>
            <rFont val="Tahoma"/>
            <family val="2"/>
          </rPr>
          <t xml:space="preserve">
</t>
        </r>
        <r>
          <rPr>
            <sz val="9"/>
            <color indexed="81"/>
            <rFont val="Tahoma"/>
            <family val="2"/>
          </rPr>
          <t xml:space="preserve">6000 EUR de anualidad Mktint.
Emitir Fra 1 de 2
Fra del 19/01/2023. 
Cobro previsto: febrero.
Abonado Caixa: 03/02/23 
</t>
        </r>
      </text>
    </comment>
    <comment ref="BV14" authorId="0" shapeId="0" xr:uid="{C448C62B-489F-4919-A3D1-26C22FC45F63}">
      <text>
        <r>
          <rPr>
            <b/>
            <sz val="9"/>
            <color indexed="81"/>
            <rFont val="Tahoma"/>
            <family val="2"/>
          </rPr>
          <t xml:space="preserve">
</t>
        </r>
        <r>
          <rPr>
            <sz val="9"/>
            <color indexed="81"/>
            <rFont val="Tahoma"/>
            <family val="2"/>
          </rPr>
          <t>6000€ de anualidad Mktint.
Preguntar a Alberto si emitimos factura a principios de julio
Fra 2 de 2
Pendiente realizar factura. 
Enviar fra el 01/06/23
Fra del 02/06/23
Cobro previsto: junio
Abonado Caixa: 11/07/23</t>
        </r>
      </text>
    </comment>
    <comment ref="CD14" authorId="0" shapeId="0" xr:uid="{BE1F0385-B1A3-4663-A23C-670B6E664889}">
      <text>
        <r>
          <rPr>
            <sz val="9"/>
            <color indexed="81"/>
            <rFont val="Tahoma"/>
            <family val="2"/>
          </rPr>
          <t>01/02/24: Confirmado por Alberto que no renuevan</t>
        </r>
      </text>
    </comment>
    <comment ref="X15" authorId="1" shapeId="0" xr:uid="{00000000-0006-0000-0100-000018000000}">
      <text>
        <r>
          <rPr>
            <b/>
            <sz val="8"/>
            <color indexed="81"/>
            <rFont val="Tahoma"/>
            <family val="2"/>
          </rPr>
          <t>alfonso:</t>
        </r>
        <r>
          <rPr>
            <sz val="8"/>
            <color indexed="81"/>
            <rFont val="Tahoma"/>
            <family val="2"/>
          </rPr>
          <t xml:space="preserve">
factura de agosto
(Hacen dos pagos por error)</t>
        </r>
      </text>
    </comment>
    <comment ref="AD15" authorId="1" shapeId="0" xr:uid="{00000000-0006-0000-0100-000019000000}">
      <text>
        <r>
          <rPr>
            <b/>
            <sz val="8"/>
            <color indexed="81"/>
            <rFont val="Tahoma"/>
            <family val="2"/>
          </rPr>
          <t>devolucion del pago doble de septiembre
Pago realizado el 27/02/20</t>
        </r>
      </text>
    </comment>
    <comment ref="S16" authorId="1" shapeId="0" xr:uid="{00000000-0006-0000-0100-00001A000000}">
      <text>
        <r>
          <rPr>
            <b/>
            <sz val="9"/>
            <color indexed="81"/>
            <rFont val="Tahoma"/>
            <family val="2"/>
          </rPr>
          <t>alfonso:</t>
        </r>
        <r>
          <rPr>
            <sz val="9"/>
            <color indexed="81"/>
            <rFont val="Tahoma"/>
            <family val="2"/>
          </rPr>
          <t xml:space="preserve">
factura no pasada por Alberto a Sinver. Acordado ponerla en IS 2019 y para IVA declaradas en Enero de 2020. No lleva IVA asi que no debe llevar sanción.</t>
        </r>
      </text>
    </comment>
    <comment ref="AI16" authorId="1" shapeId="0" xr:uid="{00000000-0006-0000-0100-00001B000000}">
      <text>
        <r>
          <rPr>
            <b/>
            <sz val="8"/>
            <color indexed="81"/>
            <rFont val="Tahoma"/>
            <family val="2"/>
          </rPr>
          <t>Rosa:</t>
        </r>
        <r>
          <rPr>
            <sz val="8"/>
            <color indexed="81"/>
            <rFont val="Tahoma"/>
            <family val="2"/>
          </rPr>
          <t xml:space="preserve">
4500 EUR de anualidad Mktint
Fra del 26/06/20
Cobro previsto: julio
Abonado Caixa: 07/07/20</t>
        </r>
      </text>
    </comment>
    <comment ref="BB16" authorId="1" shapeId="0" xr:uid="{50A59872-1BB9-4B78-9AF5-927B67B9FE3C}">
      <text>
        <r>
          <rPr>
            <b/>
            <sz val="8"/>
            <color indexed="81"/>
            <rFont val="Tahoma"/>
            <family val="2"/>
          </rPr>
          <t>Rosa:</t>
        </r>
        <r>
          <rPr>
            <sz val="8"/>
            <color indexed="81"/>
            <rFont val="Tahoma"/>
            <family val="2"/>
          </rPr>
          <t xml:space="preserve">
10000 EUR de anualidad Mktint
Fra del 25/11/21
Cobro previsto: diciembre
Abonado Caixa: 01/12/21</t>
        </r>
      </text>
    </comment>
    <comment ref="BY16" authorId="1" shapeId="0" xr:uid="{A9F2C099-4C5A-44B3-950B-F4E9EF801D74}">
      <text>
        <r>
          <rPr>
            <sz val="8"/>
            <color indexed="81"/>
            <rFont val="Tahoma"/>
            <family val="2"/>
          </rPr>
          <t xml:space="preserve">
11.000 EUR de anualidad Mktint
Periodo 23/24 por valor de 5285 Eur
Periodo 24/25 por valor de 5715 Eur.
Fra del 10/08/23
Cobro previsto: agosto
11/08/23: Modificada dirección solicitada por el cliente
Pagarán a finales de agosto
Reclamado pago12/09/23
Abonado Caixa: 13/09/23</t>
        </r>
      </text>
    </comment>
    <comment ref="CF16" authorId="1" shapeId="0" xr:uid="{879D6F65-4B67-4A80-95F0-E87F22C927ED}">
      <text>
        <r>
          <rPr>
            <sz val="9"/>
            <color indexed="81"/>
            <rFont val="Tahoma"/>
            <family val="2"/>
          </rPr>
          <t xml:space="preserve">Esto lo vamos a repercutir a cuatro clientes a partes iguales de 4.200 Eur cada uno (Vertex, Bioagra, Panonnia y Verbio 4.300€) Finalmt Sucden tb
Incluir en febrero
Info Alberto 07/02/24: 
Aditional coverage of Market Intelligence services por 4.200€
Fra del 07/02/24
Cobro previsto: febrero
Abonado Cta Caixa: 
</t>
        </r>
      </text>
    </comment>
    <comment ref="AC17" authorId="0" shapeId="0" xr:uid="{00000000-0006-0000-0100-00001C000000}">
      <text>
        <r>
          <rPr>
            <b/>
            <sz val="9"/>
            <color indexed="81"/>
            <rFont val="Tahoma"/>
            <family val="2"/>
          </rPr>
          <t>recepción:</t>
        </r>
        <r>
          <rPr>
            <sz val="9"/>
            <color indexed="81"/>
            <rFont val="Tahoma"/>
            <family val="2"/>
          </rPr>
          <t xml:space="preserve">
12500 eu entran en banco
</t>
        </r>
      </text>
    </comment>
    <comment ref="AN17" authorId="3" shapeId="0" xr:uid="{00000000-0006-0000-0100-00001D000000}">
      <text>
        <r>
          <rPr>
            <b/>
            <sz val="9"/>
            <color indexed="81"/>
            <rFont val="Tahoma"/>
            <family val="2"/>
          </rPr>
          <t>Alberto Carmona:</t>
        </r>
        <r>
          <rPr>
            <sz val="9"/>
            <color indexed="81"/>
            <rFont val="Tahoma"/>
            <family val="2"/>
          </rPr>
          <t xml:space="preserve">
Me han comunicado baja el 26/11/20</t>
        </r>
      </text>
    </comment>
    <comment ref="AF18" authorId="1" shapeId="0" xr:uid="{00000000-0006-0000-0100-00001E000000}">
      <text>
        <r>
          <rPr>
            <b/>
            <sz val="8"/>
            <color indexed="81"/>
            <rFont val="Tahoma"/>
            <family val="2"/>
          </rPr>
          <t>Rosa:</t>
        </r>
        <r>
          <rPr>
            <sz val="8"/>
            <color indexed="81"/>
            <rFont val="Tahoma"/>
            <family val="2"/>
          </rPr>
          <t xml:space="preserve">
12000 E de anualidad Mktint 
Fra: 18/12/2019
Cobro previsto: enero 2020
Abonado Caixa: 15/04/20</t>
        </r>
      </text>
    </comment>
    <comment ref="AU18" authorId="1" shapeId="0" xr:uid="{00000000-0006-0000-0100-00001F000000}">
      <text>
        <r>
          <rPr>
            <b/>
            <sz val="8"/>
            <color indexed="81"/>
            <rFont val="Tahoma"/>
            <family val="2"/>
          </rPr>
          <t xml:space="preserve">Rosa:
</t>
        </r>
        <r>
          <rPr>
            <sz val="8"/>
            <color indexed="81"/>
            <rFont val="Tahoma"/>
            <family val="2"/>
          </rPr>
          <t>Info Alberto 12/11/20:
12000 E de anualidad Mktint 
Emitir fra la primera semana de enero, avisar a Alberto
Fra del 11/01/21
Cobro previsto: enero. 
Cobro: 25/06/21.</t>
        </r>
      </text>
    </comment>
    <comment ref="BE18" authorId="1" shapeId="0" xr:uid="{9E5AE9D7-E4A7-4984-8E25-CD6B45A76274}">
      <text>
        <r>
          <rPr>
            <sz val="8"/>
            <color indexed="81"/>
            <rFont val="Tahoma"/>
            <family val="2"/>
          </rPr>
          <t xml:space="preserve">
12000 E de anualidad Mktint 
Fra del 18/01/22
Cobro previsto: febrero
Abonado Caixa: 24/03/22</t>
        </r>
      </text>
    </comment>
    <comment ref="BR18" authorId="1" shapeId="0" xr:uid="{DA23D02B-7B28-4308-BE09-7747F70AB6F8}">
      <text>
        <r>
          <rPr>
            <sz val="8"/>
            <color indexed="81"/>
            <rFont val="Tahoma"/>
            <family val="2"/>
          </rPr>
          <t xml:space="preserve">
12000€ de anualidad Mktint 
Fra del 12/01/23
Cobro previsto: febrero
Abonado Cta VFX €: 07/03/23</t>
        </r>
      </text>
    </comment>
    <comment ref="CD18" authorId="1" shapeId="0" xr:uid="{1B7A9983-292A-4998-A5F7-F0EDD8248B54}">
      <text>
        <r>
          <rPr>
            <sz val="8"/>
            <color indexed="81"/>
            <rFont val="Tahoma"/>
            <family val="2"/>
          </rPr>
          <t xml:space="preserve">
13.200€ de anualidad Mktint 
Fra del 25/01/24
Cobro previsto: febrero
Abonado Cta VFX €: 12/02/24</t>
        </r>
      </text>
    </comment>
    <comment ref="AM19" authorId="0" shapeId="0" xr:uid="{00000000-0006-0000-0100-000020000000}">
      <text>
        <r>
          <rPr>
            <b/>
            <sz val="9"/>
            <color indexed="81"/>
            <rFont val="Tahoma"/>
            <family val="2"/>
          </rPr>
          <t>rosa:</t>
        </r>
        <r>
          <rPr>
            <sz val="9"/>
            <color indexed="81"/>
            <rFont val="Tahoma"/>
            <family val="2"/>
          </rPr>
          <t xml:space="preserve">
Anotado en marzo
Fra del 05/10/20
Cobro previsto: octubre
Abonado Caixa: 20/10/20</t>
        </r>
      </text>
    </comment>
    <comment ref="AW19" authorId="1" shapeId="0" xr:uid="{00000000-0006-0000-0100-000021000000}">
      <text>
        <r>
          <rPr>
            <b/>
            <sz val="8"/>
            <color indexed="81"/>
            <rFont val="Tahoma"/>
            <family val="2"/>
          </rPr>
          <t xml:space="preserve">Rosa:
</t>
        </r>
        <r>
          <rPr>
            <sz val="8"/>
            <color indexed="81"/>
            <rFont val="Tahoma"/>
            <family val="2"/>
          </rPr>
          <t xml:space="preserve">Info Alberto 16/03/21:
12500 E de anualidad Mktint 
Fra del 17/03/21
Cobro previsto: Abril
Info de Alberto 19/05/21: Emitir fra de abono y nueva fra por la misma cantidad, con fecha de vencimiento 01 de agosto. 
Fra de abono del 21/05/21
Fra del 21/05/21
Cobro previsto: 01/08/21.
Cobro:27/08/21.
</t>
        </r>
      </text>
    </comment>
    <comment ref="BL19" authorId="3" shapeId="0" xr:uid="{44F85890-3293-45E7-9AE3-953CE9DE5AF0}">
      <text>
        <r>
          <rPr>
            <b/>
            <sz val="9"/>
            <color indexed="81"/>
            <rFont val="Tahoma"/>
            <family val="2"/>
          </rPr>
          <t>Rosa:
Info Alberto 10/01/22:</t>
        </r>
        <r>
          <rPr>
            <sz val="9"/>
            <color indexed="81"/>
            <rFont val="Tahoma"/>
            <family val="2"/>
          </rPr>
          <t xml:space="preserve">
11500€: Emitir a principios de febrero segunda anualidad ya que el contrato era por 2 años
Fra del 04/02/22
Fecha prevista: febrero
24/03/22: Info Alberto: Realizarán el pago en agosto
08/09/22: Realizarán el pago la próxima semana
Abonado: 27/09/22.</t>
        </r>
      </text>
    </comment>
    <comment ref="BV19" authorId="3" shapeId="0" xr:uid="{637B88AE-DDAE-442D-A2ED-3D63C99C501A}">
      <text>
        <r>
          <rPr>
            <b/>
            <sz val="9"/>
            <color indexed="81"/>
            <rFont val="Tahoma"/>
            <family val="2"/>
          </rPr>
          <t>Info Alberto 20/01/23:</t>
        </r>
        <r>
          <rPr>
            <sz val="9"/>
            <color indexed="81"/>
            <rFont val="Tahoma"/>
            <family val="2"/>
          </rPr>
          <t xml:space="preserve">
12000€: Emitir a finales de febrero con periodo del 1/03 al 28/02
Fra del 01/03/23
Fecha prevista: Agosto
23/02/23: Preguntado a Alberto si realizarán el pago en agosto como años anteriores
10/07/23: Comunicado por ellos que realizaron el pago la semana pasada, solicitado justificante de transferencia
11/07/23: Enviada copia transferencia realizada hoy mismo
Abonado Caixa: 11/07/23
</t>
        </r>
      </text>
    </comment>
    <comment ref="CJ19" authorId="3" shapeId="0" xr:uid="{9F86465E-8B0E-40BC-9D91-9B1FF9A90428}">
      <text>
        <r>
          <rPr>
            <sz val="9"/>
            <color indexed="81"/>
            <rFont val="Tahoma"/>
            <family val="2"/>
          </rPr>
          <t xml:space="preserve">12000€ de anualidad Mktint
El contrato es por 2 años
Preguntar a Alberto si podemos realizar fra, Ok Alberto
Fra del 11/03/24
Cobro previsto: agosto
Abonado Caixa: 
</t>
        </r>
      </text>
    </comment>
    <comment ref="T20" authorId="1" shapeId="0" xr:uid="{00000000-0006-0000-0100-000022000000}">
      <text>
        <r>
          <rPr>
            <b/>
            <sz val="8"/>
            <color indexed="81"/>
            <rFont val="Tahoma"/>
            <family val="2"/>
          </rPr>
          <t>alfonso:</t>
        </r>
        <r>
          <rPr>
            <sz val="8"/>
            <color indexed="81"/>
            <rFont val="Tahoma"/>
            <family val="2"/>
          </rPr>
          <t xml:space="preserve">
factura de abril por 8000 USD</t>
        </r>
      </text>
    </comment>
    <comment ref="AI20" authorId="1" shapeId="0" xr:uid="{00000000-0006-0000-0100-000023000000}">
      <text>
        <r>
          <rPr>
            <b/>
            <sz val="8"/>
            <color indexed="81"/>
            <rFont val="Tahoma"/>
            <family val="2"/>
          </rPr>
          <t>Rosa:</t>
        </r>
        <r>
          <rPr>
            <sz val="8"/>
            <color indexed="81"/>
            <rFont val="Tahoma"/>
            <family val="2"/>
          </rPr>
          <t xml:space="preserve">
4000 USD de anualidad Mktint 
Fra: 26/05/20
Cobro previsto: Junio Cta Ebury
Info Alberto 17/07/20: Este cobro debe de entrar en cuenta el 3-4/08/20
Abonado Ebury: 24/07/20</t>
        </r>
      </text>
    </comment>
    <comment ref="AT20" authorId="2" shapeId="0" xr:uid="{DA46DF50-7BAC-4724-8350-40912ED06578}">
      <text>
        <r>
          <rPr>
            <sz val="9"/>
            <color indexed="81"/>
            <rFont val="Tahoma"/>
            <family val="2"/>
          </rPr>
          <t>5000 USD de anualidad Mktint 
Fra: 22/04/21
Cobro previsto: Mayo.
Cobro: abonado en caixa Nixal USD el 07/05/21.</t>
        </r>
      </text>
    </comment>
    <comment ref="BH20" authorId="2" shapeId="0" xr:uid="{57E31EF6-E040-4D9C-849C-7CB80248D780}">
      <text>
        <r>
          <rPr>
            <sz val="9"/>
            <color indexed="81"/>
            <rFont val="Tahoma"/>
            <family val="2"/>
          </rPr>
          <t>Info Alberto 10/05/22:
6000 USD de anualidad Mktint. * 2 años (el contrato es por 2 años)
Fra del 11/05/22.
Cobro previsto: junio
Abonado Cta VFX en USD: 06/06/22
Tc: 1,0726</t>
        </r>
      </text>
    </comment>
    <comment ref="BS20" authorId="2" shapeId="0" xr:uid="{5518FC6D-7533-4B7A-B209-563576D256AE}">
      <text>
        <r>
          <rPr>
            <sz val="9"/>
            <color indexed="81"/>
            <rFont val="Tahoma"/>
            <family val="2"/>
          </rPr>
          <t xml:space="preserve">Info Alberto 10/05/22:
6000 USD de anualidad Mktint. * 2 años (el contrato es por 2 años)
OK Alberto emitir ya fra
Fra del 15/03/23
Cobro previsto: Abril
Abonado Cta VFX en USD: 05/04/23
Tc: 1,0940
</t>
        </r>
      </text>
    </comment>
    <comment ref="AL21" authorId="1" shapeId="0" xr:uid="{00000000-0006-0000-0100-000024000000}">
      <text>
        <r>
          <rPr>
            <b/>
            <sz val="8"/>
            <color indexed="81"/>
            <rFont val="Tahoma"/>
            <family val="2"/>
          </rPr>
          <t>Rosa:</t>
        </r>
        <r>
          <rPr>
            <sz val="8"/>
            <color indexed="81"/>
            <rFont val="Tahoma"/>
            <family val="2"/>
          </rPr>
          <t xml:space="preserve">
22000 EUR de anualidad Mktint
Fra del 30/03/20
Cobro previsto: abril
Reenviada a Alberto: 10/07/20
Fra de abono: 06/08/20
Fra del 06/08/20
Abonado Caixa: 07/09/20</t>
        </r>
      </text>
    </comment>
    <comment ref="AV21" authorId="2" shapeId="0" xr:uid="{E4F98FD5-97B8-4C6B-BA8E-505781524741}">
      <text>
        <r>
          <rPr>
            <sz val="9"/>
            <color indexed="81"/>
            <rFont val="Tahoma"/>
            <family val="2"/>
          </rPr>
          <t>22000 USD de anualidad Mktint.
Info de Alberto 20/04/21: Emitir factura el 15 de mayo. Ya esta creada y guardada como 2021-RAI-001 errónea
Fra del 15/05/21.
Fra del 24/06/21 de abono. 
Fra del 24/06/21 (mismas condiciones). 
Cobro previsto: julio.
Cobro: en VFX el 23/07/21.</t>
        </r>
      </text>
    </comment>
    <comment ref="BF21" authorId="2" shapeId="0" xr:uid="{0EEA6718-95D4-4937-B560-1F16766C81D1}">
      <text>
        <r>
          <rPr>
            <sz val="9"/>
            <color indexed="81"/>
            <rFont val="Tahoma"/>
            <family val="2"/>
          </rPr>
          <t>22000 USD de anualidad Mktint.
Fra del 11/03/22.
Cobro previsto: abril.
Cobro en VFX el 20/04/22.
Tc: 1,083</t>
        </r>
      </text>
    </comment>
    <comment ref="BR21" authorId="2" shapeId="0" xr:uid="{28B28680-78ED-4161-8230-1586C25A4543}">
      <text>
        <r>
          <rPr>
            <sz val="9"/>
            <color indexed="81"/>
            <rFont val="Tahoma"/>
            <family val="2"/>
          </rPr>
          <t>22000 USD de anualidad Mktint.
Fra del 15/03/23.
Cobro previsto: abril.
Abonado Cta VFX en USD: 31/03/23
Tc: 1,0875</t>
        </r>
      </text>
    </comment>
    <comment ref="CF21" authorId="2" shapeId="0" xr:uid="{8EECC192-0001-4DEC-B3FE-B85E7ACE7233}">
      <text>
        <r>
          <rPr>
            <sz val="9"/>
            <color indexed="81"/>
            <rFont val="Tahoma"/>
            <family val="2"/>
          </rPr>
          <t xml:space="preserve">22000 USD de anualidad Mktint.
Info Alberto 20/02/24: Facturar a partir de 1 abril y enviar la factura directamente 
Fra del 
</t>
        </r>
      </text>
    </comment>
    <comment ref="AM22" authorId="1" shapeId="0" xr:uid="{00000000-0006-0000-0100-000025000000}">
      <text>
        <r>
          <rPr>
            <b/>
            <sz val="8"/>
            <color indexed="81"/>
            <rFont val="Tahoma"/>
            <family val="2"/>
          </rPr>
          <t>Rosa:</t>
        </r>
        <r>
          <rPr>
            <sz val="8"/>
            <color indexed="81"/>
            <rFont val="Tahoma"/>
            <family val="2"/>
          </rPr>
          <t xml:space="preserve">
15000 E de anualidad Mktint 
Fra: 23/03/20 Incluida en sistema de Repsol el 25/05/20
Cobro previsto: mayo
Abonado Caixa: 15/10/20</t>
        </r>
      </text>
    </comment>
    <comment ref="AT22" authorId="1" shapeId="0" xr:uid="{00000000-0006-0000-0100-000026000000}">
      <text>
        <r>
          <rPr>
            <b/>
            <sz val="8"/>
            <color indexed="81"/>
            <rFont val="Tahoma"/>
            <family val="2"/>
          </rPr>
          <t>Rosa:</t>
        </r>
        <r>
          <rPr>
            <sz val="8"/>
            <color indexed="81"/>
            <rFont val="Tahoma"/>
            <family val="2"/>
          </rPr>
          <t xml:space="preserve">
15000 E de anualidad Mktint 
Fra: 03/03/21
Cobro previsto: marzo.
Cobro: Abonado el 27/05/21 en Caixa Nixal. </t>
        </r>
      </text>
    </comment>
    <comment ref="BD22" authorId="1" shapeId="0" xr:uid="{1EA93B6E-2592-4B2D-9085-64C6ACEDAD1D}">
      <text>
        <r>
          <rPr>
            <sz val="8"/>
            <color indexed="81"/>
            <rFont val="Tahoma"/>
            <family val="2"/>
          </rPr>
          <t>3750€+IVA= 4537,50€
Factura 2 de 2 por el 25% de 15.000 Euros, correspondientes al trabajo “Biocombustibles en Brasil: situación actual, evolución futura y posibilidades de negocio.
Fra del 14/12/21
Cobro previsto: enero.
24/02/22: Reclamado por Alberto
Abonado Caixa: 25/02/22</t>
        </r>
      </text>
    </comment>
    <comment ref="BH22" authorId="1" shapeId="0" xr:uid="{30302310-72AC-457C-A96B-B9542A9C2471}">
      <text>
        <r>
          <rPr>
            <b/>
            <sz val="8"/>
            <color indexed="81"/>
            <rFont val="Tahoma"/>
            <family val="2"/>
          </rPr>
          <t>Rosa:</t>
        </r>
        <r>
          <rPr>
            <sz val="8"/>
            <color indexed="81"/>
            <rFont val="Tahoma"/>
            <family val="2"/>
          </rPr>
          <t xml:space="preserve">
15000 E de anualidad Mktint 
Fra: 07/04/22
Cobro previsto: mayo
Abonado Caixa: 04/06/22</t>
        </r>
      </text>
    </comment>
    <comment ref="BS22" authorId="1" shapeId="0" xr:uid="{C55041FA-5219-4C1A-85EE-8A001D3EB501}">
      <text>
        <r>
          <rPr>
            <b/>
            <sz val="8"/>
            <color indexed="81"/>
            <rFont val="Tahoma"/>
            <family val="2"/>
          </rPr>
          <t>Info Alberto 14/02/23:</t>
        </r>
        <r>
          <rPr>
            <sz val="8"/>
            <color indexed="81"/>
            <rFont val="Tahoma"/>
            <family val="2"/>
          </rPr>
          <t xml:space="preserve">
16500 E de anualidad Mktint 
Fra del 22/02/23
Cobro previsto: Marzo
Abonado Caixa: 21/04/23</t>
        </r>
      </text>
    </comment>
    <comment ref="CG22" authorId="1" shapeId="0" xr:uid="{79ACD9DA-F352-447E-BB94-7FAD6851C198}">
      <text>
        <r>
          <rPr>
            <b/>
            <sz val="8"/>
            <color indexed="81"/>
            <rFont val="Tahoma"/>
            <family val="2"/>
          </rPr>
          <t>Info Alberto 14/03/24:</t>
        </r>
        <r>
          <rPr>
            <sz val="8"/>
            <color indexed="81"/>
            <rFont val="Tahoma"/>
            <family val="2"/>
          </rPr>
          <t xml:space="preserve">
16900 E de anualidad Mktint 
Fra del 19/03/24
Cobro previsto: Mayo
Abonado Caixa: </t>
        </r>
      </text>
    </comment>
    <comment ref="AG23" authorId="1" shapeId="0" xr:uid="{00000000-0006-0000-0100-000027000000}">
      <text>
        <r>
          <rPr>
            <b/>
            <sz val="8"/>
            <color indexed="81"/>
            <rFont val="Tahoma"/>
            <family val="2"/>
          </rPr>
          <t>Rosa:</t>
        </r>
        <r>
          <rPr>
            <sz val="8"/>
            <color indexed="81"/>
            <rFont val="Tahoma"/>
            <family val="2"/>
          </rPr>
          <t xml:space="preserve">
9000 USD de anualidad Mktint 
Fra: 11/05/20
Cobro previsto: Mayo
Recibido Cta Ebury: 15/05/20</t>
        </r>
      </text>
    </comment>
    <comment ref="BI24" authorId="2" shapeId="0" xr:uid="{A35ABE17-F218-4103-BBC8-3D212AC58DAE}">
      <text>
        <r>
          <rPr>
            <sz val="9"/>
            <color indexed="81"/>
            <rFont val="Tahoma"/>
            <family val="2"/>
          </rPr>
          <t>Info Alberto 20/04/22:
30000 USD de anualidad Mktint. * 2 años (el contrato es por 2 años)
15000 USD: Fra 1 de 2
Fra del 21/04/22.
Cobro previsto: mayo
Abonado Cta VFX en USD el 14/07/22
Tc: 1,0005</t>
        </r>
      </text>
    </comment>
    <comment ref="BM24" authorId="2" shapeId="0" xr:uid="{173A17F9-D8CA-47D8-A850-29B9A34CA11A}">
      <text>
        <r>
          <rPr>
            <sz val="9"/>
            <color indexed="81"/>
            <rFont val="Tahoma"/>
            <family val="2"/>
          </rPr>
          <t>Info Alberto 20/04/22:
30000 USD de anualidad Mktint. * 2 años  (el contrato es por 2 años)
15000 USD: Fra 2 de 2
Emitir fra en octubre, preguntar a Alberto
Enviar ya
Fra del 14/09/22
Cobro previsto: Octubre
Abonado Cta VFX en USD el 27/10/22
Tc: 1,0037</t>
        </r>
      </text>
    </comment>
    <comment ref="BS24" authorId="2" shapeId="0" xr:uid="{150AC253-C7A6-43BC-A19E-FCE81FCF83E8}">
      <text>
        <r>
          <rPr>
            <sz val="9"/>
            <color indexed="81"/>
            <rFont val="Tahoma"/>
            <family val="2"/>
          </rPr>
          <t>Info Alberto 20/04/22:
30000 USD de anualidad Mktint. * 2 años  (el contrato es por 2 años)
15000 USD: Fra 1 de 2
Fra del 16/03/23.
Cobro previsto: mayo
Abonado VFX USD: 21/04/23
Tc: 1,0978</t>
        </r>
      </text>
    </comment>
    <comment ref="CA24" authorId="2" shapeId="0" xr:uid="{CF1C2201-35D0-457C-96EC-87FCAA4F3712}">
      <text>
        <r>
          <rPr>
            <sz val="9"/>
            <color indexed="81"/>
            <rFont val="Tahoma"/>
            <family val="2"/>
          </rPr>
          <t>Info Alberto 20/04/22:
30000 USD de anualidad Mktint. * 2 años  (el contrato es por 2 años)
15000 USD: Fra 2 de 2
Emitir fra en octubre, preguntar a Alberto
Fra del 26/09/23
Cobro previsto: Octubre
Abonado VFX USD: 06/11/23
Tc: 1,0741</t>
        </r>
      </text>
    </comment>
    <comment ref="BI25" authorId="2" shapeId="0" xr:uid="{239A0A36-B007-48B4-9AF6-313781E4E2CE}">
      <text>
        <r>
          <rPr>
            <sz val="9"/>
            <color indexed="81"/>
            <rFont val="Tahoma"/>
            <family val="2"/>
          </rPr>
          <t>Info Alberto 20/04/22:
10000 USD de anualidad Mktint.
5000 USD: Fra 1 de 2
Fra del 21/04/22.
Cobro previsto: mayo
Abonado Cta VFX en USD el 01/07/22
Tc: 1,0425</t>
        </r>
      </text>
    </comment>
    <comment ref="BM25" authorId="2" shapeId="0" xr:uid="{124DCBF6-030F-4DEF-AB3C-B3CF058D4A85}">
      <text>
        <r>
          <rPr>
            <sz val="9"/>
            <color indexed="81"/>
            <rFont val="Tahoma"/>
            <family val="2"/>
          </rPr>
          <t>Info Alberto 20/04/22:
10000 USD de anualidad Mktint.
5000 USD: Fra 2 de 2
Emitir fra en octubre, preguntar a Alberto
Enviar ya
Fra del 14/09/22
Cobro previsto: Octubre
Abonado Cta VFX en USD el 06/10/22
Tc: 0,9860</t>
        </r>
      </text>
    </comment>
    <comment ref="BU25" authorId="2" shapeId="0" xr:uid="{5A5DB203-0F96-440C-AC0C-D7848310DFB9}">
      <text>
        <r>
          <rPr>
            <sz val="9"/>
            <color indexed="81"/>
            <rFont val="Tahoma"/>
            <family val="2"/>
          </rPr>
          <t>Info Alberto 20/04/22:
10000 USD de anualidad Mktint.
5000 USD: Fra 1 de 2
Fra del 16/03/23.
Cobro previsto: mayo
Abonado Cta VFX USD: 27/06/23
Tc: 1,0951</t>
        </r>
      </text>
    </comment>
    <comment ref="BZ25" authorId="2" shapeId="0" xr:uid="{6D6A65FA-0892-49E3-A533-5B8BE8121D5C}">
      <text>
        <r>
          <rPr>
            <sz val="9"/>
            <color indexed="81"/>
            <rFont val="Tahoma"/>
            <family val="2"/>
          </rPr>
          <t>Info Alberto 20/04/22:
10000 USD de anualidad Mktint. * 2 años  (el contrato es por 2 años)
5000 USD: Fra 2 de 2
Emitir fra en octubre, preguntar a Alberto
Fra del 26/09/23
Cobro previsto: Octubre
Abonado Cta VFX USD: 02/10/23 por importe de 4.985 USD
Llegan 15 USD menos
Tc: 1,053
15 USD: Abonado VFX USD: 16/10/23
Tc: 1,0538</t>
        </r>
      </text>
    </comment>
    <comment ref="AG26" authorId="1" shapeId="0" xr:uid="{00000000-0006-0000-0100-000028000000}">
      <text>
        <r>
          <rPr>
            <b/>
            <sz val="8"/>
            <color indexed="81"/>
            <rFont val="Tahoma"/>
            <family val="2"/>
          </rPr>
          <t>Rosa:</t>
        </r>
        <r>
          <rPr>
            <sz val="8"/>
            <color indexed="81"/>
            <rFont val="Tahoma"/>
            <family val="2"/>
          </rPr>
          <t xml:space="preserve">
12500 E de anualidad Mktint 
Fra: 24/04/20
Cobro previsto: mayo
Abonado: 14/05/20</t>
        </r>
      </text>
    </comment>
    <comment ref="AW26" authorId="2" shapeId="0" xr:uid="{2586734E-D970-42F2-BD60-F8615F5FE63C}">
      <text>
        <r>
          <rPr>
            <sz val="9"/>
            <color indexed="81"/>
            <rFont val="Tahoma"/>
            <family val="2"/>
          </rPr>
          <t xml:space="preserve">Eliminamos 12.500 de pevision de Varo. Mail de Alberto del 19/08/21 donde nos indica que no van a renovar contrato. </t>
        </r>
      </text>
    </comment>
    <comment ref="AG27" authorId="1" shapeId="0" xr:uid="{00000000-0006-0000-0100-000029000000}">
      <text>
        <r>
          <rPr>
            <b/>
            <sz val="8"/>
            <color indexed="81"/>
            <rFont val="Tahoma"/>
            <family val="2"/>
          </rPr>
          <t>alfonso:</t>
        </r>
        <r>
          <rPr>
            <sz val="8"/>
            <color indexed="81"/>
            <rFont val="Tahoma"/>
            <family val="2"/>
          </rPr>
          <t xml:space="preserve">
factura de un año de servicio de contrato firmado por dos años
Fra: 11/11/19
Cobro previsto: diciembre
Realizamos fra de abono para compensar fra de 2019 y emitimos nueva fra con fecha: 22/04/20
Cobro previsto: mayo
Abonado Caixa: 22/05/20</t>
        </r>
      </text>
    </comment>
    <comment ref="AN27" authorId="0" shapeId="0" xr:uid="{00000000-0006-0000-0100-00002A000000}">
      <text>
        <r>
          <rPr>
            <b/>
            <sz val="9"/>
            <color indexed="81"/>
            <rFont val="Tahoma"/>
            <family val="2"/>
          </rPr>
          <t>Rosa:</t>
        </r>
        <r>
          <rPr>
            <sz val="9"/>
            <color indexed="81"/>
            <rFont val="Tahoma"/>
            <family val="2"/>
          </rPr>
          <t xml:space="preserve">
factura de un año de servicio de contrato firmado por dos años en 2019
Fra: 10/11/20
Cobro previsto: noviembre
Abonado Caixa: 24/11/20 
</t>
        </r>
      </text>
    </comment>
    <comment ref="BA27" authorId="2" shapeId="0" xr:uid="{50ADA8FE-E1F9-4BB6-BBFF-77BFC8829207}">
      <text>
        <r>
          <rPr>
            <b/>
            <sz val="9"/>
            <color indexed="81"/>
            <rFont val="Tahoma"/>
            <family val="2"/>
          </rPr>
          <t xml:space="preserve">Info Alberto 21/09/21:
Fecha del contrato: 05/10/21. 
</t>
        </r>
        <r>
          <rPr>
            <sz val="9"/>
            <color indexed="81"/>
            <rFont val="Tahoma"/>
            <family val="2"/>
          </rPr>
          <t>factura de un año de servicio de contrato firmado por tres años
Factura del 05/10/21
Cobro fra: Octubre 2021.
Abonado Caixa: 25/11/21</t>
        </r>
      </text>
    </comment>
    <comment ref="BN27" authorId="2" shapeId="0" xr:uid="{B46C4284-D841-408C-98AC-B20117FB5391}">
      <text>
        <r>
          <rPr>
            <b/>
            <sz val="9"/>
            <color indexed="81"/>
            <rFont val="Tahoma"/>
            <family val="2"/>
          </rPr>
          <t xml:space="preserve">Info Alberto 21/09/21:
Fecha del contrato: 01/10/21. 
</t>
        </r>
        <r>
          <rPr>
            <sz val="9"/>
            <color indexed="81"/>
            <rFont val="Tahoma"/>
            <family val="2"/>
          </rPr>
          <t>factura de un año de servicio de contrato firmado por tres años
Enviar 01/10/22
Fra del 04/10/2022
Cobro previsto: Octubre
Cobro: 24/11/22.</t>
        </r>
      </text>
    </comment>
    <comment ref="CA27" authorId="2" shapeId="0" xr:uid="{3E42FC6B-3E17-4B5B-B581-590D7B8CF0A7}">
      <text>
        <r>
          <rPr>
            <b/>
            <sz val="9"/>
            <color indexed="81"/>
            <rFont val="Tahoma"/>
            <family val="2"/>
          </rPr>
          <t xml:space="preserve">Info Alberto 21/09/21:
Fecha del contrato: 01/10/21. 
</t>
        </r>
        <r>
          <rPr>
            <sz val="9"/>
            <color indexed="81"/>
            <rFont val="Tahoma"/>
            <family val="2"/>
          </rPr>
          <t>factura de un año de servicio de contrato firmado por tres años
¿Enviamos fra 01/10/23?
Ok Alberto: Enviar ya
Fra del 26/09/23
Cobro previsto: Octubre
24/10/23: Enviada fra con nuevo VAT y de abono
Cobro previsto: Noviembre
Abonado Caixa: 10/11/23</t>
        </r>
      </text>
    </comment>
    <comment ref="V28" authorId="1" shapeId="0" xr:uid="{00000000-0006-0000-0100-00002B000000}">
      <text>
        <r>
          <rPr>
            <b/>
            <sz val="9"/>
            <color indexed="81"/>
            <rFont val="Tahoma"/>
            <family val="2"/>
          </rPr>
          <t>alfonso:</t>
        </r>
        <r>
          <rPr>
            <sz val="9"/>
            <color indexed="81"/>
            <rFont val="Tahoma"/>
            <family val="2"/>
          </rPr>
          <t xml:space="preserve">
factura no pasada por Alberto a Sinver. Acordado ponerla en IS 2019 para a Iva declaradas en Enero de 2020. No lleva IVA asi que no debe llevar sanción</t>
        </r>
      </text>
    </comment>
    <comment ref="AJ28" authorId="1" shapeId="0" xr:uid="{00000000-0006-0000-0100-00002C000000}">
      <text>
        <r>
          <rPr>
            <b/>
            <sz val="8"/>
            <color indexed="81"/>
            <rFont val="Tahoma"/>
            <family val="2"/>
          </rPr>
          <t>Rosa:</t>
        </r>
        <r>
          <rPr>
            <sz val="8"/>
            <color indexed="81"/>
            <rFont val="Tahoma"/>
            <family val="2"/>
          </rPr>
          <t xml:space="preserve">
12500 E de anualidad Mktint 
Fra: 06/07/20
Cobro previsto: julio
Abonado Caixa: 03/08/20</t>
        </r>
      </text>
    </comment>
    <comment ref="AV28" authorId="2" shapeId="0" xr:uid="{C514C3A9-2761-4919-BFC1-626556B49E7D}">
      <text>
        <r>
          <rPr>
            <sz val="9"/>
            <color indexed="81"/>
            <rFont val="Tahoma"/>
            <family val="2"/>
          </rPr>
          <t>Info alberto 07/05/21: Emitir fatura el día 01/06/21 con renovación. 
Fra del 01/06/21
Cobro previsto: Junio. 
Abonado: 01/07/21</t>
        </r>
      </text>
    </comment>
    <comment ref="BL28" authorId="1" shapeId="0" xr:uid="{FA069319-E572-4AFD-AA5F-3AAAEA4E301E}">
      <text>
        <r>
          <rPr>
            <b/>
            <sz val="8"/>
            <color indexed="81"/>
            <rFont val="Tahoma"/>
            <family val="2"/>
          </rPr>
          <t>Rosa:</t>
        </r>
        <r>
          <rPr>
            <sz val="8"/>
            <color indexed="81"/>
            <rFont val="Tahoma"/>
            <family val="2"/>
          </rPr>
          <t xml:space="preserve">
12500 E de anualidad Mktint 
Fra: 03/06/22
Cobro previsto: Junio
Abonado Caixa: 20/09/22</t>
        </r>
      </text>
    </comment>
    <comment ref="BW28" authorId="1" shapeId="0" xr:uid="{F067AF99-5BA4-4C30-9006-CF5AA206F6A1}">
      <text>
        <r>
          <rPr>
            <sz val="8"/>
            <color indexed="81"/>
            <rFont val="Tahoma"/>
            <family val="2"/>
          </rPr>
          <t xml:space="preserve">
14000 E de anualidad Mktint 
Fra: 27/06/23
Cobro previsto: Julio
14/07/23: Reclamada por Alberto
RE: El pago lo realizarán el 31/07/23
Abonado Cta VFX en € el 04/08/23</t>
        </r>
      </text>
    </comment>
    <comment ref="Y29" authorId="1" shapeId="0" xr:uid="{00000000-0006-0000-0100-00002D000000}">
      <text>
        <r>
          <rPr>
            <b/>
            <sz val="8"/>
            <color indexed="81"/>
            <rFont val="Tahoma"/>
            <family val="2"/>
          </rPr>
          <t>alfonso:</t>
        </r>
        <r>
          <rPr>
            <sz val="8"/>
            <color indexed="81"/>
            <rFont val="Tahoma"/>
            <family val="2"/>
          </rPr>
          <t xml:space="preserve">
factura de mayo o junio.
14.10.19 Alberto da toque para cobro</t>
        </r>
      </text>
    </comment>
    <comment ref="AH29" authorId="1" shapeId="0" xr:uid="{00000000-0006-0000-0100-00002E000000}">
      <text>
        <r>
          <rPr>
            <b/>
            <sz val="8"/>
            <color indexed="81"/>
            <rFont val="Tahoma"/>
            <family val="2"/>
          </rPr>
          <t>Rosa:</t>
        </r>
        <r>
          <rPr>
            <sz val="8"/>
            <color indexed="81"/>
            <rFont val="Tahoma"/>
            <family val="2"/>
          </rPr>
          <t xml:space="preserve">
6000 E de anualidad Mktint 
Fra: 01/06/20
Cobro previsto: junio
Abonado Caixa: 15/06/20</t>
        </r>
      </text>
    </comment>
    <comment ref="BA29" authorId="1" shapeId="0" xr:uid="{C3D78CC1-64C6-4423-9420-C6538B0D30F0}">
      <text>
        <r>
          <rPr>
            <b/>
            <sz val="8"/>
            <color indexed="81"/>
            <rFont val="Tahoma"/>
            <family val="2"/>
          </rPr>
          <t>Rosa:</t>
        </r>
        <r>
          <rPr>
            <sz val="8"/>
            <color indexed="81"/>
            <rFont val="Tahoma"/>
            <family val="2"/>
          </rPr>
          <t xml:space="preserve">
8000 E de anualidad Mktint 
Fra: 20/10/21
Cobro previsto: noviembre
Abonado Caixa: 19/11/21</t>
        </r>
      </text>
    </comment>
    <comment ref="BH29" authorId="1" shapeId="0" xr:uid="{43491CB3-4ADF-482C-B051-7CAA8DFF4538}">
      <text>
        <r>
          <rPr>
            <b/>
            <sz val="8"/>
            <color indexed="81"/>
            <rFont val="Tahoma"/>
            <family val="2"/>
          </rPr>
          <t>Rosa:</t>
        </r>
        <r>
          <rPr>
            <sz val="8"/>
            <color indexed="81"/>
            <rFont val="Tahoma"/>
            <family val="2"/>
          </rPr>
          <t xml:space="preserve">
8000 E de anualidad Mktint 
Fra: 16/05/22
Cobro previsto: Junio
Abonado Caixa: 02/06/22</t>
        </r>
      </text>
    </comment>
    <comment ref="BW29" authorId="1" shapeId="0" xr:uid="{EAA3F575-E08E-4C20-AD0A-A7BFD5B2E407}">
      <text>
        <r>
          <rPr>
            <b/>
            <sz val="8"/>
            <color indexed="81"/>
            <rFont val="Tahoma"/>
            <family val="2"/>
          </rPr>
          <t>Rosa:</t>
        </r>
        <r>
          <rPr>
            <sz val="8"/>
            <color indexed="81"/>
            <rFont val="Tahoma"/>
            <family val="2"/>
          </rPr>
          <t xml:space="preserve">
12000€ de anualidad Mktint 
Fra: 10/07/23
Cobro previsto: Agosto
Abonado Caixa: 01/08/23</t>
        </r>
      </text>
    </comment>
    <comment ref="AN30" authorId="1" shapeId="0" xr:uid="{00000000-0006-0000-0100-00002F000000}">
      <text>
        <r>
          <rPr>
            <b/>
            <sz val="8"/>
            <color indexed="81"/>
            <rFont val="Tahoma"/>
            <family val="2"/>
          </rPr>
          <t>Rosa:</t>
        </r>
        <r>
          <rPr>
            <sz val="8"/>
            <color indexed="81"/>
            <rFont val="Tahoma"/>
            <family val="2"/>
          </rPr>
          <t xml:space="preserve">
12500 E de anualidad Mktint 
Fra: 09/10/20
Cobro previsto: octubre
Abonado Caixa: 02/11/20</t>
        </r>
      </text>
    </comment>
    <comment ref="BA30" authorId="1" shapeId="0" xr:uid="{CB86299E-B45D-482A-8B27-373A8F10A9A7}">
      <text>
        <r>
          <rPr>
            <b/>
            <sz val="8"/>
            <color indexed="81"/>
            <rFont val="Tahoma"/>
            <family val="2"/>
          </rPr>
          <t>Rosa:</t>
        </r>
        <r>
          <rPr>
            <sz val="8"/>
            <color indexed="81"/>
            <rFont val="Tahoma"/>
            <family val="2"/>
          </rPr>
          <t xml:space="preserve">
12500 E de anualidad Mktint 
Fra: 15/11/21
Cobro previsto: diciembre
Abonado Caixa: 19/11/21</t>
        </r>
      </text>
    </comment>
    <comment ref="BN30" authorId="1" shapeId="0" xr:uid="{AECFF7C4-CEDD-4CD2-8BB5-7D619880E2A0}">
      <text>
        <r>
          <rPr>
            <b/>
            <sz val="8"/>
            <color indexed="81"/>
            <rFont val="Tahoma"/>
            <family val="2"/>
          </rPr>
          <t>Rosa:</t>
        </r>
        <r>
          <rPr>
            <sz val="8"/>
            <color indexed="81"/>
            <rFont val="Tahoma"/>
            <family val="2"/>
          </rPr>
          <t xml:space="preserve">
12500 E de anualidad Mktint 
Fra: 19/10/22
Cobro previsto: noviembre
Abonado Caixa: 08/11/22</t>
        </r>
      </text>
    </comment>
    <comment ref="CB30" authorId="1" shapeId="0" xr:uid="{C12B42B8-D03F-4C7B-8658-A81B802E38CE}">
      <text>
        <r>
          <rPr>
            <b/>
            <sz val="8"/>
            <color indexed="81"/>
            <rFont val="Tahoma"/>
            <family val="2"/>
          </rPr>
          <t>Rosa:</t>
        </r>
        <r>
          <rPr>
            <sz val="8"/>
            <color indexed="81"/>
            <rFont val="Tahoma"/>
            <family val="2"/>
          </rPr>
          <t xml:space="preserve">
12500 E de anualidad Mktint 
Fra: 11/12/23
Cobro previsto: diciembre
Abonado Caixa: 14/12/23</t>
        </r>
      </text>
    </comment>
    <comment ref="CF30" authorId="1" shapeId="0" xr:uid="{C004A0BB-0828-4CFB-9ADE-63717D3F899F}">
      <text>
        <r>
          <rPr>
            <sz val="9"/>
            <color indexed="81"/>
            <rFont val="Tahoma"/>
            <family val="2"/>
          </rPr>
          <t xml:space="preserve">Info Alberto 24/01/24: Suscripción ARA Storage por 17.892 USD
Esto lo vamos a repercutir a cuatro clientes a partes iguales de 4.200 Eur cada uno (Vertex, Bioagra, Panonnia y Verbio 4.300€) Finalmt Sucden tb
Incluir en febrero
Info Alberto 07/02/24: 
Aditional coverage of Market Intelligence services por 4.200€
Fra del 07/02/24
Cobro previsto: febrero
Abonado Cta Caixa: 
</t>
        </r>
      </text>
    </comment>
    <comment ref="AD31" authorId="1" shapeId="0" xr:uid="{00000000-0006-0000-0100-000030000000}">
      <text>
        <r>
          <rPr>
            <b/>
            <sz val="8"/>
            <color indexed="81"/>
            <rFont val="Tahoma"/>
            <family val="2"/>
          </rPr>
          <t>alfonso:</t>
        </r>
        <r>
          <rPr>
            <sz val="8"/>
            <color indexed="81"/>
            <rFont val="Tahoma"/>
            <family val="2"/>
          </rPr>
          <t xml:space="preserve">
movido aquí de oct
</t>
        </r>
        <r>
          <rPr>
            <b/>
            <sz val="8"/>
            <color indexed="81"/>
            <rFont val="Tahoma"/>
            <family val="2"/>
          </rPr>
          <t xml:space="preserve">
rosa:
</t>
        </r>
        <r>
          <rPr>
            <sz val="8"/>
            <color indexed="81"/>
            <rFont val="Tahoma"/>
            <family val="2"/>
          </rPr>
          <t>4570,32 eu entran en banco
1 eu comision bancaria
Abonado: 24/02/20</t>
        </r>
      </text>
    </comment>
    <comment ref="AO31" authorId="3" shapeId="0" xr:uid="{00000000-0006-0000-0100-000031000000}">
      <text>
        <r>
          <rPr>
            <b/>
            <sz val="9"/>
            <color indexed="81"/>
            <rFont val="Tahoma"/>
            <family val="2"/>
          </rPr>
          <t>Rosa:
Info Alberto 14/07/20:</t>
        </r>
        <r>
          <rPr>
            <sz val="9"/>
            <color indexed="81"/>
            <rFont val="Tahoma"/>
            <family val="2"/>
          </rPr>
          <t xml:space="preserve">
5000 USD
Renovación de Marquis para otro año al mismo precio.
Emitir el 30/09/20 
Fra del 30/09/20
Cobro previsto: Octubre
Abonado Caixa: 02/12/20
4109,32 eu entran en banco
1 eu comision bancaria</t>
        </r>
      </text>
    </comment>
    <comment ref="AZ31" authorId="2" shapeId="0" xr:uid="{0EA65C17-8C4E-48BE-817E-E7CB7F8ECBFD}">
      <text>
        <r>
          <rPr>
            <sz val="9"/>
            <color indexed="81"/>
            <rFont val="Tahoma"/>
            <family val="2"/>
          </rPr>
          <t>Info Alberto 23/09/21:
7000 USD
Renovación de Marquis para otro año incremntado el precio a 7.000
Emitir el 30/09/21
Fra del 30/09/21 
Cobro en VFX: el 13/10/21 entra en VFX 5041,80 usd. No entra el importe total de la factura porque el pago lo realizaron es SGD. 
Tc: 1,1603
Pndte de ingreso: 1,958.20 USD
1933,20 USD: Ingresado en VFX: 22/10/21
Tc: 1,1603
25 USD ingresado de menos</t>
        </r>
      </text>
    </comment>
    <comment ref="BR31" authorId="2" shapeId="0" xr:uid="{E4C4CF40-6BAF-47BA-BA65-5892D31C4E35}">
      <text>
        <r>
          <rPr>
            <sz val="9"/>
            <color indexed="81"/>
            <rFont val="Tahoma"/>
            <family val="2"/>
          </rPr>
          <t>Info Alberto 30/11/22:
10.000 USD
Renovación de Marquis para otro año incrementado el precio a 10.000 USD
Fra del 01/12/22 
Cobro previsto: Diciembre
Reclamada 22/02/23
Cobro en VFX: el 07/03/23 entra en VFX 9,708.56 USD. No entra el importe total de la factura porque el pago lo realizaron en GBP, RE Nadia
Tc: 1,0586
Pndte de ingreso: 291,44 USD</t>
        </r>
      </text>
    </comment>
    <comment ref="BS31" authorId="2" shapeId="0" xr:uid="{E6705075-E593-473C-9F4E-B46F7C5F1EF5}">
      <text>
        <r>
          <rPr>
            <sz val="9"/>
            <color indexed="81"/>
            <rFont val="Tahoma"/>
            <family val="2"/>
          </rPr>
          <t>Info Alberto 30/11/22:
10.000 USD
Renovación de Marquis para otro año incrementado el precio a 10.000 USD
Fra del 01/12/22 
Cobro previsto: Diciembre
Reclamada 22/02/23
Cobro en VFX: el 07/03/23 entra en VFX 9,708.56 USD. No entra el importe total de la factura porque el pago lo realizaron en GBP, RE Nadia
Tc: 1,0972
Pndte de ingreso: 291,44 USD
Ingresado en VFX USD: 18/04/23</t>
        </r>
      </text>
    </comment>
    <comment ref="BZ31" authorId="2" shapeId="0" xr:uid="{428BBC44-307A-4C40-A41F-DD64E51F8820}">
      <text>
        <r>
          <rPr>
            <sz val="9"/>
            <color indexed="81"/>
            <rFont val="Tahoma"/>
            <family val="2"/>
          </rPr>
          <t>Info Alberto 03/10/23:
10.000 USD
Renovación de Marquis
Fra del 05/10/23 
Cobro previsto: Noviembre
Abonado Cta VFX USD: 17/10/23
Tc: 1,0569</t>
        </r>
      </text>
    </comment>
    <comment ref="AM32" authorId="1" shapeId="0" xr:uid="{00000000-0006-0000-0100-000032000000}">
      <text>
        <r>
          <rPr>
            <b/>
            <sz val="8"/>
            <color indexed="81"/>
            <rFont val="Tahoma"/>
            <family val="2"/>
          </rPr>
          <t>Rosa:</t>
        </r>
        <r>
          <rPr>
            <sz val="8"/>
            <color indexed="81"/>
            <rFont val="Tahoma"/>
            <family val="2"/>
          </rPr>
          <t xml:space="preserve">
12500 E +21% de anualidad Mktint 
Fra: 15/10/20
Cobro previsto: octubre
Abonado Caixa: 30/10/20</t>
        </r>
      </text>
    </comment>
    <comment ref="AZ32" authorId="1" shapeId="0" xr:uid="{9B779743-D507-4D5E-B3FC-95A1133BAEE1}">
      <text>
        <r>
          <rPr>
            <b/>
            <sz val="8"/>
            <color indexed="81"/>
            <rFont val="Tahoma"/>
            <family val="2"/>
          </rPr>
          <t>Rosa:</t>
        </r>
        <r>
          <rPr>
            <sz val="8"/>
            <color indexed="81"/>
            <rFont val="Tahoma"/>
            <family val="2"/>
          </rPr>
          <t xml:space="preserve">
12500 E +21% de anualidad Mktint 
Fra: 30/09/21
Cobro previsto: octubre
Abonado Caixa: 12/10/21</t>
        </r>
      </text>
    </comment>
    <comment ref="BN32" authorId="1" shapeId="0" xr:uid="{4666CDEE-0871-438F-A4AA-E377830E1538}">
      <text>
        <r>
          <rPr>
            <b/>
            <sz val="8"/>
            <color indexed="81"/>
            <rFont val="Tahoma"/>
            <family val="2"/>
          </rPr>
          <t>Rosa:</t>
        </r>
        <r>
          <rPr>
            <sz val="8"/>
            <color indexed="81"/>
            <rFont val="Tahoma"/>
            <family val="2"/>
          </rPr>
          <t xml:space="preserve">
12500 E +21% de anualidad Mktint 
Fra: 04/11/22
Cobro previsto: noviembre
Abonado Caixa: 17/11/22</t>
        </r>
      </text>
    </comment>
    <comment ref="CA32" authorId="1" shapeId="0" xr:uid="{A070D03C-570A-4108-9D4F-2FF1585DBDB4}">
      <text>
        <r>
          <rPr>
            <b/>
            <sz val="8"/>
            <color indexed="81"/>
            <rFont val="Tahoma"/>
            <family val="2"/>
          </rPr>
          <t>Rosa:</t>
        </r>
        <r>
          <rPr>
            <sz val="8"/>
            <color indexed="81"/>
            <rFont val="Tahoma"/>
            <family val="2"/>
          </rPr>
          <t xml:space="preserve">
13000 E +21% de anualidad Mktint 
Fra: 05/10/23
Cobro previsto: octubre
Abonado Caixa: 06/11/23</t>
        </r>
      </text>
    </comment>
    <comment ref="AF33" authorId="1" shapeId="0" xr:uid="{00000000-0006-0000-0100-000033000000}">
      <text>
        <r>
          <rPr>
            <b/>
            <sz val="8"/>
            <color indexed="81"/>
            <rFont val="Tahoma"/>
            <family val="2"/>
          </rPr>
          <t>Rosa:</t>
        </r>
        <r>
          <rPr>
            <sz val="8"/>
            <color indexed="81"/>
            <rFont val="Tahoma"/>
            <family val="2"/>
          </rPr>
          <t xml:space="preserve">
5000 USD de anualidad Mktint (1 de 4)
Fra del 10/01/20
Previsto cobro: enero 
5000 USD de anualidad Mktint (2 de 4)
Fra del 13/04/20
Previsto cobro: abril
Facilitada cta Ebury para pago pero lo realizan en Caixa
9074,41 eu entran en banco
Abonado Caixa: 15/04/20</t>
        </r>
      </text>
    </comment>
    <comment ref="AI33" authorId="1" shapeId="0" xr:uid="{00000000-0006-0000-0100-000034000000}">
      <text>
        <r>
          <rPr>
            <b/>
            <sz val="8"/>
            <color indexed="81"/>
            <rFont val="Tahoma"/>
            <family val="2"/>
          </rPr>
          <t>Rosa:</t>
        </r>
        <r>
          <rPr>
            <sz val="8"/>
            <color indexed="81"/>
            <rFont val="Tahoma"/>
            <family val="2"/>
          </rPr>
          <t xml:space="preserve">
5000 USD de anualidad Mktint (3 de 4)
Fra del 17/07/20
Cobro previsto: agosto
Facilitada cta Ebury para pago pero lo realizan en Caixa
4208,40 eu entran en banco
Abonado Caixa: 31/07/20</t>
        </r>
      </text>
    </comment>
    <comment ref="AT33" authorId="1" shapeId="0" xr:uid="{00000000-0006-0000-0100-000035000000}">
      <text>
        <r>
          <rPr>
            <b/>
            <sz val="8"/>
            <color indexed="81"/>
            <rFont val="Tahoma"/>
            <family val="2"/>
          </rPr>
          <t>Rosa:</t>
        </r>
        <r>
          <rPr>
            <sz val="8"/>
            <color indexed="81"/>
            <rFont val="Tahoma"/>
            <family val="2"/>
          </rPr>
          <t xml:space="preserve">
5000 USD de anualidad Mktint (4 de 4)
Fra del 13/10/20
Cobro previsto: octubre
Cobro: abonado en caixa Nixal USD el 06/05/21.
-------------------------------------------------------
3000 USD de anualidad Mktint (1 de 4)
Fra del 15/01/21
Cobro previsto: febrero
Cobro: abonado en caixa Nixal USD el 06/05/21.
--------------------------------------------------------
3000 USD de anualidad Mktint (2 de 4)
Fra del 23/04/21
Cobro previsto: mayo.
Cobro: abonado en caixa Nixal USD el 06/05/21.</t>
        </r>
      </text>
    </comment>
    <comment ref="AW33" authorId="1" shapeId="0" xr:uid="{00000000-0006-0000-0100-000037000000}">
      <text>
        <r>
          <rPr>
            <sz val="8"/>
            <color indexed="81"/>
            <rFont val="Tahoma"/>
            <family val="2"/>
          </rPr>
          <t xml:space="preserve">
3000 USD de anualidad Mktint (3 de 4)
Hacer Fra en julio
Fra del 05/07/21. 
Cobro previsto: julio. 
Abonado en Caixa USD:25/08/21.</t>
        </r>
      </text>
    </comment>
    <comment ref="BA33" authorId="1" shapeId="0" xr:uid="{00000000-0006-0000-0100-000038000000}">
      <text>
        <r>
          <rPr>
            <b/>
            <sz val="8"/>
            <color indexed="81"/>
            <rFont val="Tahoma"/>
            <family val="2"/>
          </rPr>
          <t>Rosa:</t>
        </r>
        <r>
          <rPr>
            <sz val="8"/>
            <color indexed="81"/>
            <rFont val="Tahoma"/>
            <family val="2"/>
          </rPr>
          <t xml:space="preserve">
3000 USD de anualidad Mktint (4 de 4)
Hacer Fra en octubre
Fra del 04/10/21
Cobro previsto: octubre. 
Reclamado al cliente: 15/11/21
Abonado Caixa USD: 16/11/21
Tc: 1,1368</t>
        </r>
      </text>
    </comment>
    <comment ref="BF33" authorId="1" shapeId="0" xr:uid="{97849035-EE71-4072-A66C-795C331C8EC4}">
      <text>
        <r>
          <rPr>
            <b/>
            <sz val="8"/>
            <color indexed="81"/>
            <rFont val="Tahoma"/>
            <family val="2"/>
          </rPr>
          <t>Rosa:</t>
        </r>
        <r>
          <rPr>
            <sz val="8"/>
            <color indexed="81"/>
            <rFont val="Tahoma"/>
            <family val="2"/>
          </rPr>
          <t xml:space="preserve">
3000 USD de anualidad Mktint (1 de 4)
09/03/22: Info Alberto hacer Fra en marzo
Fra del 10/03/22
Cobro previsto: marzo. 
Abonado Caixa USD: 01/04/22
Tc: 1,1052</t>
        </r>
      </text>
    </comment>
    <comment ref="BG33" authorId="1" shapeId="0" xr:uid="{ADF621DE-A167-452C-B663-CA9389C20761}">
      <text>
        <r>
          <rPr>
            <b/>
            <sz val="8"/>
            <color indexed="81"/>
            <rFont val="Tahoma"/>
            <family val="2"/>
          </rPr>
          <t>Rosa:</t>
        </r>
        <r>
          <rPr>
            <sz val="8"/>
            <color indexed="81"/>
            <rFont val="Tahoma"/>
            <family val="2"/>
          </rPr>
          <t xml:space="preserve">
3000 USD de anualidad Mktint (2 de 4)
Hacer Fra en abril
Fra del 25/04/22
Cobro previsto: mayo 
Abonado Caixa USD: 02/05/22
Tc: 1,0524</t>
        </r>
      </text>
    </comment>
    <comment ref="BI33" authorId="1" shapeId="0" xr:uid="{4AB88C57-27EB-4F99-A2EC-F5CBE3503E43}">
      <text>
        <r>
          <rPr>
            <b/>
            <sz val="8"/>
            <color indexed="81"/>
            <rFont val="Tahoma"/>
            <family val="2"/>
          </rPr>
          <t>Rosa:</t>
        </r>
        <r>
          <rPr>
            <sz val="8"/>
            <color indexed="81"/>
            <rFont val="Tahoma"/>
            <family val="2"/>
          </rPr>
          <t xml:space="preserve">
3000 USD de anualidad Mktint (3 de 4)
Hacer Fra en julio
Fra del 08/07/22
Cobro previsto: julio 
Abonado Caixa USD: 26/07/22
Tc: 1,0124</t>
        </r>
      </text>
    </comment>
    <comment ref="BM33" authorId="1" shapeId="0" xr:uid="{00000000-0006-0000-0100-000039000000}">
      <text>
        <r>
          <rPr>
            <b/>
            <sz val="8"/>
            <color indexed="81"/>
            <rFont val="Tahoma"/>
            <family val="2"/>
          </rPr>
          <t>Rosa:</t>
        </r>
        <r>
          <rPr>
            <sz val="8"/>
            <color indexed="81"/>
            <rFont val="Tahoma"/>
            <family val="2"/>
          </rPr>
          <t xml:space="preserve">
3000 USD de anualidad Mktint (4 de 4)
Hacer Fra en octubre
Fra del 05/10/22
Cobro previsto: octubre 
Abonado Caixa USD: 20/10/22
Tc: 1,0124</t>
        </r>
      </text>
    </comment>
    <comment ref="BQ33" authorId="1" shapeId="0" xr:uid="{6921F497-5E54-4276-91BA-CEF64A5739B1}">
      <text>
        <r>
          <rPr>
            <b/>
            <sz val="8"/>
            <color indexed="81"/>
            <rFont val="Tahoma"/>
            <family val="2"/>
          </rPr>
          <t>Rosa:</t>
        </r>
        <r>
          <rPr>
            <sz val="8"/>
            <color indexed="81"/>
            <rFont val="Tahoma"/>
            <family val="2"/>
          </rPr>
          <t xml:space="preserve">
3000 USD de anualidad Mktint (1 de 4)
Fra del 19/01/23
Cobro previsto: febrero 
Abonado Caixa USD: 07/02/23
Tc: 1,07</t>
        </r>
      </text>
    </comment>
    <comment ref="BS33" authorId="1" shapeId="0" xr:uid="{640BCBA0-9160-46D4-8FBA-B75C5A947D14}">
      <text>
        <r>
          <rPr>
            <b/>
            <sz val="8"/>
            <color indexed="81"/>
            <rFont val="Tahoma"/>
            <family val="2"/>
          </rPr>
          <t>Rosa:</t>
        </r>
        <r>
          <rPr>
            <sz val="8"/>
            <color indexed="81"/>
            <rFont val="Tahoma"/>
            <family val="2"/>
          </rPr>
          <t xml:space="preserve">
3000 USD de anualidad Mktint (2 de 4)
Hacer Fra en abril
Fra del 03/04/23
Cobro previsto: abril
Abonado VFX USD: 24/04/23
Tc: 1,1002</t>
        </r>
      </text>
    </comment>
    <comment ref="BV33" authorId="1" shapeId="0" xr:uid="{41E87D9D-7D48-4D46-AD8E-E73FEBA42D0D}">
      <text>
        <r>
          <rPr>
            <b/>
            <sz val="8"/>
            <color indexed="81"/>
            <rFont val="Tahoma"/>
            <family val="2"/>
          </rPr>
          <t>Rosa:</t>
        </r>
        <r>
          <rPr>
            <sz val="8"/>
            <color indexed="81"/>
            <rFont val="Tahoma"/>
            <family val="2"/>
          </rPr>
          <t xml:space="preserve">
3000 USD de anualidad Mktint (3 de 4)
Hacer Fra en julio
Fra del 06/07/23
Cobro previsto: julio
Abonado Cta VFX USD: 24/07/23
Tc: 1,1059</t>
        </r>
      </text>
    </comment>
    <comment ref="BZ33" authorId="1" shapeId="0" xr:uid="{67017904-2CEC-4186-9A0C-0950475A1196}">
      <text>
        <r>
          <rPr>
            <b/>
            <sz val="8"/>
            <color indexed="81"/>
            <rFont val="Tahoma"/>
            <family val="2"/>
          </rPr>
          <t>Rosa:</t>
        </r>
        <r>
          <rPr>
            <sz val="8"/>
            <color indexed="81"/>
            <rFont val="Tahoma"/>
            <family val="2"/>
          </rPr>
          <t xml:space="preserve">
3000 USD de anualidad Mktint (4 de 4)
Hacer Fra en octubre
Fra del 28/09/23
Cobro previsto: octubre
Abonado Cta VFX en USD: 23/10/23
Tc: 1,0597</t>
        </r>
      </text>
    </comment>
    <comment ref="AF34" authorId="1" shapeId="0" xr:uid="{00000000-0006-0000-0100-00003A000000}">
      <text>
        <r>
          <rPr>
            <b/>
            <sz val="8"/>
            <color indexed="81"/>
            <rFont val="Tahoma"/>
            <family val="2"/>
          </rPr>
          <t>Rosa:</t>
        </r>
        <r>
          <rPr>
            <sz val="8"/>
            <color indexed="81"/>
            <rFont val="Tahoma"/>
            <family val="2"/>
          </rPr>
          <t xml:space="preserve">
5000 E de anualidad Mktint 
Fra del 10/01/20
Cobro previsto: enero 
Abonado Caixa: 15/04/20</t>
        </r>
      </text>
    </comment>
    <comment ref="AP34" authorId="1" shapeId="0" xr:uid="{00000000-0006-0000-0100-00003B000000}">
      <text>
        <r>
          <rPr>
            <b/>
            <sz val="8"/>
            <color indexed="81"/>
            <rFont val="Tahoma"/>
            <family val="2"/>
          </rPr>
          <t>Rosa:</t>
        </r>
        <r>
          <rPr>
            <sz val="8"/>
            <color indexed="81"/>
            <rFont val="Tahoma"/>
            <family val="2"/>
          </rPr>
          <t xml:space="preserve">
5000 E de anualidad Mktint 
Fra del 12/01/21
Cobro previsto: enero
Abonado Caixa: 27/01/21
</t>
        </r>
      </text>
    </comment>
    <comment ref="BD34" authorId="1" shapeId="0" xr:uid="{17E82091-AAAE-4305-AC76-CC5A836894F2}">
      <text>
        <r>
          <rPr>
            <b/>
            <sz val="8"/>
            <color indexed="81"/>
            <rFont val="Tahoma"/>
            <family val="2"/>
          </rPr>
          <t>Rosa:</t>
        </r>
        <r>
          <rPr>
            <sz val="8"/>
            <color indexed="81"/>
            <rFont val="Tahoma"/>
            <family val="2"/>
          </rPr>
          <t xml:space="preserve">
5000 E de anualidad Mktint 
Fra del 13/01/22
Cobro previsto: enero
Abonado Caixa: 17/02/22
</t>
        </r>
      </text>
    </comment>
    <comment ref="BR34" authorId="1" shapeId="0" xr:uid="{53BC74E1-E0D5-4B36-8BA6-7536D81537CA}">
      <text>
        <r>
          <rPr>
            <sz val="8"/>
            <color indexed="81"/>
            <rFont val="Tahoma"/>
            <family val="2"/>
          </rPr>
          <t xml:space="preserve">5000 E de anualidad Mktint 
Fra del 09/02/23
Cobro previsto: febrero
Abonado Caixa: 02/03/23
</t>
        </r>
      </text>
    </comment>
    <comment ref="CD34" authorId="1" shapeId="0" xr:uid="{E51963EA-330B-4AE1-AA50-43843F4A18B5}">
      <text>
        <r>
          <rPr>
            <sz val="8"/>
            <color indexed="81"/>
            <rFont val="Tahoma"/>
            <family val="2"/>
          </rPr>
          <t xml:space="preserve">5.500€ de anualidad Mktint 
Fra del 02/02/24
Cobro previsto: febrero
Abonado Caixa: 14/02/24
</t>
        </r>
      </text>
    </comment>
    <comment ref="AH35" authorId="1" shapeId="0" xr:uid="{00000000-0006-0000-0100-00003C000000}">
      <text>
        <r>
          <rPr>
            <b/>
            <sz val="8"/>
            <color indexed="81"/>
            <rFont val="Tahoma"/>
            <family val="2"/>
          </rPr>
          <t>Rosa:</t>
        </r>
        <r>
          <rPr>
            <sz val="8"/>
            <color indexed="81"/>
            <rFont val="Tahoma"/>
            <family val="2"/>
          </rPr>
          <t xml:space="preserve">
8000 USD de anualidad Mktint 
Fra: 21/05/20
Cobro previsto: junio
Abonado Cta Ebury $: 08/06/20</t>
        </r>
      </text>
    </comment>
    <comment ref="AZ35" authorId="1" shapeId="0" xr:uid="{6248E0CE-15C7-4F47-B0E0-60CB9000D67A}">
      <text>
        <r>
          <rPr>
            <b/>
            <sz val="8"/>
            <color indexed="81"/>
            <rFont val="Tahoma"/>
            <family val="2"/>
          </rPr>
          <t>Rosa:</t>
        </r>
        <r>
          <rPr>
            <sz val="8"/>
            <color indexed="81"/>
            <rFont val="Tahoma"/>
            <family val="2"/>
          </rPr>
          <t xml:space="preserve">
8000 USD de anualidad Mktint 
Info Alberto 16/03/21: Contrato firmado en 2020 por 3 años
Fra del 18/03/21
Cobro previsto en Abril.
Según mail 23/09/21: Pagarán el lunes 27/09
7987 USD: Abonado Cta Caixa USD: 02/10/21
Tc: 1,16
13 USD ingresado de menos</t>
        </r>
      </text>
    </comment>
    <comment ref="AI36" authorId="1" shapeId="0" xr:uid="{00000000-0006-0000-0100-00003E000000}">
      <text>
        <r>
          <rPr>
            <b/>
            <sz val="8"/>
            <color indexed="81"/>
            <rFont val="Tahoma"/>
            <family val="2"/>
          </rPr>
          <t>Rosa:</t>
        </r>
        <r>
          <rPr>
            <sz val="8"/>
            <color indexed="81"/>
            <rFont val="Tahoma"/>
            <family val="2"/>
          </rPr>
          <t xml:space="preserve">
22000 EUR de anualidad Mktint
Fra del 26/06/20
Cobro previsto: julio
Abonado Caixa: 23/07/20</t>
        </r>
      </text>
    </comment>
    <comment ref="BB36" authorId="2" shapeId="0" xr:uid="{C2C6CBD1-A0BD-4F28-95C3-CCA16DDE6948}">
      <text>
        <r>
          <rPr>
            <sz val="9"/>
            <color indexed="81"/>
            <rFont val="Tahoma"/>
            <family val="2"/>
          </rPr>
          <t>22000 EUR de anualidad Mktint
Fra del 09/09/21
Cobro previsto: Septiembre
Abonado Caixa: 
Avisar a Alberto si no entran los fondos a mediados de noviembre, avisado Alberto el 19/11/21
Abonado Caixa: 28/12/21</t>
        </r>
      </text>
    </comment>
    <comment ref="BJ36" authorId="0" shapeId="0" xr:uid="{22905CAF-ABB3-441E-8BEE-DB98D1682D7D}">
      <text>
        <r>
          <rPr>
            <b/>
            <sz val="9"/>
            <color indexed="81"/>
            <rFont val="Tahoma"/>
            <family val="2"/>
          </rPr>
          <t xml:space="preserve">Rosa:
Info Alberto 03/01/22: 
</t>
        </r>
        <r>
          <rPr>
            <sz val="9"/>
            <color indexed="81"/>
            <rFont val="Tahoma"/>
            <family val="2"/>
          </rPr>
          <t>Los de OCI me piden que las próximas facturas la enviemos también al email ap.ocifuels@ocimethanol.com
22000 EUR de anualidad Mktint
Fra del 21/07/22
Cobro previsto: Agosto
02/08/22: Debe llegar en breve el ingreso
Abonado Caixa: 03/08/22</t>
        </r>
      </text>
    </comment>
    <comment ref="BW36" authorId="0" shapeId="0" xr:uid="{F73A887D-F2AD-4C45-912A-D2727BE02DDD}">
      <text>
        <r>
          <rPr>
            <sz val="9"/>
            <color indexed="81"/>
            <rFont val="Tahoma"/>
            <family val="2"/>
          </rPr>
          <t>16.500 EUR de anualidad Mktint
Fra del 24/07/23
Cobro previsto: Agosto
Abono el 28/08/23.</t>
        </r>
      </text>
    </comment>
    <comment ref="AP37" authorId="3" shapeId="0" xr:uid="{00000000-0006-0000-0100-00003F000000}">
      <text>
        <r>
          <rPr>
            <b/>
            <sz val="9"/>
            <color indexed="81"/>
            <rFont val="Tahoma"/>
            <family val="2"/>
          </rPr>
          <t>Rosa:
Info Alberto 08/10/20:</t>
        </r>
        <r>
          <rPr>
            <sz val="9"/>
            <color indexed="81"/>
            <rFont val="Tahoma"/>
            <family val="2"/>
          </rPr>
          <t xml:space="preserve">
7000 USD
Emitir en enero
Fra del 11/01/21 facilitada cta USD Caixa
Cobro previsto: enero
6967 USD entran en Caixa (33 USD menos)
27,87 USD: Comisión reclamada a Caixa
Abonado Caixa Cta USD: 13/01/21</t>
        </r>
      </text>
    </comment>
    <comment ref="AQ37" authorId="0" shapeId="0" xr:uid="{00000000-0006-0000-0100-000040000000}">
      <text>
        <r>
          <rPr>
            <sz val="9"/>
            <color indexed="81"/>
            <rFont val="Tahoma"/>
            <family val="2"/>
          </rPr>
          <t>21,87 USD: Devolución Comisión reclamada a Caixa por ingreso fra POET
Abonado Caixa Cta USD: 06/02/21</t>
        </r>
      </text>
    </comment>
    <comment ref="BC37" authorId="3" shapeId="0" xr:uid="{AB6EFDE2-42AC-40E4-B1B6-5E056651A275}">
      <text>
        <r>
          <rPr>
            <b/>
            <sz val="9"/>
            <color indexed="81"/>
            <rFont val="Tahoma"/>
            <family val="2"/>
          </rPr>
          <t xml:space="preserve">Rosa:
</t>
        </r>
        <r>
          <rPr>
            <sz val="9"/>
            <color indexed="81"/>
            <rFont val="Tahoma"/>
            <family val="2"/>
          </rPr>
          <t xml:space="preserve">7000 USD de anualidad Mktint
Fra del 12/01/22 facilitada cta USD VFX
Cobro previsto: enero
</t>
        </r>
        <r>
          <rPr>
            <b/>
            <sz val="9"/>
            <color indexed="81"/>
            <rFont val="Tahoma"/>
            <family val="2"/>
          </rPr>
          <t>Llega el ingreso de 335,72 USD menos, preguntado por Alberto a Poet a qué es debido</t>
        </r>
        <r>
          <rPr>
            <sz val="9"/>
            <color indexed="81"/>
            <rFont val="Tahoma"/>
            <family val="2"/>
          </rPr>
          <t xml:space="preserve">
6664,28 USD: Abonado en VFX el 27/01/22
Tc: 1,1160</t>
        </r>
      </text>
    </comment>
    <comment ref="BJ37" authorId="3" shapeId="0" xr:uid="{4E244703-6EDE-4236-9920-7C697DDDB495}">
      <text>
        <r>
          <rPr>
            <b/>
            <sz val="9"/>
            <color indexed="81"/>
            <rFont val="Tahoma"/>
            <family val="2"/>
          </rPr>
          <t xml:space="preserve">Rosa:
</t>
        </r>
        <r>
          <rPr>
            <sz val="9"/>
            <color indexed="81"/>
            <rFont val="Tahoma"/>
            <family val="2"/>
          </rPr>
          <t xml:space="preserve">7000 USD de anualidad Mktint
Fra del 12/01/22 facilitada cta USD VFX
Cobro previsto: enero
</t>
        </r>
        <r>
          <rPr>
            <b/>
            <sz val="9"/>
            <color indexed="81"/>
            <rFont val="Tahoma"/>
            <family val="2"/>
          </rPr>
          <t xml:space="preserve">
Llega el ingreso de 335,72 USD menos, preguntado por Alberto a Poet a qué es debido</t>
        </r>
        <r>
          <rPr>
            <sz val="9"/>
            <color indexed="81"/>
            <rFont val="Tahoma"/>
            <family val="2"/>
          </rPr>
          <t xml:space="preserve">
6664,28 USD: Abonado en VFX el 27/01/22
335,72 USD: Pndte de que realicen transferencia
24/02/22: Reclamado por Alberto
18/08/22: Info Alberto: Darlo por perdido.</t>
        </r>
      </text>
    </comment>
    <comment ref="BP37" authorId="3" shapeId="0" xr:uid="{C1FACCFB-70BE-4BF9-A0CB-1542FAF97826}">
      <text>
        <r>
          <rPr>
            <b/>
            <sz val="9"/>
            <color indexed="81"/>
            <rFont val="Tahoma"/>
            <family val="2"/>
          </rPr>
          <t xml:space="preserve">Info Alberto 10/01/23:
</t>
        </r>
        <r>
          <rPr>
            <sz val="9"/>
            <color indexed="81"/>
            <rFont val="Tahoma"/>
            <family val="2"/>
          </rPr>
          <t>12.000 USD de anualidad Mktint
Fra del 11/01/23 facilitada cta USD VFX
Cobro previsto: enero
11720,21 USD: Ingresado en VFX 30/01/23
Tc: 1,0903</t>
        </r>
      </text>
    </comment>
    <comment ref="BQ37" authorId="3" shapeId="0" xr:uid="{C04641BF-6DA4-4CC1-90CC-C82B44B76BDD}">
      <text>
        <r>
          <rPr>
            <b/>
            <sz val="9"/>
            <color indexed="81"/>
            <rFont val="Tahoma"/>
            <family val="2"/>
          </rPr>
          <t xml:space="preserve">Info Alberto 10/01/23:
</t>
        </r>
        <r>
          <rPr>
            <sz val="9"/>
            <color indexed="81"/>
            <rFont val="Tahoma"/>
            <family val="2"/>
          </rPr>
          <t>12.000 USD de anualidad Mktint
Fra del 11/01/23 facilitada cta USD VFX
Cobro previsto: enero
280 USD: Ingresado en VFX el 02/02/23
Tc: 1,0988</t>
        </r>
      </text>
    </comment>
    <comment ref="CF37" authorId="3" shapeId="0" xr:uid="{A4C1053B-E5F8-45BB-880B-DFBE886FF69F}">
      <text>
        <r>
          <rPr>
            <b/>
            <sz val="9"/>
            <color indexed="81"/>
            <rFont val="Tahoma"/>
            <family val="2"/>
          </rPr>
          <t xml:space="preserve">Info Alberto 14/02/24:
</t>
        </r>
        <r>
          <rPr>
            <sz val="9"/>
            <color indexed="81"/>
            <rFont val="Tahoma"/>
            <family val="2"/>
          </rPr>
          <t xml:space="preserve">15.000 USD de anualidad Mktint
Fra del 15/02/24 facilitada cta USD VFX
Cobro previsto: marzo
</t>
        </r>
      </text>
    </comment>
    <comment ref="AW38" authorId="2" shapeId="0" xr:uid="{00A75269-0763-47F9-A7B3-412B8F170EFA}">
      <text>
        <r>
          <rPr>
            <sz val="9"/>
            <color indexed="81"/>
            <rFont val="Tahoma"/>
            <family val="2"/>
          </rPr>
          <t>Anotado en julio. Info de alberto 19/05/21</t>
        </r>
        <r>
          <rPr>
            <b/>
            <sz val="9"/>
            <color indexed="81"/>
            <rFont val="Tahoma"/>
            <family val="2"/>
          </rPr>
          <t xml:space="preserve">.
</t>
        </r>
        <r>
          <rPr>
            <sz val="9"/>
            <color indexed="81"/>
            <rFont val="Tahoma"/>
            <family val="2"/>
          </rPr>
          <t>Fra del 10/06/21 por suscripción año 2021 y suscripción año 2022. 
Cobro previsto: junio.</t>
        </r>
        <r>
          <rPr>
            <b/>
            <sz val="9"/>
            <color indexed="81"/>
            <rFont val="Tahoma"/>
            <family val="2"/>
          </rPr>
          <t xml:space="preserve"> 
</t>
        </r>
        <r>
          <rPr>
            <sz val="9"/>
            <color indexed="81"/>
            <rFont val="Tahoma"/>
            <family val="2"/>
          </rPr>
          <t>Abonado: 10/08/21</t>
        </r>
        <r>
          <rPr>
            <b/>
            <sz val="9"/>
            <color indexed="81"/>
            <rFont val="Tahoma"/>
            <family val="2"/>
          </rPr>
          <t xml:space="preserve">
</t>
        </r>
      </text>
    </comment>
    <comment ref="BR38" authorId="2" shapeId="0" xr:uid="{4DD962AB-2A26-478C-B5C7-B8A8AFF0B950}">
      <text>
        <r>
          <rPr>
            <sz val="9"/>
            <color indexed="81"/>
            <rFont val="Tahoma"/>
            <family val="2"/>
          </rPr>
          <t>Info de alberto 05/01/23: La renovación ha sido por 2 años</t>
        </r>
        <r>
          <rPr>
            <b/>
            <sz val="9"/>
            <color indexed="81"/>
            <rFont val="Tahoma"/>
            <family val="2"/>
          </rPr>
          <t xml:space="preserve">.
</t>
        </r>
        <r>
          <rPr>
            <sz val="9"/>
            <color indexed="81"/>
            <rFont val="Tahoma"/>
            <family val="2"/>
          </rPr>
          <t>Fra del 13/01/23 por suscripción año 2023 y suscripción año 2024. 
Cobro previsto a 60 días: 13/03/23</t>
        </r>
        <r>
          <rPr>
            <b/>
            <sz val="9"/>
            <color indexed="81"/>
            <rFont val="Tahoma"/>
            <family val="2"/>
          </rPr>
          <t xml:space="preserve">
</t>
        </r>
        <r>
          <rPr>
            <sz val="9"/>
            <color indexed="81"/>
            <rFont val="Tahoma"/>
            <family val="2"/>
          </rPr>
          <t>Reclamado pago 14/03/23
Abonado Caixa: 15/03/23</t>
        </r>
      </text>
    </comment>
    <comment ref="AY39" authorId="2" shapeId="0" xr:uid="{460BA732-9136-43D5-9645-42D0D6FE2FD6}">
      <text>
        <r>
          <rPr>
            <sz val="9"/>
            <color indexed="81"/>
            <rFont val="Tahoma"/>
            <family val="2"/>
          </rPr>
          <t>Cliente nuevo/mail de alberto dl 31/08/21.
24.000€ anualidad desde 1/07/21 a 30/06/22. 
Fra del 01/09/21. 
Cobro previsto: septiembre. 
Cobro: 10/09/21</t>
        </r>
      </text>
    </comment>
    <comment ref="BN39" authorId="0" shapeId="0" xr:uid="{93195508-D4DB-4953-88EA-DA7210330A21}">
      <text>
        <r>
          <rPr>
            <b/>
            <sz val="9"/>
            <color indexed="81"/>
            <rFont val="Tahoma"/>
            <family val="2"/>
          </rPr>
          <t xml:space="preserve">Emitir fra el 01/07/22
Pndte que Alberto nos avise para emitirla
La previsión era de 15.000€
</t>
        </r>
        <r>
          <rPr>
            <sz val="9"/>
            <color indexed="81"/>
            <rFont val="Tahoma"/>
            <family val="2"/>
          </rPr>
          <t>24.000€ anualidad desde 01/07/22 a 30/06/23. 
Fra del 29/09/22 
Cobro previsto: octubre
Abonado Caixa: 21/11/22</t>
        </r>
      </text>
    </comment>
    <comment ref="BZ39" authorId="0" shapeId="0" xr:uid="{4598E5FF-BD48-413F-ACBF-45A441D43C84}">
      <text>
        <r>
          <rPr>
            <sz val="9"/>
            <color indexed="81"/>
            <rFont val="Tahoma"/>
            <family val="2"/>
          </rPr>
          <t>La previsión era de 15.000€</t>
        </r>
        <r>
          <rPr>
            <b/>
            <sz val="9"/>
            <color indexed="81"/>
            <rFont val="Tahoma"/>
            <family val="2"/>
          </rPr>
          <t xml:space="preserve">
</t>
        </r>
        <r>
          <rPr>
            <sz val="9"/>
            <color indexed="81"/>
            <rFont val="Tahoma"/>
            <family val="2"/>
          </rPr>
          <t>24.000€ anualidad desde 01/07/23 a 30/06/24. 
Fra del 22/08/23 
Cobro previsto: octubre
29/08/23: Emitimos fra de abono y nueva factura por 36.000€ por la anualidad desde 01/07/23 a 31/12/24. 
Fra del 29/08/23
Cobro previsto: octubre
Abonado VFX €: 02/10/23.</t>
        </r>
      </text>
    </comment>
    <comment ref="BD40" authorId="2" shapeId="0" xr:uid="{11CEC2B1-4774-4016-8AC1-E47511B681B5}">
      <text>
        <r>
          <rPr>
            <sz val="9"/>
            <color indexed="81"/>
            <rFont val="Tahoma"/>
            <family val="2"/>
          </rPr>
          <t>15000 EUR de anualidad Mktint
Fra del 01/10/21
Cobro previsto: Octubre
Abonado Caixa: 16/02/22</t>
        </r>
      </text>
    </comment>
    <comment ref="BQ40" authorId="2" shapeId="0" xr:uid="{8D3C0E0B-0CA1-44D4-B5BD-BE1201B291E5}">
      <text>
        <r>
          <rPr>
            <sz val="9"/>
            <color indexed="81"/>
            <rFont val="Tahoma"/>
            <family val="2"/>
          </rPr>
          <t>15000 EUR de anualidad Mktint
Fra del 01/12/22
Cobro previsto: Diciembre
Facilitada Cta VFX
Realmt ingresado Cta VFX €: 23/01/23
Por error de VFX este ingreso no aparecía en el extracto de enero 2023, lo ingresan posteriormente en febrero
Abonado Cta VFX €: 02/02/23</t>
        </r>
      </text>
    </comment>
    <comment ref="BZ40" authorId="2" shapeId="0" xr:uid="{12A46CDA-4B0C-443B-ACBE-240EFB10E08B}">
      <text>
        <r>
          <rPr>
            <sz val="9"/>
            <color indexed="81"/>
            <rFont val="Tahoma"/>
            <family val="2"/>
          </rPr>
          <t>15900 EUR de anualidad Mktint
Fra del 28/09/23
Cobro previsto: Octubre
Facilitada Cta VFX
Llega copia transferencia: 09/10/23
Abonado Cta VFX en Eur: 10/10/23</t>
        </r>
      </text>
    </comment>
    <comment ref="BD41" authorId="2" shapeId="0" xr:uid="{07FCE09A-72D3-4DA9-967D-ACEE573F278C}">
      <text>
        <r>
          <rPr>
            <sz val="9"/>
            <color indexed="81"/>
            <rFont val="Tahoma"/>
            <family val="2"/>
          </rPr>
          <t>10000 EUR de anualidad Mktint
El contrato es por 3 años
Fra del 17/01/22
Cobro previsto: Febrero
Abonado Caixa: 02/02/22</t>
        </r>
      </text>
    </comment>
    <comment ref="BQ41" authorId="2" shapeId="0" xr:uid="{90F22A3C-5D93-4A7A-9239-6A3F8500B147}">
      <text>
        <r>
          <rPr>
            <sz val="9"/>
            <color indexed="81"/>
            <rFont val="Tahoma"/>
            <family val="2"/>
          </rPr>
          <t>10000 EUR de anualidad Mktint
El contrato es por 3 años
Preguntar a Alberto si podemos realizar fra
Fra del 18/01/23
Cobro previsto: Febrero
Abonado Caixa: 10/02/23</t>
        </r>
      </text>
    </comment>
    <comment ref="CD41" authorId="2" shapeId="0" xr:uid="{98EBF519-170F-4EEC-AA87-08607F0F1FA0}">
      <text>
        <r>
          <rPr>
            <sz val="9"/>
            <color indexed="81"/>
            <rFont val="Tahoma"/>
            <family val="2"/>
          </rPr>
          <t xml:space="preserve">10000 EUR de anualidad Mktint
El contrato es por 3 años
Preguntar a Alberto si podemos realizar fra, Ok Alberto
Fra del 24/01/24
Cobro previsto: febrero
Abonado Caixa: 06/02/24
</t>
        </r>
      </text>
    </comment>
    <comment ref="BF42" authorId="2" shapeId="0" xr:uid="{2784DD1C-B159-4665-802F-4838B82D8777}">
      <text>
        <r>
          <rPr>
            <sz val="9"/>
            <color indexed="81"/>
            <rFont val="Tahoma"/>
            <family val="2"/>
          </rPr>
          <t>12000 USD de anualidad Mktint.
Fra del 24/03/22.
Cobro previsto: abril.
Abonado en VFX el 22/04/22
Tc: 1,0746</t>
        </r>
      </text>
    </comment>
    <comment ref="BS42" authorId="2" shapeId="0" xr:uid="{1C89F2D6-8319-4BEA-AE88-A07D958BC1A7}">
      <text>
        <r>
          <rPr>
            <sz val="9"/>
            <color indexed="81"/>
            <rFont val="Tahoma"/>
            <family val="2"/>
          </rPr>
          <t>14000 USD de anualidad Mktint.
Fra del 09/03/23
Cobro previsto: abril
Abonado Cta VFX en USD: 03/04/23
Tc: 1,0870</t>
        </r>
      </text>
    </comment>
    <comment ref="BG43" authorId="1" shapeId="0" xr:uid="{036519C8-3252-4921-9B2C-A732DBA01AFD}">
      <text>
        <r>
          <rPr>
            <b/>
            <sz val="8"/>
            <color indexed="81"/>
            <rFont val="Tahoma"/>
            <family val="2"/>
          </rPr>
          <t>Rosa:</t>
        </r>
        <r>
          <rPr>
            <sz val="8"/>
            <color indexed="81"/>
            <rFont val="Tahoma"/>
            <family val="2"/>
          </rPr>
          <t xml:space="preserve">
4000€ de anualidad Mktint 
Fra: 13/04/22
Cobro previsto: mayo
Abonado Caixa: 06/05/22</t>
        </r>
      </text>
    </comment>
    <comment ref="BS43" authorId="1" shapeId="0" xr:uid="{F16E5914-1CD4-43FE-B66C-9DC2931070E7}">
      <text>
        <r>
          <rPr>
            <sz val="8"/>
            <color indexed="81"/>
            <rFont val="Tahoma"/>
            <family val="2"/>
          </rPr>
          <t>4000€ de anualidad Mktint 
Fra: 28/03/223
Cobro previsto: abril
Cancelan contrato
Fra de abono del 05/04/23</t>
        </r>
      </text>
    </comment>
    <comment ref="BU43" authorId="1" shapeId="0" xr:uid="{CAF0EE48-0F47-4E55-A5D9-C1482D5C3AE1}">
      <text>
        <r>
          <rPr>
            <sz val="8"/>
            <color indexed="81"/>
            <rFont val="Tahoma"/>
            <family val="2"/>
          </rPr>
          <t>4000€ de anualidad Mktint 
Fra: 16/05/23
Cobro previsto: Junio
Reclamada fra 14/06/23
Abonado Caixa: 16/06/23</t>
        </r>
      </text>
    </comment>
    <comment ref="BI44" authorId="0" shapeId="0" xr:uid="{53CBCD43-9F2E-4080-9D45-C857B462E536}">
      <text>
        <r>
          <rPr>
            <b/>
            <sz val="9"/>
            <color indexed="81"/>
            <rFont val="Tahoma"/>
            <family val="2"/>
          </rPr>
          <t xml:space="preserve">
</t>
        </r>
        <r>
          <rPr>
            <sz val="9"/>
            <color indexed="81"/>
            <rFont val="Tahoma"/>
            <family val="2"/>
          </rPr>
          <t>18000 EUR de anualidad Mktint del 01/05/22 al 30/04/23
9000€: Fra del 03/05/2022. 
Fra 1 de 2
Cobro previsto: mayo
Facilitada Cta VFX €
Debe llegar el ingreso el próximo 22/07/22
Abonado VFX en €: 25/07/22</t>
        </r>
      </text>
    </comment>
    <comment ref="BO44" authorId="0" shapeId="0" xr:uid="{B82F55D0-019C-40B9-8C5B-09598E548FC0}">
      <text>
        <r>
          <rPr>
            <b/>
            <sz val="9"/>
            <color indexed="81"/>
            <rFont val="Tahoma"/>
            <family val="2"/>
          </rPr>
          <t xml:space="preserve">
</t>
        </r>
        <r>
          <rPr>
            <sz val="9"/>
            <color indexed="81"/>
            <rFont val="Tahoma"/>
            <family val="2"/>
          </rPr>
          <t xml:space="preserve">18000 EUR de anualidad Mktint del 01/05/22 al 30/04/23
9000€: Realizar fra a principios de noviembre 
Fra 2 de 2
Fra del 07/11/22
Cobro previsto: noviembre
Abonado Cta VFX: 09/12/22 
</t>
        </r>
      </text>
    </comment>
    <comment ref="BU44" authorId="0" shapeId="0" xr:uid="{B8852F6C-A7FA-4A9F-930E-C9B48C2C84D0}">
      <text>
        <r>
          <rPr>
            <b/>
            <sz val="9"/>
            <color indexed="81"/>
            <rFont val="Tahoma"/>
            <family val="2"/>
          </rPr>
          <t xml:space="preserve">
</t>
        </r>
        <r>
          <rPr>
            <sz val="9"/>
            <color indexed="81"/>
            <rFont val="Tahoma"/>
            <family val="2"/>
          </rPr>
          <t>16500 EUR de anualidad Mktint del 01/05/23 al 30/04/24
8250€: Fra del 08/05/2023. 
Fra 1 de 2
Cobro previsto: mayo
Facilitada Cta VFX €
Reclamada fra 14/06/23
Enviada fra de abono y nueva fra con datos modificados
Fras del 14/06/23 enviada de nuevo el 15/06/23 con nombre modificado
Cobro previsto: junio
Abonado Cta VFX: 21/06/23</t>
        </r>
      </text>
    </comment>
    <comment ref="CA44" authorId="0" shapeId="0" xr:uid="{378D50CC-CD1E-4ECF-98BE-3B3CC2F6EDFE}">
      <text>
        <r>
          <rPr>
            <b/>
            <sz val="9"/>
            <color indexed="81"/>
            <rFont val="Tahoma"/>
            <family val="2"/>
          </rPr>
          <t xml:space="preserve">
</t>
        </r>
        <r>
          <rPr>
            <sz val="9"/>
            <color indexed="81"/>
            <rFont val="Tahoma"/>
            <family val="2"/>
          </rPr>
          <t>16500 EUR de anualidad Mktint del 01/05/23 al 30/04/24
8250€: Realizar fra a principios de noviembre 
Fra 2 de 2
Fra del 03/11/23
Nuevos datos facturación EDF desde el 01/06/23
Abonado Cta VFX en €: 20/11/23</t>
        </r>
      </text>
    </comment>
    <comment ref="BI45" authorId="1" shapeId="0" xr:uid="{DDA3F00C-C25B-4BC9-ADDA-78C051332B52}">
      <text>
        <r>
          <rPr>
            <b/>
            <sz val="8"/>
            <color indexed="81"/>
            <rFont val="Tahoma"/>
            <family val="2"/>
          </rPr>
          <t>Rosa:</t>
        </r>
        <r>
          <rPr>
            <sz val="8"/>
            <color indexed="81"/>
            <rFont val="Tahoma"/>
            <family val="2"/>
          </rPr>
          <t xml:space="preserve">
8000 E de anualidad Mktint 
Fra: 14/06/22
Cobro previsto: julio
Abonado Caixa: 20/07/22</t>
        </r>
      </text>
    </comment>
    <comment ref="BW45" authorId="1" shapeId="0" xr:uid="{AA2BCA54-2713-4718-A1A5-4177953EDA90}">
      <text>
        <r>
          <rPr>
            <b/>
            <sz val="8"/>
            <color indexed="81"/>
            <rFont val="Tahoma"/>
            <family val="2"/>
          </rPr>
          <t>Rosa:</t>
        </r>
        <r>
          <rPr>
            <sz val="8"/>
            <color indexed="81"/>
            <rFont val="Tahoma"/>
            <family val="2"/>
          </rPr>
          <t xml:space="preserve">
8000 E de anualidad Mktint 
Fra del 07/06/23
Cobro previsto: julio
14/07/23: Reclamada por Alberto
RE: pagarán la semana del 07/08/23
Abonado Caixa: 03/08/23</t>
        </r>
      </text>
    </comment>
    <comment ref="BM46" authorId="0" shapeId="0" xr:uid="{EEF93196-3EB2-4FB8-B27E-458A3C64E2F8}">
      <text>
        <r>
          <rPr>
            <b/>
            <sz val="9"/>
            <color indexed="81"/>
            <rFont val="Tahoma"/>
            <family val="2"/>
          </rPr>
          <t xml:space="preserve">
</t>
        </r>
        <r>
          <rPr>
            <sz val="9"/>
            <color indexed="81"/>
            <rFont val="Tahoma"/>
            <family val="2"/>
          </rPr>
          <t>12000 USD de anualidad Mktint del 01/10/22 al 30/09/23
Fra del 26/09/22
Cobro previsto: Octubre
Abonado VFX en USD: 19/10/22
Tc: 0,9778</t>
        </r>
      </text>
    </comment>
    <comment ref="BZ46" authorId="0" shapeId="0" xr:uid="{A0467E87-B68C-487A-B364-A3CAB35A8932}">
      <text>
        <r>
          <rPr>
            <sz val="9"/>
            <color indexed="81"/>
            <rFont val="Tahoma"/>
            <family val="2"/>
          </rPr>
          <t>06/10/23: Confirmado por Alberto que no renuevan</t>
        </r>
      </text>
    </comment>
    <comment ref="BV47" authorId="1" shapeId="0" xr:uid="{DF445FE0-EA6A-4F5A-8D7A-ABB836ABE0D9}">
      <text>
        <r>
          <rPr>
            <sz val="8"/>
            <color indexed="81"/>
            <rFont val="Tahoma"/>
            <family val="2"/>
          </rPr>
          <t>9000€ de anualidad Mktint 
Fra: 26/06/23
Cobro previsto: Julio
Abonado Caixa: 10/07/23</t>
        </r>
      </text>
    </comment>
    <comment ref="BW48" authorId="1" shapeId="0" xr:uid="{F7208066-EA83-4262-A35B-24A7CB2DBDE6}">
      <text>
        <r>
          <rPr>
            <sz val="8"/>
            <color indexed="81"/>
            <rFont val="Tahoma"/>
            <family val="2"/>
          </rPr>
          <t xml:space="preserve">Info Alberto 14/07/23:
4.200 USD/mes de anualidad Mktint del 1 ago-31 dic.
Primera factura a enviar a finales de agosto y la última a finales de diciembre.
</t>
        </r>
        <r>
          <rPr>
            <b/>
            <sz val="8"/>
            <color indexed="81"/>
            <rFont val="Tahoma"/>
            <family val="2"/>
          </rPr>
          <t>Mandar primera Fra entre el día 20 y el 30 de cada mes.</t>
        </r>
        <r>
          <rPr>
            <sz val="8"/>
            <color indexed="81"/>
            <rFont val="Tahoma"/>
            <family val="2"/>
          </rPr>
          <t xml:space="preserve">  
</t>
        </r>
      </text>
    </comment>
    <comment ref="BY48" authorId="1" shapeId="0" xr:uid="{EC549660-010D-477D-8497-B79572C0ADE5}">
      <text>
        <r>
          <rPr>
            <sz val="8"/>
            <color indexed="81"/>
            <rFont val="Tahoma"/>
            <family val="2"/>
          </rPr>
          <t xml:space="preserve">1.755,60 USD: Travel expenses Alberto Carmona trip Tunis August 2023.
Fra: 2023/USG/001 del 07/09/23
1.735,60 USD: Abonado Cta VFX en USD: 08/09/23
Tc: 1,0704
20 USD: Ingresado de menos y reclamado al cliente
-----------------------------------------------
</t>
        </r>
      </text>
    </comment>
    <comment ref="BZ48" authorId="1" shapeId="0" xr:uid="{0A82C643-9467-4A84-836D-1737C16A1A47}">
      <text>
        <r>
          <rPr>
            <sz val="8"/>
            <color indexed="81"/>
            <rFont val="Tahoma"/>
            <family val="2"/>
          </rPr>
          <t xml:space="preserve">Info Alberto 14/07/23:
4.200 USD/mes de anualidad Mktint del 1 ago-31 dic.
Primera factura a enviar a finales de agosto y la última a finales de diciembre.
Enviar Fra entre el día 20 y el 30 de cada mes.  
Fra  pndte de enviar cuando Alb nos de el OK
Info Alberto 07/09/23: Se enviará la próxima semana junto con el informe
Fra 1 de 5: 2023/USG/002 del 27/09/23
Fra 2 de 5: 2023/USG/003 del 27/09/23
3.165,84 USD: Travel expenses Alberto Carmona trip Mozambique septiembre 2023.
Fra: 2023/USG/004 del 27/09/23
11.565,84 USD: Abonado Cta VFX en USD: 02/10/23 por importe 11.540,84 USD. Llegan 25 USD menos
Tc: 1,053
----------------------------------------------------
</t>
        </r>
      </text>
    </comment>
    <comment ref="CC48" authorId="1" shapeId="0" xr:uid="{E39F9384-1B12-4CE3-807C-A68334C134E0}">
      <text>
        <r>
          <rPr>
            <sz val="8"/>
            <color indexed="81"/>
            <rFont val="Tahoma"/>
            <family val="2"/>
          </rPr>
          <t>4.762,25 USD: Trip report to U.S. to attend the GES October 14-22
Fra: 2023/USG/005 del 09/01/24
--------------------------------------
3.857,18 USD: Trip report to Nigeria november 2023.
Fra: 2023/USG/006 del 09/01/24
-----------------------------^-`----------------
Info Alberto 14/07/23:
4.200 USD/mes de anualidad Mktint del 1 ago-31 dic.
Primera factura a enviar a finales de agosto y la última a finales de diciembre.
Enviar Fra entre el día 20 y el 30 de cada mes.  Enviar en octubre
Fra: 2024/USG/001 del 10/01/24
-----------------------------------------------------
Info Alberto 14/07/23:
4.200 USD/mes de anualidad Mktint del 1 ago-31 dic.
Primera factura a enviar a finales de agosto y la última a finales de diciembre.
Enviar Fra entre el día 20 y el 30 de cada mes. Enviar en noviemb
Fra: 2024/USG/002 del 10/01/24
----------------------------------------
Info Alberto 14/07/23:
4.200 USD/mes de anualidad Mktint del 1 ago-31 dic.
Primera factura a enviar a finales de agosto y la última a finales de diciembre.
Enviar Fra entre el día 20 y el 30 de cada mes. Enviar en diciemb
Fra: 2024/USG/003 del 10/01/24
----------------------------------
Info Alberto 09/01/24: Incluir 3500 USD en enero
----------------------------------------
2.830,19 USD: Trip report for the Dubai to COP28 December 8-11
Fra: 2024/USG/004 del 18/01/24
---------------------------------------
2.780,42 USD: Trip report to Senegal December 19-22.
Fra: 2024/USG/005 del 18/01/24
---------------------------------------
26.830,04 USD: Abonado Cta VFX en USD: 19/01/24 por importe 26.795,04 USD. Llegan 35 USD menos
Tc: 1,0887</t>
        </r>
      </text>
    </comment>
    <comment ref="CD48" authorId="0" shapeId="0" xr:uid="{F1F4DA65-572C-4A38-9C1E-4D703DA6D7CC}">
      <text>
        <r>
          <rPr>
            <b/>
            <sz val="9"/>
            <color indexed="81"/>
            <rFont val="Tahoma"/>
            <family val="2"/>
          </rPr>
          <t xml:space="preserve">Info Alberto 23/01/24: </t>
        </r>
        <r>
          <rPr>
            <sz val="9"/>
            <color indexed="81"/>
            <rFont val="Tahoma"/>
            <family val="2"/>
          </rPr>
          <t xml:space="preserve">Renovación por 4.960 USD/mes desde febrero 24 hasta enero 25.
08/02/24: OK Alberto enviar a mediados de febrero.
4.960 USD/mes de anualidad Mktint del 1ene-30 dic 24.
Fra del 15/02/24 (Fra 1 de 12)
Cobro previsto: marzo </t>
        </r>
        <r>
          <rPr>
            <b/>
            <sz val="9"/>
            <color indexed="81"/>
            <rFont val="Tahoma"/>
            <family val="2"/>
          </rPr>
          <t xml:space="preserve">
</t>
        </r>
        <r>
          <rPr>
            <sz val="9"/>
            <color indexed="81"/>
            <rFont val="Tahoma"/>
            <family val="2"/>
          </rPr>
          <t>4.960 USD: Abonado Cta VFX en USD: 29/02/24 por importe 4.940 USD. Llegan 20 USD menos
Tc: 1,0826</t>
        </r>
      </text>
    </comment>
    <comment ref="CE48" authorId="0" shapeId="0" xr:uid="{40F5FDD9-236F-4B51-900F-FD1F27761163}">
      <text>
        <r>
          <rPr>
            <b/>
            <sz val="9"/>
            <color indexed="81"/>
            <rFont val="Tahoma"/>
            <family val="2"/>
          </rPr>
          <t xml:space="preserve">Info Alberto 23/01/24: </t>
        </r>
        <r>
          <rPr>
            <sz val="9"/>
            <color indexed="81"/>
            <rFont val="Tahoma"/>
            <family val="2"/>
          </rPr>
          <t>Renovación por 4.960 USD/mes desde febrero 24 hasta enero 25.
13/03/24: OK Alberto enviar ya
4.960 USD/mes de anualidad Mktint del 1ene-30 dic 24.
Fra del 13/03/24 (Fra 2 de 12)
Cobro previsto: marzo 
4.960 USD: Abonado Cta VFX en USD: 15/03/24 por importe 4.940 USD. Llegan 20 USD menos
Tc: 1,0892</t>
        </r>
        <r>
          <rPr>
            <b/>
            <sz val="9"/>
            <color indexed="81"/>
            <rFont val="Tahoma"/>
            <family val="2"/>
          </rPr>
          <t xml:space="preserve">
--------------------------------
</t>
        </r>
      </text>
    </comment>
    <comment ref="CF48" authorId="0" shapeId="0" xr:uid="{D802DC84-C3AA-4D44-964E-3B6EA0FF07E7}">
      <text>
        <r>
          <rPr>
            <b/>
            <sz val="9"/>
            <color indexed="81"/>
            <rFont val="Tahoma"/>
            <family val="2"/>
          </rPr>
          <t xml:space="preserve">Info Alberto 23/01/24: </t>
        </r>
        <r>
          <rPr>
            <sz val="9"/>
            <color indexed="81"/>
            <rFont val="Tahoma"/>
            <family val="2"/>
          </rPr>
          <t>Renovación por 4.960 USD/mes desde febrero 24 hasta enero 25.
Preguntar a Alberto si enviamos a principios de mes</t>
        </r>
      </text>
    </comment>
    <comment ref="CG48" authorId="0" shapeId="0" xr:uid="{CA52B7E9-296D-4F6D-A4FE-F21F8821336E}">
      <text>
        <r>
          <rPr>
            <b/>
            <sz val="9"/>
            <color indexed="81"/>
            <rFont val="Tahoma"/>
            <family val="2"/>
          </rPr>
          <t xml:space="preserve">Info Alberto 23/01/24: </t>
        </r>
        <r>
          <rPr>
            <sz val="9"/>
            <color indexed="81"/>
            <rFont val="Tahoma"/>
            <family val="2"/>
          </rPr>
          <t>Renovación por 4.960 USD/mes desde febrero 24 hasta enero 25.</t>
        </r>
      </text>
    </comment>
    <comment ref="CH48" authorId="0" shapeId="0" xr:uid="{C271AE46-DACB-41D3-9C0D-53D72363EF8C}">
      <text>
        <r>
          <rPr>
            <b/>
            <sz val="9"/>
            <color indexed="81"/>
            <rFont val="Tahoma"/>
            <family val="2"/>
          </rPr>
          <t xml:space="preserve">Info Alberto 23/01/24: </t>
        </r>
        <r>
          <rPr>
            <sz val="9"/>
            <color indexed="81"/>
            <rFont val="Tahoma"/>
            <family val="2"/>
          </rPr>
          <t>Renovación por 4.960 USD/mes desde febrero 24 hasta enero 25.</t>
        </r>
      </text>
    </comment>
    <comment ref="CI48" authorId="0" shapeId="0" xr:uid="{16C52E00-BA77-4460-978C-0E36A462E1DC}">
      <text>
        <r>
          <rPr>
            <b/>
            <sz val="9"/>
            <color indexed="81"/>
            <rFont val="Tahoma"/>
            <family val="2"/>
          </rPr>
          <t xml:space="preserve">Info Alberto 23/01/24: </t>
        </r>
        <r>
          <rPr>
            <sz val="9"/>
            <color indexed="81"/>
            <rFont val="Tahoma"/>
            <family val="2"/>
          </rPr>
          <t>Renovación por 4.960 USD/mes desde febrero 24 hasta enero 25.</t>
        </r>
      </text>
    </comment>
    <comment ref="CJ48" authorId="0" shapeId="0" xr:uid="{7E1B4D36-B01E-45D5-87FF-BCD979111F3B}">
      <text>
        <r>
          <rPr>
            <b/>
            <sz val="9"/>
            <color indexed="81"/>
            <rFont val="Tahoma"/>
            <family val="2"/>
          </rPr>
          <t xml:space="preserve">Info Alberto 23/01/24: </t>
        </r>
        <r>
          <rPr>
            <sz val="9"/>
            <color indexed="81"/>
            <rFont val="Tahoma"/>
            <family val="2"/>
          </rPr>
          <t>Renovación por 4.960 USD/mes desde febrero 24 hasta enero 25.</t>
        </r>
      </text>
    </comment>
    <comment ref="CM48" authorId="0" shapeId="0" xr:uid="{A9B1444B-DCD7-4BE7-BCC2-6102D772E0AA}">
      <text>
        <r>
          <rPr>
            <b/>
            <sz val="9"/>
            <color indexed="81"/>
            <rFont val="Tahoma"/>
            <family val="2"/>
          </rPr>
          <t xml:space="preserve">Info Alberto 23/01/24: </t>
        </r>
        <r>
          <rPr>
            <sz val="9"/>
            <color indexed="81"/>
            <rFont val="Tahoma"/>
            <family val="2"/>
          </rPr>
          <t>Renovación por 4.960 USD/mes desde febrero 24 hasta enero 25.</t>
        </r>
      </text>
    </comment>
    <comment ref="CN48" authorId="0" shapeId="0" xr:uid="{2AA2D40A-645A-4A99-A9B1-2887B6A441C7}">
      <text>
        <r>
          <rPr>
            <b/>
            <sz val="9"/>
            <color indexed="81"/>
            <rFont val="Tahoma"/>
            <family val="2"/>
          </rPr>
          <t xml:space="preserve">Info Alberto 23/01/24: </t>
        </r>
        <r>
          <rPr>
            <sz val="9"/>
            <color indexed="81"/>
            <rFont val="Tahoma"/>
            <family val="2"/>
          </rPr>
          <t>Renovación por 4.960 USD/mes desde febrero 24 hasta enero 25.</t>
        </r>
      </text>
    </comment>
    <comment ref="CO48" authorId="0" shapeId="0" xr:uid="{94F687B3-EC0D-4BB9-8190-491C2FE45E52}">
      <text>
        <r>
          <rPr>
            <b/>
            <sz val="9"/>
            <color indexed="81"/>
            <rFont val="Tahoma"/>
            <family val="2"/>
          </rPr>
          <t xml:space="preserve">Info Alberto 23/01/24: </t>
        </r>
        <r>
          <rPr>
            <sz val="9"/>
            <color indexed="81"/>
            <rFont val="Tahoma"/>
            <family val="2"/>
          </rPr>
          <t>Renovación por 4.960 USD/mes desde febrero 24 hasta enero 25.</t>
        </r>
      </text>
    </comment>
    <comment ref="CP48" authorId="0" shapeId="0" xr:uid="{F4005E8D-4DCA-4557-B2B2-A877A49DF340}">
      <text>
        <r>
          <rPr>
            <b/>
            <sz val="9"/>
            <color indexed="81"/>
            <rFont val="Tahoma"/>
            <family val="2"/>
          </rPr>
          <t xml:space="preserve">Info Alberto 23/01/24: </t>
        </r>
        <r>
          <rPr>
            <sz val="9"/>
            <color indexed="81"/>
            <rFont val="Tahoma"/>
            <family val="2"/>
          </rPr>
          <t>Renovación por 4.960 USD/mes desde febrero 24 hasta enero 25.</t>
        </r>
      </text>
    </comment>
    <comment ref="CQ48" authorId="0" shapeId="0" xr:uid="{0CC0443F-F4F7-415B-A5C8-C94594B26EBF}">
      <text>
        <r>
          <rPr>
            <b/>
            <sz val="9"/>
            <color indexed="81"/>
            <rFont val="Tahoma"/>
            <family val="2"/>
          </rPr>
          <t xml:space="preserve">Info Alberto 23/01/24: </t>
        </r>
        <r>
          <rPr>
            <sz val="9"/>
            <color indexed="81"/>
            <rFont val="Tahoma"/>
            <family val="2"/>
          </rPr>
          <t>Renovación por 4.960 USD/mes desde febrero 24 hasta enero 25.</t>
        </r>
      </text>
    </comment>
    <comment ref="BY49" authorId="1" shapeId="0" xr:uid="{DAEB798A-3F11-4E99-A9BE-7C1A4051FD6B}">
      <text>
        <r>
          <rPr>
            <b/>
            <sz val="8"/>
            <color indexed="81"/>
            <rFont val="Tahoma"/>
            <family val="2"/>
          </rPr>
          <t xml:space="preserve">Info Alberto 18/08/23:
</t>
        </r>
        <r>
          <rPr>
            <sz val="8"/>
            <color indexed="81"/>
            <rFont val="Tahoma"/>
            <family val="2"/>
          </rPr>
          <t>15.000 USD de anualidad Mktint. * 3 años  (el contrato es por 3 años)
15.000 USD: Fra del 18/08/23
Cobro previsto: A 30 días, vcmto 17/09/23
Llega copia transferencia: 15/09/23
Abonado Cta VFX USD: 18/09/23
Tc: 1,0663</t>
        </r>
      </text>
    </comment>
    <comment ref="CD49" authorId="1" shapeId="0" xr:uid="{C95C0A80-46FB-43B6-BAAB-8F4D3894DF13}">
      <text>
        <r>
          <rPr>
            <b/>
            <sz val="8"/>
            <color indexed="81"/>
            <rFont val="Tahoma"/>
            <family val="2"/>
          </rPr>
          <t xml:space="preserve">Info Alberto 18/08/23:
</t>
        </r>
        <r>
          <rPr>
            <sz val="8"/>
            <color indexed="81"/>
            <rFont val="Tahoma"/>
            <family val="2"/>
          </rPr>
          <t>15.000 USD de anualidad Mktint. * 3 años  (el contrato es por 3 años)
15.000 USD: Fra del 25/01/24
Cobro previsto: A 30 días, vcmto 25/02/24
23/02/24: Llega copia de transferencia a VFX USD
Abonado Cta VFX en USD el 26/02/24 
Tc: 1,0852</t>
        </r>
      </text>
    </comment>
    <comment ref="BJ52" authorId="0" shapeId="0" xr:uid="{00000000-0006-0000-0100-000041000000}">
      <text>
        <r>
          <rPr>
            <b/>
            <sz val="9"/>
            <color indexed="81"/>
            <rFont val="Tahoma"/>
            <family val="2"/>
          </rPr>
          <t>Anotado en nov</t>
        </r>
        <r>
          <rPr>
            <sz val="9"/>
            <color indexed="81"/>
            <rFont val="Tahoma"/>
            <family val="2"/>
          </rPr>
          <t xml:space="preserve">
</t>
        </r>
      </text>
    </comment>
    <comment ref="AC53" authorId="1" shapeId="0" xr:uid="{00000000-0006-0000-0100-000042000000}">
      <text>
        <r>
          <rPr>
            <b/>
            <sz val="8"/>
            <color indexed="81"/>
            <rFont val="Tahoma"/>
            <family val="2"/>
          </rPr>
          <t>alfonso:</t>
        </r>
        <r>
          <rPr>
            <sz val="8"/>
            <color indexed="81"/>
            <rFont val="Tahoma"/>
            <family val="2"/>
          </rPr>
          <t xml:space="preserve">
5000 de 10 year market outlook AdHoc, pasada a empresa de francia sin IVA en una de 20.000 que incluye 15000 de anualidad Mktint</t>
        </r>
      </text>
    </comment>
    <comment ref="AD53" authorId="0" shapeId="0" xr:uid="{00000000-0006-0000-0100-000043000000}">
      <text>
        <r>
          <rPr>
            <b/>
            <sz val="9"/>
            <color indexed="81"/>
            <rFont val="Tahoma"/>
            <family val="2"/>
          </rPr>
          <t>rosa:</t>
        </r>
        <r>
          <rPr>
            <sz val="9"/>
            <color indexed="81"/>
            <rFont val="Tahoma"/>
            <family val="2"/>
          </rPr>
          <t xml:space="preserve">
Factura 2 de 2 (el pago de la 1 es en feb de 2019)
6000€ + IVA
Abonado: 06/02/20</t>
        </r>
      </text>
    </comment>
    <comment ref="W55" authorId="3" shapeId="0" xr:uid="{00000000-0006-0000-0100-000044000000}">
      <text>
        <r>
          <rPr>
            <b/>
            <sz val="9"/>
            <color indexed="81"/>
            <rFont val="Tahoma"/>
            <family val="2"/>
          </rPr>
          <t>Alberto Carmona:</t>
        </r>
        <r>
          <rPr>
            <sz val="9"/>
            <color indexed="81"/>
            <rFont val="Tahoma"/>
            <family val="2"/>
          </rPr>
          <t xml:space="preserve">
1h Guidepoint
fra de agosto por 270,5 USD</t>
        </r>
      </text>
    </comment>
    <comment ref="AC55" authorId="3" shapeId="0" xr:uid="{00000000-0006-0000-0100-000045000000}">
      <text>
        <r>
          <rPr>
            <b/>
            <sz val="9"/>
            <color indexed="81"/>
            <rFont val="Tahoma"/>
            <family val="2"/>
          </rPr>
          <t>Rosa:</t>
        </r>
        <r>
          <rPr>
            <sz val="9"/>
            <color indexed="81"/>
            <rFont val="Tahoma"/>
            <family val="2"/>
          </rPr>
          <t xml:space="preserve">
Guidepoint:
fra de enero por 836,95 USD
720,83 eu entran en banco
</t>
        </r>
      </text>
    </comment>
    <comment ref="AG55" authorId="3" shapeId="0" xr:uid="{00000000-0006-0000-0100-000046000000}">
      <text>
        <r>
          <rPr>
            <b/>
            <sz val="9"/>
            <color indexed="81"/>
            <rFont val="Tahoma"/>
            <family val="2"/>
          </rPr>
          <t>Rosa:</t>
        </r>
        <r>
          <rPr>
            <sz val="9"/>
            <color indexed="81"/>
            <rFont val="Tahoma"/>
            <family val="2"/>
          </rPr>
          <t xml:space="preserve">
Guidepoint:
fra de mayo por 259.20 USD
215,93 eu entran en banco el 11/05/20
</t>
        </r>
      </text>
    </comment>
    <comment ref="BE55" authorId="3" shapeId="0" xr:uid="{6DD4786E-BA7B-4162-BE18-E1E7E49B23BE}">
      <text>
        <r>
          <rPr>
            <b/>
            <sz val="9"/>
            <color indexed="81"/>
            <rFont val="Tahoma"/>
            <family val="2"/>
          </rPr>
          <t>Rosa:</t>
        </r>
        <r>
          <rPr>
            <sz val="9"/>
            <color indexed="81"/>
            <rFont val="Tahoma"/>
            <family val="2"/>
          </rPr>
          <t xml:space="preserve">
Guidepoint:
fra de marzo por 714,55 USD
650€ entran en banco el 11/03/22
</t>
        </r>
      </text>
    </comment>
    <comment ref="BW55" authorId="3" shapeId="0" xr:uid="{8BCFAA94-EC3D-40CD-AAF1-31796BF3C464}">
      <text>
        <r>
          <rPr>
            <b/>
            <sz val="9"/>
            <color indexed="81"/>
            <rFont val="Tahoma"/>
            <family val="2"/>
          </rPr>
          <t>Rosa:</t>
        </r>
        <r>
          <rPr>
            <sz val="9"/>
            <color indexed="81"/>
            <rFont val="Tahoma"/>
            <family val="2"/>
          </rPr>
          <t xml:space="preserve">
Guidepoint:
fra de agosto por 299,79 USD
273,33€ entran en banco el 14/08/23
</t>
        </r>
      </text>
    </comment>
    <comment ref="AL56" authorId="1" shapeId="0" xr:uid="{00000000-0006-0000-0100-000047000000}">
      <text>
        <r>
          <rPr>
            <b/>
            <sz val="8"/>
            <color indexed="81"/>
            <rFont val="Tahoma"/>
            <family val="2"/>
          </rPr>
          <t>Rosa:</t>
        </r>
        <r>
          <rPr>
            <sz val="8"/>
            <color indexed="81"/>
            <rFont val="Tahoma"/>
            <family val="2"/>
          </rPr>
          <t xml:space="preserve">
19508 EUR Ad Hoc: 43,35 h* 450 Eu/h
Fra del 03/09/20
Cobro previsto: septiembre
Abonado Caixa: 29/09/20</t>
        </r>
      </text>
    </comment>
    <comment ref="AM56" authorId="1" shapeId="0" xr:uid="{00000000-0006-0000-0100-000048000000}">
      <text>
        <r>
          <rPr>
            <b/>
            <sz val="8"/>
            <color indexed="81"/>
            <rFont val="Tahoma"/>
            <family val="2"/>
          </rPr>
          <t>Rosa:</t>
        </r>
        <r>
          <rPr>
            <sz val="8"/>
            <color indexed="81"/>
            <rFont val="Tahoma"/>
            <family val="2"/>
          </rPr>
          <t xml:space="preserve">
2782,50 EUR Ad Hoc: 6,18 h* 450 Eu/h
Fra del 02/10/20
Cobro previsto: octubre
Abonado Caixa: 14/10/20</t>
        </r>
      </text>
    </comment>
    <comment ref="AO57" authorId="1" shapeId="0" xr:uid="{00000000-0006-0000-0100-000049000000}">
      <text>
        <r>
          <rPr>
            <b/>
            <sz val="8"/>
            <color indexed="81"/>
            <rFont val="Tahoma"/>
            <family val="2"/>
          </rPr>
          <t>Rosa:</t>
        </r>
        <r>
          <rPr>
            <sz val="8"/>
            <color indexed="81"/>
            <rFont val="Tahoma"/>
            <family val="2"/>
          </rPr>
          <t xml:space="preserve">
2663,97 EUR Ad Hoc
Fra del 10/12/20
Cobro previsto: diciembre
Abonado Caixa: 11/12/20</t>
        </r>
      </text>
    </comment>
    <comment ref="V59" authorId="4" shapeId="0" xr:uid="{00000000-0006-0000-0100-00004A000000}">
      <text>
        <r>
          <rPr>
            <b/>
            <sz val="9"/>
            <color indexed="81"/>
            <rFont val="Tahoma"/>
            <family val="2"/>
          </rPr>
          <t>Backoffice:</t>
        </r>
        <r>
          <rPr>
            <sz val="9"/>
            <color indexed="81"/>
            <rFont val="Tahoma"/>
            <family val="2"/>
          </rPr>
          <t xml:space="preserve">
1174 cbm brokeados con Interalco</t>
        </r>
      </text>
    </comment>
    <comment ref="T61" authorId="5" shapeId="0" xr:uid="{00000000-0006-0000-0100-00004B000000}">
      <text>
        <r>
          <rPr>
            <b/>
            <sz val="9"/>
            <color indexed="81"/>
            <rFont val="Tahoma"/>
            <family val="2"/>
          </rPr>
          <t>Alberto:</t>
        </r>
        <r>
          <rPr>
            <sz val="9"/>
            <color indexed="81"/>
            <rFont val="Tahoma"/>
            <family val="2"/>
          </rPr>
          <t xml:space="preserve">
0,66 USD/cbm x 10k cbm
=2666700*0,0025/1,13
fra de mayo por 6666,75USD</t>
        </r>
      </text>
    </comment>
    <comment ref="W61" authorId="1" shapeId="0" xr:uid="{00000000-0006-0000-0100-00004C000000}">
      <text>
        <r>
          <rPr>
            <b/>
            <sz val="8"/>
            <color indexed="81"/>
            <rFont val="Tahoma"/>
            <family val="2"/>
          </rPr>
          <t>alfonso:</t>
        </r>
        <r>
          <rPr>
            <sz val="8"/>
            <color indexed="81"/>
            <rFont val="Tahoma"/>
            <family val="2"/>
          </rPr>
          <t xml:space="preserve">
la factura es de agosto por 6,063,36 USD¿?</t>
        </r>
      </text>
    </comment>
    <comment ref="AA62" authorId="3" shapeId="0" xr:uid="{00000000-0006-0000-0100-00004D000000}">
      <text>
        <r>
          <rPr>
            <b/>
            <sz val="9"/>
            <color indexed="81"/>
            <rFont val="Tahoma"/>
            <family val="2"/>
          </rPr>
          <t>Alberto Carmona:</t>
        </r>
        <r>
          <rPr>
            <sz val="9"/>
            <color indexed="81"/>
            <rFont val="Tahoma"/>
            <family val="2"/>
          </rPr>
          <t xml:space="preserve">
7k cbm brokeados con Cremer @ 2USD/cbm
12803,93 eu entran en banco
25,61 de comision bancaria</t>
        </r>
      </text>
    </comment>
    <comment ref="AH62" authorId="3" shapeId="0" xr:uid="{00000000-0006-0000-0100-00004E000000}">
      <text>
        <r>
          <rPr>
            <b/>
            <sz val="9"/>
            <color indexed="81"/>
            <rFont val="Tahoma"/>
            <family val="2"/>
          </rPr>
          <t>Alberto Carmona:</t>
        </r>
        <r>
          <rPr>
            <sz val="9"/>
            <color indexed="81"/>
            <rFont val="Tahoma"/>
            <family val="2"/>
          </rPr>
          <t xml:space="preserve">
Parece que no van a tener volumen</t>
        </r>
      </text>
    </comment>
    <comment ref="AS62" authorId="0" shapeId="0" xr:uid="{6BAD6173-9CC3-4CC3-8137-6CE08BE7E20C}">
      <text>
        <r>
          <rPr>
            <b/>
            <sz val="9"/>
            <color indexed="81"/>
            <rFont val="Tahoma"/>
            <family val="2"/>
          </rPr>
          <t>rosa:</t>
        </r>
        <r>
          <rPr>
            <sz val="9"/>
            <color indexed="81"/>
            <rFont val="Tahoma"/>
            <family val="2"/>
          </rPr>
          <t xml:space="preserve">
Seaboard-Rosadani 7500 cbm x 2 USD/cbm
Info Alberto: 22/09/20
Emitir fra en noviembre, avisar a Alberto
Posponemos hasta febrero
16/02/21: Info Alberto: Posponemos hasta marzo
Fra del 02/03/21
Cobro previsto: Marzo.
27/03/21: Email Alberto:l Pago realizado, debe de aparecer en los próximos días
Abonado en Caixa USD: 21/04/21.</t>
        </r>
      </text>
    </comment>
    <comment ref="BL62" authorId="3" shapeId="0" xr:uid="{00000000-0006-0000-0100-000051000000}">
      <text>
        <r>
          <rPr>
            <b/>
            <sz val="9"/>
            <color indexed="81"/>
            <rFont val="Tahoma"/>
            <family val="2"/>
          </rPr>
          <t>Alberto Carmona:</t>
        </r>
        <r>
          <rPr>
            <sz val="9"/>
            <color indexed="81"/>
            <rFont val="Tahoma"/>
            <family val="2"/>
          </rPr>
          <t xml:space="preserve">
15k cbm x 2 usd/cbm</t>
        </r>
      </text>
    </comment>
    <comment ref="X63" authorId="4" shapeId="0" xr:uid="{00000000-0006-0000-0100-000052000000}">
      <text>
        <r>
          <rPr>
            <b/>
            <sz val="9"/>
            <color indexed="81"/>
            <rFont val="Tahoma"/>
            <family val="2"/>
          </rPr>
          <t>Backoffice:</t>
        </r>
        <r>
          <rPr>
            <sz val="9"/>
            <color indexed="81"/>
            <rFont val="Tahoma"/>
            <family val="2"/>
          </rPr>
          <t xml:space="preserve">
12k brokeados con Murex
=12126,722*1,789=21,694,71
en factura pone 24.253,44 USD</t>
        </r>
      </text>
    </comment>
    <comment ref="Z63" authorId="3" shapeId="0" xr:uid="{00000000-0006-0000-0100-000053000000}">
      <text>
        <r>
          <rPr>
            <sz val="9"/>
            <color indexed="81"/>
            <rFont val="Tahoma"/>
            <family val="2"/>
          </rPr>
          <t>7167 cbm brokeados con Seaboard @ 2USD/cbm
12963 eu entran en banco
25,93 de comision bancaria</t>
        </r>
      </text>
    </comment>
    <comment ref="AM63" authorId="3" shapeId="0" xr:uid="{00000000-0006-0000-0100-000054000000}">
      <text>
        <r>
          <rPr>
            <b/>
            <sz val="9"/>
            <color indexed="81"/>
            <rFont val="Tahoma"/>
            <family val="2"/>
          </rPr>
          <t>Rosa:
Info Alberto 07/07/20:</t>
        </r>
        <r>
          <rPr>
            <sz val="9"/>
            <color indexed="81"/>
            <rFont val="Tahoma"/>
            <family val="2"/>
          </rPr>
          <t xml:space="preserve">
7500 USD (7500 cbm x 1 USD/cbm) – factura a emitir en Sep, cobro estimado Oct
</t>
        </r>
        <r>
          <rPr>
            <b/>
            <sz val="9"/>
            <color indexed="81"/>
            <rFont val="Tahoma"/>
            <family val="2"/>
          </rPr>
          <t>Info Alberto 22/09/20</t>
        </r>
        <r>
          <rPr>
            <sz val="9"/>
            <color indexed="81"/>
            <rFont val="Tahoma"/>
            <family val="2"/>
          </rPr>
          <t xml:space="preserve">
brokerage fee for 7.522 cbm sold to Cremer by CCI @ 2 USD/cbm.
Fra del 23/09/20
Cobro previsto: octubre
Abonado Cta Ebury: 08/10/20</t>
        </r>
      </text>
    </comment>
    <comment ref="AZ63" authorId="2" shapeId="0" xr:uid="{C9FE6B7A-FCB9-492F-BA9E-91EB09FFD5FD}">
      <text>
        <r>
          <rPr>
            <b/>
            <sz val="9"/>
            <color indexed="81"/>
            <rFont val="Tahoma"/>
            <family val="2"/>
          </rPr>
          <t xml:space="preserve">Info Alberto 11/05/21:
Contrato cerrado. </t>
        </r>
        <r>
          <rPr>
            <sz val="9"/>
            <color indexed="81"/>
            <rFont val="Tahoma"/>
            <family val="2"/>
          </rPr>
          <t xml:space="preserve">
9.804,98 cbm ACA-Cremer x 2 USD/cbm 1H Aug loading.  
Emitir factura con fecha 15 Octubre
Fra del 15/10/21
Cobro Fra previsto Cta VFX: Noviembre 2021.
Abonado VFX: 28/10/21
Tc: 1,1645</t>
        </r>
      </text>
    </comment>
    <comment ref="AL64" authorId="3" shapeId="0" xr:uid="{00000000-0006-0000-0100-000055000000}">
      <text>
        <r>
          <rPr>
            <b/>
            <sz val="9"/>
            <color indexed="81"/>
            <rFont val="Tahoma"/>
            <family val="2"/>
          </rPr>
          <t>Rosa:
Info Alberto 29/06/20:</t>
        </r>
        <r>
          <rPr>
            <sz val="9"/>
            <color indexed="81"/>
            <rFont val="Tahoma"/>
            <family val="2"/>
          </rPr>
          <t xml:space="preserve">
7500 cbm*0,75 USD/cbm
Emitir fra a mediados  agosto, cobrar al cliente en septiembre
5659 USD (7544*0,75)
Fra del 19/08/20
Cobro previsto: septiembre
Abonado Cta Ebury: 21/09/20</t>
        </r>
      </text>
    </comment>
    <comment ref="AO64" authorId="3" shapeId="0" xr:uid="{00000000-0006-0000-0100-000056000000}">
      <text>
        <r>
          <rPr>
            <b/>
            <sz val="9"/>
            <color indexed="81"/>
            <rFont val="Tahoma"/>
            <family val="2"/>
          </rPr>
          <t>Rosa:
Info Alberto 11/09/20:</t>
        </r>
        <r>
          <rPr>
            <sz val="9"/>
            <color indexed="81"/>
            <rFont val="Tahoma"/>
            <family val="2"/>
          </rPr>
          <t xml:space="preserve">
8500 cbm*0,75 USD/cbm
Emitir fra en octubre
6375 USD (8500*0,75)
Fra del 09/11/20
Cobro previsto: noviembre, facilitada Cta Caixa en fra
Tc aplicado: 1,2267
4677,18 E entran en banco
1 E comision bancaria
Abonado: 18/12/20
Ingresan 10% menos, OK ALF 21/12/20: Es una retención, pndte RE Sinver para saber si esa retención la recuperamos o no.
Info Sinver 30/12/20: la citada cantidad se podrá deducir en la declaración del Impuesto de Sociedades en España.
Solicitado a Verónica en cierre de dic 20</t>
        </r>
      </text>
    </comment>
    <comment ref="AT64" authorId="3" shapeId="0" xr:uid="{00000000-0006-0000-0100-000057000000}">
      <text>
        <r>
          <rPr>
            <b/>
            <sz val="9"/>
            <color indexed="81"/>
            <rFont val="Tahoma"/>
            <family val="2"/>
          </rPr>
          <t>Rosa:
Info Alberto 22/09/20:</t>
        </r>
        <r>
          <rPr>
            <sz val="9"/>
            <color indexed="81"/>
            <rFont val="Tahoma"/>
            <family val="2"/>
          </rPr>
          <t xml:space="preserve">
 ACA-Rosadani 3500 cbm x 2 usd/cbm
Emitir fra en noviembre, avisar a Alberto
Posponemos hasta febrero
16/02/21: Info Alberto: Posponemos hasta marzo
16/03/21: Info Alberto: Posponemos hasta abril
Info de alberto 31/03/21: El precio se modifica a 0,75 usd/cbm.
Fra del 05/04/21
Cobro previsto en abril.
Abonado 2.362,50 USD: 31/05/21.
No se ha cobrado el total de la factura, por importe de 2.625 USD porque viene impuesto deducido. 
Tc = 1,2201
Ingresan 10% menos, OK ALF 21/12/20: Es una retención, 
Info Sinver 30/12/20: la citada cantidad se podrá deducir en la declaración del Impuesto de Sociedades en España.
</t>
        </r>
      </text>
    </comment>
    <comment ref="AU64" authorId="0" shapeId="0" xr:uid="{00000000-0006-0000-0100-000058000000}">
      <text>
        <r>
          <rPr>
            <b/>
            <sz val="9"/>
            <color indexed="81"/>
            <rFont val="Tahoma"/>
            <family val="2"/>
          </rPr>
          <t>Anotado en abril</t>
        </r>
        <r>
          <rPr>
            <sz val="9"/>
            <color indexed="81"/>
            <rFont val="Tahoma"/>
            <family val="2"/>
          </rPr>
          <t xml:space="preserve">
</t>
        </r>
      </text>
    </comment>
    <comment ref="BB64" authorId="2" shapeId="0" xr:uid="{C1857F03-C25F-435A-AFFB-D400E2E603C2}">
      <text>
        <r>
          <rPr>
            <b/>
            <sz val="9"/>
            <color indexed="81"/>
            <rFont val="Tahoma"/>
            <family val="2"/>
          </rPr>
          <t xml:space="preserve">Info Alberto 11/05/21:
Contrato cerrado. 
</t>
        </r>
        <r>
          <rPr>
            <sz val="9"/>
            <color indexed="81"/>
            <rFont val="Tahoma"/>
            <family val="2"/>
          </rPr>
          <t>9.804,98 cbm ACA-Cremer x 0,75 USD/cbm 1H Aug loading.  
Emitir factura en Octubre
Fra del 20/10/21
Cobro Fra Cta VFX: 02/12/21
Tc aplicado: 1,1291
Ingresan 10% menos: Es una retención, este importe se podrá deducir en la declaración del Impuesto de Sociedades en España.
Solicitado a David el 03/12/21</t>
        </r>
      </text>
    </comment>
    <comment ref="BE64" authorId="3" shapeId="0" xr:uid="{00000000-0006-0000-0100-000059000000}">
      <text>
        <r>
          <rPr>
            <b/>
            <sz val="9"/>
            <color indexed="81"/>
            <rFont val="Tahoma"/>
            <family val="2"/>
          </rPr>
          <t>Rosa:
Info Alberto 11/09/20:</t>
        </r>
        <r>
          <rPr>
            <sz val="9"/>
            <color indexed="81"/>
            <rFont val="Tahoma"/>
            <family val="2"/>
          </rPr>
          <t xml:space="preserve">
8500 cbm*0,75 USD/cbm
Emitir fra en octubre
6375 USD (8500*0,75)
Fra del 09/11/20
Cobro previsto: noviembre, facilitada Cta Caixa en fra
Tc aplicado: 1,2267
4677,18 E entran en banco
1 E comision bancaria
Abonado: 18/12/20
Ingresan 10% menos, OK ALF 21/12/20: Es una retención, pndte RE Sinver para saber si esa retención la recuperamos o no
Email ALF 30/12/20: La citada cantidad se podrá deducir en la declaración del Impuesto de Sociedades en España.
</t>
        </r>
        <r>
          <rPr>
            <b/>
            <sz val="9"/>
            <color indexed="81"/>
            <rFont val="Tahoma"/>
            <family val="2"/>
          </rPr>
          <t>------------------------------------------------------------
Info Alberto 22/09/20:</t>
        </r>
        <r>
          <rPr>
            <sz val="9"/>
            <color indexed="81"/>
            <rFont val="Tahoma"/>
            <family val="2"/>
          </rPr>
          <t xml:space="preserve">
 ACA-Rosadani 3500 cbm x 2 usd/cbm
Info de alberto 31/03/21: El precio se modifica a 0,75 usd/cbm.
Fra del 05/04/21
Cobro previsto en abril.
Abonado 2.362,50 USD: 31/05/21.
No se ha cobrado el total de la factura, por importe de 2.625 USD porque viene impuesto deducido. 
Tc = 1,2201
Ingresan 10% menos, OK ALF 21/12/20: Es una retención, 
Info Sinver 30/12/20: la citada cantidad se podrá deducir en la declaración del Impuesto de Sociedades en España.
---------------------------------------------------
24/03/22: IS Confirmado por Sinver: 26805,81€
Aplicada deducción por las retenciones de Argentina (734,65€) y pagos fraccionados del 20/10 y 20/12/20 por un total de 5520,28€
26805,81€: Cargado BBVA: 25/03/22</t>
        </r>
      </text>
    </comment>
    <comment ref="BR64" authorId="2" shapeId="0" xr:uid="{7EAC9215-905D-408B-8388-0F93EC703362}">
      <text>
        <r>
          <rPr>
            <b/>
            <sz val="9"/>
            <color indexed="81"/>
            <rFont val="Tahoma"/>
            <family val="2"/>
          </rPr>
          <t xml:space="preserve">Info Alberto 11/05/21:
Contrato cerrado. 
</t>
        </r>
        <r>
          <rPr>
            <sz val="9"/>
            <color indexed="81"/>
            <rFont val="Tahoma"/>
            <family val="2"/>
          </rPr>
          <t xml:space="preserve">9.804,98 cbm ACA-Cremer x 0,75 USD/cbm 1H Aug loading.  
Emitir factura en Octubre
Fra del 20/10/21
Cobro Fra Cta VFX: 02/12/21
Tc aplicado: 1,128664
Ingresan 10% menos: Es una retención, este importe se podrá deducir en la declaración del Impuesto de Sociedades en España.
Solicitado a David el 07/12/21
197100€: Cargado BBVA: 23/03/23
20/03/23: Confirmado por Sinver: 227.071,42€
Aplicada deducción por las retenciones de Argentina (735,37$=651,54€) y pago fraccionado del 20/04/22 por un total de 5.818,70€
197.100€: Lo cargarán en BBVA el 25/03/23
197100€: Cargado BBVA: 23/03/23
El resto 29.971,42€ + 3,75%
-------------------------------------
20000 USD: Fee mínimo
Fra del 19/12/22
Cobro previsto Cta VFX: Enero
Reclamado: 22/02/23
Info Alberto 16/03/23: Modificamos fra a fecha actual
Fra de Abono del 16/03/23
Fra fecha correcta del 16/03/23
Cobro Fra Cta VFX: 24/03/23
Tc aplicado: 1,0745 
Ingresan 10% menos: Es una retención, este importe se podrá deducir en la declaración del Impuesto de Sociedades en España.
Solicitar a David </t>
        </r>
      </text>
    </comment>
    <comment ref="CF64" authorId="2" shapeId="0" xr:uid="{6D8FDE73-BD8D-468C-82C2-B84E925CF096}">
      <text>
        <r>
          <rPr>
            <sz val="9"/>
            <color indexed="81"/>
            <rFont val="Tahoma"/>
            <family val="2"/>
          </rPr>
          <t>20000 USD: Fee mínimo
Fra del 19/12/22
Cobro previsto Cta VFX: Enero
Reclamado: 22/02/23
Info Alberto 16/03/23: Modificamos fra a fecha actual
Fra de Abono del 16/03/23
Fra fecha correcta del 16/03/23
Cobro Fra Cta VFX: 24/03/23
Tc aplicado: 
Ingresan 10% menos: Es una retención, este importe se podrá deducir en la declaración del Impuesto de Sociedades en España.
Solicitar a David 
22/03/24: Confirmado por Sinver: 10.499,12€
Aplicada deducción por las retenciones de Argentina (2000$=2.151,80€) y pago fraccionado del 20/04/22 por un total de 5.818,70€
197.100€: Lo cargarán en BBVA el 25/03/23
197100€: Cargado BBVA: 23/03/23
El resto 29.971,42€ + 3,75%
21/03/24: Confirmado por Sinver: 10.499,12€ a devolver
IS: 17.192,30€ (25% 4.298,08€ a pagar)
Aplicada deducción por las retenciones de Argentina (2000$=2.151,80€) y pagos fraccionados de octubre y diciembre 2022 y de abril 2023 por un total de 12.645,40€
10.499,12€: Pndte ingreso en Caixa</t>
        </r>
      </text>
    </comment>
    <comment ref="CI64" authorId="2" shapeId="0" xr:uid="{44FA05CC-5BF3-4D04-B565-F50D1819308D}">
      <text>
        <r>
          <rPr>
            <sz val="9"/>
            <color indexed="81"/>
            <rFont val="Tahoma"/>
            <family val="2"/>
          </rPr>
          <t>20000 USD: Fee mínimo
Fra del 19/12/22
Cobro previsto Cta VFX: Enero
Reclamado: 22/02/23
Info Alberto 16/03/23: Modificamos fra a fecha actual
Fra de Abono del 16/03/23
Fra fecha correcta del 16/03/23
Cobro Fra Cta VFX: 24/03/23
Tc aplicado: 
Ingresan 10% menos: Es una retención, este importe se podrá deducir en la declaración del Impuesto de Sociedades en España.
Solicitar a David 
--------------------------------------------------------
20000 USD: Fee mínimo
Fra del 26/09/23
Cobro previsto Cta VFX: octubre
Ingresarán 10% menos: Es una retención, este importe se podrá deducir en la declaración del Impuesto de Sociedades en España.
Solicitar a David 
Reclamado pago el 22/11/23 y 26/02/24</t>
        </r>
      </text>
    </comment>
    <comment ref="AM65" authorId="3" shapeId="0" xr:uid="{00000000-0006-0000-0100-00005B000000}">
      <text>
        <r>
          <rPr>
            <b/>
            <sz val="9"/>
            <color indexed="81"/>
            <rFont val="Tahoma"/>
            <family val="2"/>
          </rPr>
          <t>Rosa:
Info Alberto 07/07/20:</t>
        </r>
        <r>
          <rPr>
            <sz val="9"/>
            <color indexed="81"/>
            <rFont val="Tahoma"/>
            <family val="2"/>
          </rPr>
          <t xml:space="preserve">
11.250 USD (7500 cbm x 1,5 USD/cbm) – factura a emitir en Agosto, cobro estimado Sep
11281,72 USD (7521,147*1,5)
Fra del 16/09/20
Cobro previsto: octubre
01/10/20: Modificado datos cliente y enviada de nuevo
Abonado Cta Ebury: 02/10/20</t>
        </r>
      </text>
    </comment>
    <comment ref="AM66" authorId="3" shapeId="0" xr:uid="{00000000-0006-0000-0100-00005C000000}">
      <text>
        <r>
          <rPr>
            <b/>
            <sz val="9"/>
            <color indexed="81"/>
            <rFont val="Tahoma"/>
            <family val="2"/>
          </rPr>
          <t>Rosa:
Info Alberto 07/07/20:</t>
        </r>
        <r>
          <rPr>
            <sz val="9"/>
            <color indexed="81"/>
            <rFont val="Tahoma"/>
            <family val="2"/>
          </rPr>
          <t xml:space="preserve">
7875 USD (7500 cbm x 1,05 USD/cbm) – factura a emitir en Sep, cobro estimado Oct
</t>
        </r>
        <r>
          <rPr>
            <b/>
            <sz val="9"/>
            <color indexed="81"/>
            <rFont val="Tahoma"/>
            <family val="2"/>
          </rPr>
          <t xml:space="preserve">
Info Alberto 12/08/20:</t>
        </r>
        <r>
          <rPr>
            <sz val="9"/>
            <color indexed="81"/>
            <rFont val="Tahoma"/>
            <family val="2"/>
          </rPr>
          <t xml:space="preserve">
1300 cbm RP-Bioagra @ 1 Eur/cbm - factura a emitir en Oct, avisar a Alberto
6768,95 E: Aca Bio/CCI/Cremer
Fra del 16/10/20
Cobro previsto: octubre
Abonado Caixa: 30/10/20
5460 E: Bioagra
Fra del 16/10/20
Cobro previsto: octubre
Abonado Caixa: 30/10/20</t>
        </r>
      </text>
    </comment>
    <comment ref="BG66" authorId="3" shapeId="0" xr:uid="{70353A74-839A-4FA9-987E-1A6068D54DD7}">
      <text>
        <r>
          <rPr>
            <b/>
            <sz val="9"/>
            <color indexed="81"/>
            <rFont val="Tahoma"/>
            <family val="2"/>
          </rPr>
          <t xml:space="preserve">
Info Alberto 16/02/22:</t>
        </r>
        <r>
          <rPr>
            <sz val="9"/>
            <color indexed="81"/>
            <rFont val="Tahoma"/>
            <family val="2"/>
          </rPr>
          <t xml:space="preserve">
21000€ (6000 cbm x 3,5) – realizar factura para cobrar en Mayo, avisar a Alberto
</t>
        </r>
        <r>
          <rPr>
            <b/>
            <sz val="9"/>
            <color indexed="81"/>
            <rFont val="Tahoma"/>
            <family val="2"/>
          </rPr>
          <t>Info Alberto 03/03/22:</t>
        </r>
        <r>
          <rPr>
            <sz val="9"/>
            <color indexed="81"/>
            <rFont val="Tahoma"/>
            <family val="2"/>
          </rPr>
          <t xml:space="preserve">
Subir este importe anterior a 75000 USD (6000 cbm x 12,7) – realizar factura para cobrar en Mayo, avisar a Alberto
-----------------------------------------------
</t>
        </r>
        <r>
          <rPr>
            <b/>
            <sz val="9"/>
            <color indexed="81"/>
            <rFont val="Tahoma"/>
            <family val="2"/>
          </rPr>
          <t>Info Alberto 05/05/22:</t>
        </r>
        <r>
          <rPr>
            <sz val="9"/>
            <color indexed="81"/>
            <rFont val="Tahoma"/>
            <family val="2"/>
          </rPr>
          <t xml:space="preserve">
4.287,34€=Brokerage fee for 4.083,177 cbm from Czarnikow to Shell @ 1,05 Eur/cbm  
Fra del 06/05/22
Cobro previsto en junio
Abonado Caixa: 20/05/22</t>
        </r>
      </text>
    </comment>
    <comment ref="BH66" authorId="3" shapeId="0" xr:uid="{EC37EA9C-9DBB-4490-AC78-4BE9BDB9B4EF}">
      <text>
        <r>
          <rPr>
            <b/>
            <sz val="9"/>
            <color indexed="81"/>
            <rFont val="Tahoma"/>
            <family val="2"/>
          </rPr>
          <t xml:space="preserve">
Info Alberto 16/02/22:</t>
        </r>
        <r>
          <rPr>
            <sz val="9"/>
            <color indexed="81"/>
            <rFont val="Tahoma"/>
            <family val="2"/>
          </rPr>
          <t xml:space="preserve">
21000€ (6000 cbm x 3,5) – realizar factura para cobrar en Mayo, avisar a Alberto
</t>
        </r>
        <r>
          <rPr>
            <b/>
            <sz val="9"/>
            <color indexed="81"/>
            <rFont val="Tahoma"/>
            <family val="2"/>
          </rPr>
          <t>Info Alberto 03/03/22:</t>
        </r>
        <r>
          <rPr>
            <sz val="9"/>
            <color indexed="81"/>
            <rFont val="Tahoma"/>
            <family val="2"/>
          </rPr>
          <t xml:space="preserve">
Subir este importe anterior a 75000 USD (6000 cbm x 12,7) – realizar factura para cobrar en Mayo, avisar a Alberto</t>
        </r>
        <r>
          <rPr>
            <b/>
            <sz val="9"/>
            <color indexed="81"/>
            <rFont val="Tahoma"/>
            <family val="2"/>
          </rPr>
          <t xml:space="preserve">
Info Alberto 05/05/22:</t>
        </r>
        <r>
          <rPr>
            <sz val="9"/>
            <color indexed="81"/>
            <rFont val="Tahoma"/>
            <family val="2"/>
          </rPr>
          <t xml:space="preserve">
4.287,34€=Brokerage fee for 4.083,177 cbm from Czarnikow to Shell @ 1,05 Eur/cbm  
Fra emitida el 06/05/22
</t>
        </r>
        <r>
          <rPr>
            <b/>
            <sz val="9"/>
            <color indexed="81"/>
            <rFont val="Tahoma"/>
            <family val="2"/>
          </rPr>
          <t>Info Alberto 17/06/22:</t>
        </r>
        <r>
          <rPr>
            <sz val="9"/>
            <color indexed="81"/>
            <rFont val="Tahoma"/>
            <family val="2"/>
          </rPr>
          <t xml:space="preserve">
36000€ (6000 cbm x 6) – realizar factura parcial, pndte fra por el importe restante
Fra emitida el 17/06/22
Abonado Caixa: 30/06/22</t>
        </r>
      </text>
    </comment>
    <comment ref="BJ66" authorId="3" shapeId="0" xr:uid="{151CD260-EE04-4523-B528-D819F62F4930}">
      <text>
        <r>
          <rPr>
            <b/>
            <sz val="9"/>
            <color indexed="81"/>
            <rFont val="Tahoma"/>
            <family val="2"/>
          </rPr>
          <t xml:space="preserve">
Info Alberto 16/02/22:</t>
        </r>
        <r>
          <rPr>
            <sz val="9"/>
            <color indexed="81"/>
            <rFont val="Tahoma"/>
            <family val="2"/>
          </rPr>
          <t xml:space="preserve">
21000€ (6000 cbm x 3,5) – realizar factura para cobrar en Mayo, avisar a Alberto
</t>
        </r>
        <r>
          <rPr>
            <b/>
            <sz val="9"/>
            <color indexed="81"/>
            <rFont val="Tahoma"/>
            <family val="2"/>
          </rPr>
          <t>Info Alberto 03/03/22:</t>
        </r>
        <r>
          <rPr>
            <sz val="9"/>
            <color indexed="81"/>
            <rFont val="Tahoma"/>
            <family val="2"/>
          </rPr>
          <t xml:space="preserve">
Subir este importe anterior a 75000 USD (6000 cbm x 12,7) – realizar factura para cobrar en Mayo, avisar a Alberto</t>
        </r>
        <r>
          <rPr>
            <b/>
            <sz val="9"/>
            <color indexed="81"/>
            <rFont val="Tahoma"/>
            <family val="2"/>
          </rPr>
          <t xml:space="preserve">
Info Alberto 05/05/22:</t>
        </r>
        <r>
          <rPr>
            <sz val="9"/>
            <color indexed="81"/>
            <rFont val="Tahoma"/>
            <family val="2"/>
          </rPr>
          <t xml:space="preserve">
4.287,34€=Brokerage fee for 4.083,177 cbm from Czarnikow to Shell @ 1,05 Eur/cbm  
Fra emitida el 06/05/22
</t>
        </r>
        <r>
          <rPr>
            <b/>
            <sz val="9"/>
            <color indexed="81"/>
            <rFont val="Tahoma"/>
            <family val="2"/>
          </rPr>
          <t>Info Alberto 17/06/22:</t>
        </r>
        <r>
          <rPr>
            <sz val="9"/>
            <color indexed="81"/>
            <rFont val="Tahoma"/>
            <family val="2"/>
          </rPr>
          <t xml:space="preserve">
36000€ (6000 cbm x 6) – realizar factura parcial, pndte fra por el importe restante
Fra emitida el 17/06/22
Eliminados porque el beneficio de Trade ha sido menor y con ello nuestra participacion.</t>
        </r>
      </text>
    </comment>
    <comment ref="AQ67" authorId="3" shapeId="0" xr:uid="{00000000-0006-0000-0100-00005D000000}">
      <text>
        <r>
          <rPr>
            <b/>
            <sz val="9"/>
            <color indexed="81"/>
            <rFont val="Tahoma"/>
            <family val="2"/>
          </rPr>
          <t xml:space="preserve">Rosa:
Info Alberto 12/0820:
</t>
        </r>
        <r>
          <rPr>
            <sz val="9"/>
            <color indexed="81"/>
            <rFont val="Tahoma"/>
            <family val="2"/>
          </rPr>
          <t>1300 cbm RP-Bioagra @ 1 Eur/cbm - factura a emitir en Oct, avisar a Alberto
Info Alberto 06/11/20
brokerage fee for 2859 cbm sold to Bioagra by Ruhr Petrol @ 1 EUR/cbm.
Fra del 06/11/20
Cobro previsto: noviembre
Abonado Caixa: 17/02/21</t>
        </r>
      </text>
    </comment>
    <comment ref="BH68" authorId="3" shapeId="0" xr:uid="{F22B0FA4-1F78-4822-9BCA-555FC06C7719}">
      <text>
        <r>
          <rPr>
            <b/>
            <sz val="9"/>
            <color indexed="81"/>
            <rFont val="Tahoma"/>
            <family val="2"/>
          </rPr>
          <t>Info Alberto 03/03/22:</t>
        </r>
        <r>
          <rPr>
            <sz val="9"/>
            <color indexed="81"/>
            <rFont val="Tahoma"/>
            <family val="2"/>
          </rPr>
          <t xml:space="preserve">
98000 USD– realizar factura para cobrar en Junio, avisar a Alberto
Importe modificado a 80000 USD
</t>
        </r>
        <r>
          <rPr>
            <b/>
            <sz val="9"/>
            <color indexed="81"/>
            <rFont val="Tahoma"/>
            <family val="2"/>
          </rPr>
          <t>Info Alberto 03/03/22:</t>
        </r>
        <r>
          <rPr>
            <sz val="9"/>
            <color indexed="81"/>
            <rFont val="Tahoma"/>
            <family val="2"/>
          </rPr>
          <t xml:space="preserve">
49000 USD– realizar factura para cobrar en Junio, avisar a Alberto
Importe modificado a 54000 USD
---------------------------------------------------
</t>
        </r>
        <r>
          <rPr>
            <b/>
            <sz val="9"/>
            <color indexed="81"/>
            <rFont val="Tahoma"/>
            <family val="2"/>
          </rPr>
          <t>Info Alberto 05/05/22:</t>
        </r>
        <r>
          <rPr>
            <sz val="9"/>
            <color indexed="81"/>
            <rFont val="Tahoma"/>
            <family val="2"/>
          </rPr>
          <t xml:space="preserve">
15.000 USD=Agency fee for 6.000 cbm sold to Ruhr Petrol/Shell @ 2,5 USD/cbm  
84.000 USD=Agency fee for 8.400 cbm sold to Total Energies @ 10 USD/cbm 
55.120,5 USD=Agency fee for 4.083 cbm sold to Ruhr Petrol/Shell @ 13,5 USD/cbm 
Fra del 05/05/22
154120,50 USD: Cobro: ingresado e VFX Usd el 08/06/22.
Tc: 1,0743</t>
        </r>
      </text>
    </comment>
    <comment ref="BL68" authorId="3" shapeId="0" xr:uid="{52EACE05-403E-494F-9A02-4B13063505DC}">
      <text>
        <r>
          <rPr>
            <b/>
            <sz val="9"/>
            <color indexed="81"/>
            <rFont val="Tahoma"/>
            <family val="2"/>
          </rPr>
          <t>Info Alberto 03/06/22:</t>
        </r>
        <r>
          <rPr>
            <sz val="9"/>
            <color indexed="81"/>
            <rFont val="Tahoma"/>
            <family val="2"/>
          </rPr>
          <t xml:space="preserve">
30000 USD=10k cbm x 3 USD/cbm
realizar factura para cobrar en septiembre, avisar a Alberto
Eliminamos ingreso, el Trade salio negativo y puede que tengamos que asumir un coste. </t>
        </r>
      </text>
    </comment>
    <comment ref="BP68" authorId="0" shapeId="0" xr:uid="{0EE31A14-62F4-4E8A-AFA8-BA87FCC605B6}">
      <text>
        <r>
          <rPr>
            <sz val="9"/>
            <color indexed="81"/>
            <rFont val="Tahoma"/>
            <family val="2"/>
          </rPr>
          <t>Info Alberto 29/09/22:
20000 USD=10.000 cbm Czarnikow-EDF
realizar factura para cobrar en diciembre, avisar a Alberto
-------------------------------
Info Alberto 30/09/22:
20000USD=10.000 cbm Czarnikow-Shell
realizar factura para cobrar en enero, avisar a Alberto
---------------------------------
43400 USD=Agency fee for 43400 sold to EDF and Shell 
Fra del 01/12/22
43400 USD: Cobro previsto en VFX en diciembre
Abonado Cta VFX USD: 06/01/23
Tc: 1,0696</t>
        </r>
      </text>
    </comment>
    <comment ref="BS69" authorId="0" shapeId="0" xr:uid="{D78BC458-DA3F-461A-BDE4-FDA476984FD6}">
      <text>
        <r>
          <rPr>
            <sz val="9"/>
            <color indexed="81"/>
            <rFont val="Tahoma"/>
            <family val="2"/>
          </rPr>
          <t>Info Alberto 29/09/22:
20000 USD=10.000 cbm Czarnikow-EDF
realizar factura para cobrar en diciembre, avisar a Alberto
10.220 cbm sold from Czarnikow to EDF @ 2 USD/cbm 
Fra del 17/04/23
Cobro previsto: mayo
Abonado VFX USD: 27/04/23
Tc: 1,1042</t>
        </r>
      </text>
    </comment>
    <comment ref="AG71" authorId="0" shapeId="0" xr:uid="{00000000-0006-0000-0100-00005E000000}">
      <text>
        <r>
          <rPr>
            <b/>
            <sz val="9"/>
            <color indexed="81"/>
            <rFont val="Tahoma"/>
            <family val="2"/>
          </rPr>
          <t>21420 USD: Posición abierta y cerrada el 29/05/20
Tc: 1,1136</t>
        </r>
      </text>
    </comment>
    <comment ref="AH71" authorId="0" shapeId="0" xr:uid="{00000000-0006-0000-0100-00005F000000}">
      <text>
        <r>
          <rPr>
            <sz val="9"/>
            <color indexed="81"/>
            <rFont val="Tahoma"/>
            <family val="2"/>
          </rPr>
          <t xml:space="preserve">
-2625 USD: Posición cerrada el 02/06/20
Tc: 1,1174
-75 USD: Posición cerrada el 19/06/20
Tc: 1,121
1050 USD: Posición cerrada el 19/06/20
Tc: 1,121
19593 USD: Posición cerrada el 19/06/20
Tc: 1,121
14994 USD: Posición cerrada el 19/06/20
Tc: 1,121
</t>
        </r>
      </text>
    </comment>
    <comment ref="AW71" authorId="2" shapeId="0" xr:uid="{EFCC2DCA-8BC5-4788-BD83-2E168F436AF0}">
      <text>
        <r>
          <rPr>
            <b/>
            <sz val="9"/>
            <color indexed="81"/>
            <rFont val="Tahoma"/>
            <family val="2"/>
          </rPr>
          <t xml:space="preserve">216 EUR: Ingreso cierre posición. </t>
        </r>
      </text>
    </comment>
    <comment ref="AY71" authorId="2" shapeId="0" xr:uid="{DDEFDADE-8275-475E-92F1-11B059090BCF}">
      <text>
        <r>
          <rPr>
            <sz val="9"/>
            <color indexed="81"/>
            <rFont val="Tahoma"/>
            <family val="2"/>
          </rPr>
          <t>85760€: Ganancia  cierre posición. 
-17360 USD: Perdida cierre posición
Tc: 1,1629</t>
        </r>
      </text>
    </comment>
    <comment ref="BB71" authorId="2" shapeId="0" xr:uid="{9DA4DD6E-87ED-486D-A7E4-3188F69FEC70}">
      <text>
        <r>
          <rPr>
            <sz val="9"/>
            <color indexed="81"/>
            <rFont val="Tahoma"/>
            <family val="2"/>
          </rPr>
          <t xml:space="preserve">701.700,00€: Ganancia  cierre posición. 
-93.925,00€: Perdida cierre posición.
</t>
        </r>
      </text>
    </comment>
    <comment ref="BG71" authorId="2" shapeId="0" xr:uid="{050F84C6-575D-4D66-9D01-DC5C7E3D340D}">
      <text>
        <r>
          <rPr>
            <sz val="9"/>
            <color indexed="81"/>
            <rFont val="Tahoma"/>
            <family val="2"/>
          </rPr>
          <t>637500€: Ganancia  cierre posición. 
-16642,50 USD: Perdida cierre posición
Tc: 1,1328</t>
        </r>
      </text>
    </comment>
    <comment ref="BM71" authorId="2" shapeId="0" xr:uid="{8FE41658-644A-4A44-BC4C-51218CACACC9}">
      <text>
        <r>
          <rPr>
            <sz val="9"/>
            <color indexed="81"/>
            <rFont val="Tahoma"/>
            <family val="2"/>
          </rPr>
          <t xml:space="preserve">-19792,08 USD: Perdida cierre posición
Tc: 1,0927
</t>
        </r>
      </text>
    </comment>
    <comment ref="BN71" authorId="2" shapeId="0" xr:uid="{7304DF4D-F7F3-456D-9AE7-493CC219AEF7}">
      <text>
        <r>
          <rPr>
            <sz val="9"/>
            <color indexed="81"/>
            <rFont val="Tahoma"/>
            <family val="2"/>
          </rPr>
          <t>-5952,24 USD: Perdida cierre posición 03/11/22
Tc: 1,0927
------------------------------
26992 USD: Ganancia cierre posición 29/11/22
Tc: 1,0366
-------------------------------
-159215€: Pérdida cierre posición 04/11/22
---------------------------
-270000€: Pérdida cierre posición 14/11/22
---------------------------
-270000€: Pérdida cierre posición 14/11/22</t>
        </r>
      </text>
    </comment>
    <comment ref="BO71" authorId="2" shapeId="0" xr:uid="{1B9601EF-6ED8-4C19-8AF8-FE367D88FE02}">
      <text>
        <r>
          <rPr>
            <sz val="9"/>
            <color indexed="81"/>
            <rFont val="Tahoma"/>
            <family val="2"/>
          </rPr>
          <t xml:space="preserve">24375 USD: Ganancia cierre posición 02/12/22
Tc: 1,0538
---------------------------------
</t>
        </r>
      </text>
    </comment>
    <comment ref="BR71" authorId="2" shapeId="0" xr:uid="{6F2FDCD9-6D27-445B-9DBB-CAE4DF39370E}">
      <text>
        <r>
          <rPr>
            <sz val="9"/>
            <color indexed="81"/>
            <rFont val="Tahoma"/>
            <family val="2"/>
          </rPr>
          <t xml:space="preserve">-4480 USD: Perdida cierre posición 10/03/23
Tc: 1,0596
------------------------------
5040 USD: Ganancia cierre posición 10/03/23
Tc: 1,0586
-------------------------------
</t>
        </r>
      </text>
    </comment>
    <comment ref="BV71" authorId="2" shapeId="0" xr:uid="{BAC37B14-690F-443B-8ACA-24F1FD672F8A}">
      <text>
        <r>
          <rPr>
            <sz val="9"/>
            <color indexed="81"/>
            <rFont val="Tahoma"/>
            <family val="2"/>
          </rPr>
          <t xml:space="preserve">-1087,2 USD: Perdida cierre posición 21/07/23
Tc: 1,0821
Pnte confirmación de Aberto
------------------------------
</t>
        </r>
      </text>
    </comment>
    <comment ref="BW71" authorId="3" shapeId="0" xr:uid="{00000000-0006-0000-0100-000062000000}">
      <text>
        <r>
          <rPr>
            <b/>
            <sz val="9"/>
            <color indexed="81"/>
            <rFont val="Tahoma"/>
            <family val="2"/>
          </rPr>
          <t>Alberto Carmona:</t>
        </r>
        <r>
          <rPr>
            <sz val="9"/>
            <color indexed="81"/>
            <rFont val="Tahoma"/>
            <family val="2"/>
          </rPr>
          <t xml:space="preserve">
Estimado beneficio crush US y EU.</t>
        </r>
      </text>
    </comment>
    <comment ref="CA71" authorId="2" shapeId="0" xr:uid="{2FE1AAA7-3E2F-4198-B74D-2A85E70E78F6}">
      <text>
        <r>
          <rPr>
            <sz val="9"/>
            <color indexed="81"/>
            <rFont val="Tahoma"/>
            <family val="2"/>
          </rPr>
          <t xml:space="preserve">-11550 USD: Perdida cierre posición 29/11/23
Tc: 1,0813
------------------------------
600 USD: Ganancia cierre posición 10/11/23
Tc: 1,0683
-------------------------------
</t>
        </r>
      </text>
    </comment>
    <comment ref="CC71" authorId="2" shapeId="0" xr:uid="{EAF51D46-B266-4803-923C-2D969D8C700F}">
      <text>
        <r>
          <rPr>
            <sz val="9"/>
            <color indexed="81"/>
            <rFont val="Tahoma"/>
            <family val="2"/>
          </rPr>
          <t xml:space="preserve">-15.262,50 USD: Perdida cierre posición 02/01/24
Tc: 1,0813
------------------------------
21.256,20 USD: Ganancia cierre posición 04/01/24
Tc: 1,0953
-------------------------------
-66.325 USD: Perdida cierre posición 23/01/24
Tc: 1,0881
------------------------------
34.020 USD: Ganancia cierre posición 23/01/24
Tc: 1,0872
-------------------------------
12.600 USD: Ganancia cierre posición 23/01/24
Tc: 1,0872
-------------------------------
12.600 USD: Ganancia cierre posición 23/01/24
Tc: 1,0872
-------------------------------
</t>
        </r>
      </text>
    </comment>
    <comment ref="C73" authorId="1" shapeId="0" xr:uid="{00000000-0006-0000-0100-000063000000}">
      <text>
        <r>
          <rPr>
            <b/>
            <sz val="9"/>
            <color indexed="81"/>
            <rFont val="Tahoma"/>
            <family val="2"/>
          </rPr>
          <t>alfonso:
1000 aparecia en la linea de prestamo.</t>
        </r>
        <r>
          <rPr>
            <sz val="9"/>
            <color indexed="81"/>
            <rFont val="Tahoma"/>
            <family val="2"/>
          </rPr>
          <t xml:space="preserve">
</t>
        </r>
      </text>
    </comment>
    <comment ref="BG78" authorId="0" shapeId="0" xr:uid="{6D732CE3-6D6B-4E8B-97F0-B71066265991}">
      <text>
        <r>
          <rPr>
            <sz val="9"/>
            <color indexed="81"/>
            <rFont val="Tahoma"/>
            <family val="2"/>
          </rPr>
          <t>Fra Nº 131/2022 (05/05/22):
920€+IVA 21%= 1113,20€: Conferencia del 16 al 20/05/22
Transf. Caixa realizada el 06/05/22</t>
        </r>
      </text>
    </comment>
    <comment ref="BO78" authorId="0" shapeId="0" xr:uid="{33F11E00-1D2B-43D8-8918-B973A036720D}">
      <text>
        <r>
          <rPr>
            <sz val="9"/>
            <color indexed="81"/>
            <rFont val="Tahoma"/>
            <family val="2"/>
          </rPr>
          <t>Invoice Number: C2212-4282 (12/12/22):
950€+IVA 21%= 1149,50€: Conferencia del 22 al 26/05/23
Transferencia Caixa realizada: 28/12/22</t>
        </r>
      </text>
    </comment>
    <comment ref="CC78" authorId="0" shapeId="0" xr:uid="{F9D19AE2-45E9-4EDB-96EC-27D040525610}">
      <text>
        <r>
          <rPr>
            <sz val="9"/>
            <color indexed="81"/>
            <rFont val="Tahoma"/>
            <family val="2"/>
          </rPr>
          <t>Invoice Number: 008/2024 (16/01/24):
1.050€+IVA 21%= 1.270,50€: Conferencia del 3 al 7/06/24
Ok Alberto realizar pago
Transferencia Caixa realizada: 18/01/24</t>
        </r>
      </text>
    </comment>
    <comment ref="D79" authorId="5" shapeId="0" xr:uid="{00000000-0006-0000-0100-000064000000}">
      <text>
        <r>
          <rPr>
            <b/>
            <sz val="9"/>
            <color indexed="81"/>
            <rFont val="Tahoma"/>
            <family val="2"/>
          </rPr>
          <t>Alberto:</t>
        </r>
        <r>
          <rPr>
            <sz val="9"/>
            <color indexed="81"/>
            <rFont val="Tahoma"/>
            <family val="2"/>
          </rPr>
          <t xml:space="preserve">
Resport IEA</t>
        </r>
      </text>
    </comment>
    <comment ref="Q79" authorId="5" shapeId="0" xr:uid="{00000000-0006-0000-0100-000065000000}">
      <text>
        <r>
          <rPr>
            <b/>
            <sz val="9"/>
            <color indexed="81"/>
            <rFont val="Tahoma"/>
            <family val="2"/>
          </rPr>
          <t>Alberto:</t>
        </r>
        <r>
          <rPr>
            <sz val="9"/>
            <color indexed="81"/>
            <rFont val="Tahoma"/>
            <family val="2"/>
          </rPr>
          <t xml:space="preserve">
Goldenmac - Iphone XR</t>
        </r>
      </text>
    </comment>
    <comment ref="T79" authorId="1" shapeId="0" xr:uid="{00000000-0006-0000-0100-000066000000}">
      <text>
        <r>
          <rPr>
            <b/>
            <sz val="9"/>
            <color indexed="81"/>
            <rFont val="Tahoma"/>
            <family val="2"/>
          </rPr>
          <t>alfonso:</t>
        </r>
        <r>
          <rPr>
            <sz val="9"/>
            <color indexed="81"/>
            <rFont val="Tahoma"/>
            <family val="2"/>
          </rPr>
          <t xml:space="preserve">
632,33 Iphones</t>
        </r>
      </text>
    </comment>
    <comment ref="U79" authorId="5" shapeId="0" xr:uid="{00000000-0006-0000-0100-000067000000}">
      <text>
        <r>
          <rPr>
            <b/>
            <sz val="9"/>
            <color indexed="81"/>
            <rFont val="Tahoma"/>
            <family val="2"/>
          </rPr>
          <t>Alberto:</t>
        </r>
        <r>
          <rPr>
            <sz val="9"/>
            <color indexed="81"/>
            <rFont val="Tahoma"/>
            <family val="2"/>
          </rPr>
          <t xml:space="preserve">
Iphones y renovación licnecias outlook (171+71)</t>
        </r>
      </text>
    </comment>
    <comment ref="W79" authorId="3" shapeId="0" xr:uid="{00000000-0006-0000-0100-000068000000}">
      <text>
        <r>
          <rPr>
            <b/>
            <sz val="9"/>
            <color indexed="81"/>
            <rFont val="Tahoma"/>
            <family val="2"/>
          </rPr>
          <t>Alberto Carmona:</t>
        </r>
        <r>
          <rPr>
            <sz val="9"/>
            <color indexed="81"/>
            <rFont val="Tahoma"/>
            <family val="2"/>
          </rPr>
          <t xml:space="preserve">
Ordenador Backoffice</t>
        </r>
      </text>
    </comment>
    <comment ref="AH79" authorId="1" shapeId="0" xr:uid="{00000000-0006-0000-0100-000069000000}">
      <text>
        <r>
          <rPr>
            <b/>
            <sz val="9"/>
            <color indexed="81"/>
            <rFont val="Tahoma"/>
            <family val="2"/>
          </rPr>
          <t>alfonso:</t>
        </r>
        <r>
          <rPr>
            <sz val="9"/>
            <color indexed="81"/>
            <rFont val="Tahoma"/>
            <family val="2"/>
          </rPr>
          <t xml:space="preserve">
Apple Iphone 11:
903€: Fra: 2120071073 (06/05/20)
Lo cargarán en VISA en 3 plazos
71,27 E:Renovación licencias outlook
Whitebite
Transferencia Caixa: 10/06/20 
171,22 E:Renovación licencias Microsoft office Whitebite
Transferencia Caixa: 29/06/20 
</t>
        </r>
      </text>
    </comment>
    <comment ref="AI79" authorId="0" shapeId="0" xr:uid="{00000000-0006-0000-0100-00006A000000}">
      <text>
        <r>
          <rPr>
            <b/>
            <sz val="9"/>
            <color indexed="81"/>
            <rFont val="Tahoma"/>
            <family val="2"/>
          </rPr>
          <t>rosa:
Apple Iphone 11:</t>
        </r>
        <r>
          <rPr>
            <sz val="9"/>
            <color indexed="81"/>
            <rFont val="Tahoma"/>
            <family val="2"/>
          </rPr>
          <t xml:space="preserve">
903€: Fra: 2120071073 (06/05/20)
Lo cargarán en VISA en 3 plazos</t>
        </r>
      </text>
    </comment>
    <comment ref="AJ79" authorId="0" shapeId="0" xr:uid="{00000000-0006-0000-0100-00006B000000}">
      <text>
        <r>
          <rPr>
            <b/>
            <sz val="9"/>
            <color indexed="81"/>
            <rFont val="Tahoma"/>
            <family val="2"/>
          </rPr>
          <t>rosa:
Apple Iphone 11:</t>
        </r>
        <r>
          <rPr>
            <sz val="9"/>
            <color indexed="81"/>
            <rFont val="Tahoma"/>
            <family val="2"/>
          </rPr>
          <t xml:space="preserve">
903€: Fra: 2120071073 (06/05/20)
Lo cargarán en VISA en 3 plazos</t>
        </r>
      </text>
    </comment>
    <comment ref="AP79" authorId="0" shapeId="0" xr:uid="{00000000-0006-0000-0100-00006C000000}">
      <text>
        <r>
          <rPr>
            <sz val="9"/>
            <color indexed="81"/>
            <rFont val="Tahoma"/>
            <family val="2"/>
          </rPr>
          <t>Fotocopiadora-Inversión.
Inmobilizado material. Va sin IVA. Nixal se subroga en el contrato y lo cancela. La maquina pasa a propiedad de Vybsa, que seguidamente nos emite una factura de 6 E a nombre de Nixal y pasa la maquina a nombre de Nixal.</t>
        </r>
        <r>
          <rPr>
            <b/>
            <sz val="9"/>
            <color indexed="81"/>
            <rFont val="Tahoma"/>
            <family val="2"/>
          </rPr>
          <t xml:space="preserve">
Cancelación total del Contrato nº 737-40570509 (27/01/21):
418,95 E: Transferencia Caixa realizada el 27/01/21</t>
        </r>
      </text>
    </comment>
    <comment ref="AQ79" authorId="0" shapeId="0" xr:uid="{00000000-0006-0000-0100-00006D000000}">
      <text>
        <r>
          <rPr>
            <sz val="9"/>
            <color indexed="81"/>
            <rFont val="Tahoma"/>
            <family val="2"/>
          </rPr>
          <t>Fotocopiadora-Inversión.
Inmobilizado material. Va sin IVA. Nixal se subroga en el contrato y lo cancela. La maquina pasa a propiedad de Vybsa, que seguidamente nos emite una factura de 6 E a nombre de Nixal y pasa la maquina a nombre de Nixal.</t>
        </r>
        <r>
          <rPr>
            <b/>
            <sz val="9"/>
            <color indexed="81"/>
            <rFont val="Tahoma"/>
            <family val="2"/>
          </rPr>
          <t xml:space="preserve">
Cancelación total del Contrato nº 737-40570509 (27/01/21):
418,95 E: Transferencia Caixa realizada el 27/01/21
-418,95 E: Devolución realizada por DLL el 10/02/21
---------------------------------
Vybsa: Fra M210007 (11/02/21):
418,95 E+6 E= 424,95+IVA 21%= 514,19 E
Cancelación contrato + compra equipo
Realizar transferencia: 12/02/21
Transf. Caixa realizada el 12/02/21</t>
        </r>
      </text>
    </comment>
    <comment ref="AR79" authorId="0" shapeId="0" xr:uid="{00000000-0006-0000-0100-00006E000000}">
      <text>
        <r>
          <rPr>
            <sz val="9"/>
            <color indexed="81"/>
            <rFont val="Tahoma"/>
            <family val="2"/>
          </rPr>
          <t xml:space="preserve">Fra del 22/03/21:
89,33 E:Actualización a licencias Premium de las cuentas de Alfonso y Rosa Microsoft office Whitebite
89,33 E:Transferencia realizada el 26/03/21.
</t>
        </r>
      </text>
    </comment>
    <comment ref="AU79" authorId="2" shapeId="0" xr:uid="{0521C45A-C7F6-42AB-9B07-945187BE1415}">
      <text>
        <r>
          <rPr>
            <b/>
            <sz val="9"/>
            <color indexed="81"/>
            <rFont val="Tahoma"/>
            <family val="2"/>
          </rPr>
          <t>Whitebite</t>
        </r>
        <r>
          <rPr>
            <sz val="9"/>
            <color indexed="81"/>
            <rFont val="Tahoma"/>
            <family val="2"/>
          </rPr>
          <t xml:space="preserve">
Fra del 08/06/21:
71,27 E: Renovacion licencia Microsoft
Transferencia realizada el 08/06/21.
</t>
        </r>
      </text>
    </comment>
    <comment ref="AV79" authorId="2" shapeId="0" xr:uid="{2B0AE9CB-60A0-40F2-A997-F2A4A04AB662}">
      <text>
        <r>
          <rPr>
            <b/>
            <sz val="9"/>
            <color indexed="81"/>
            <rFont val="Tahoma"/>
            <family val="2"/>
          </rPr>
          <t>Whitebite</t>
        </r>
        <r>
          <rPr>
            <sz val="9"/>
            <color indexed="81"/>
            <rFont val="Tahoma"/>
            <family val="2"/>
          </rPr>
          <t xml:space="preserve">
457,38 Eur: Renovación 3 Licencias O365 Business Standard. 
56,27 Eur: Renovación 3 Licencias de Mantenimiento funcional y técnico. Anual. 
Fra del 28/06/21. 
Transferencia realizada el 01/07/21.</t>
        </r>
      </text>
    </comment>
    <comment ref="AZ79" authorId="0" shapeId="0" xr:uid="{5749376B-D706-44E5-B7F4-2443FE42B58F}">
      <text>
        <r>
          <rPr>
            <sz val="9"/>
            <color indexed="81"/>
            <rFont val="Tahoma"/>
            <family val="2"/>
          </rPr>
          <t>1559,01€: Pentinfor
Fra: CC/2547 (19/10/21):
Portátil y teclado Alberto
Cargado: 21/10/21.</t>
        </r>
      </text>
    </comment>
    <comment ref="BA79" authorId="0" shapeId="0" xr:uid="{3A515841-AAF0-44A6-805A-6B9DA8BD104F}">
      <text>
        <r>
          <rPr>
            <sz val="9"/>
            <color indexed="81"/>
            <rFont val="Tahoma"/>
            <family val="2"/>
          </rPr>
          <t>228,69€: Pentinfor
Fra: CC/2785 (09/11/21):
Doking Station
Cargado: 12/11/21.</t>
        </r>
      </text>
    </comment>
    <comment ref="BB79" authorId="0" shapeId="0" xr:uid="{E345BA2E-20BF-47B6-8118-35937614BB38}">
      <text>
        <r>
          <rPr>
            <sz val="9"/>
            <color indexed="81"/>
            <rFont val="Tahoma"/>
            <family val="2"/>
          </rPr>
          <t>989,33€: K-tuin
Fra: SE21110099 (08/11/21):
Compra Iphone 13
Pagado con VISA Alberto: 08/11/21.
Cargado Caixa: 05/12/21</t>
        </r>
      </text>
    </comment>
    <comment ref="BC79" authorId="2" shapeId="0" xr:uid="{F64CEC0E-7765-4B27-8C91-48D5843A9B39}">
      <text>
        <r>
          <rPr>
            <sz val="9"/>
            <color indexed="81"/>
            <rFont val="Tahoma"/>
            <family val="2"/>
          </rPr>
          <t>Fra El Corte Ingles del 18/12/21.
Movil y auriculares: 1.198,00€.
Pagado con tarjeta VISA Alfonso.</t>
        </r>
        <r>
          <rPr>
            <b/>
            <sz val="9"/>
            <color indexed="81"/>
            <rFont val="Tahoma"/>
            <family val="2"/>
          </rPr>
          <t xml:space="preserve"> 
Cargado Caixa: 05/01/22</t>
        </r>
      </text>
    </comment>
    <comment ref="BG79" authorId="2" shapeId="0" xr:uid="{59331E2F-9741-48D9-869E-F85A929D4CCF}">
      <text>
        <r>
          <rPr>
            <b/>
            <sz val="9"/>
            <color indexed="81"/>
            <rFont val="Tahoma"/>
            <family val="2"/>
          </rPr>
          <t>Whitebite</t>
        </r>
        <r>
          <rPr>
            <sz val="9"/>
            <color indexed="81"/>
            <rFont val="Tahoma"/>
            <family val="2"/>
          </rPr>
          <t xml:space="preserve">
Fra del 27/05/22:
84,34€: Renovacion licencia Microsoft (Cta Info)
Transferencia Caixa: Antes del 14/06/22
Transferencia Caixa realizada el 31/05/22</t>
        </r>
      </text>
    </comment>
    <comment ref="BI79" authorId="0" shapeId="0" xr:uid="{B598C737-191D-4580-9488-4A99B8FE9F8B}">
      <text>
        <r>
          <rPr>
            <sz val="9"/>
            <color indexed="81"/>
            <rFont val="Tahoma"/>
            <family val="2"/>
          </rPr>
          <t xml:space="preserve">Renovación 3 licencias 
</t>
        </r>
        <r>
          <rPr>
            <b/>
            <sz val="9"/>
            <color indexed="81"/>
            <rFont val="Tahoma"/>
            <family val="2"/>
          </rPr>
          <t>Whitebite</t>
        </r>
        <r>
          <rPr>
            <sz val="9"/>
            <color indexed="81"/>
            <rFont val="Tahoma"/>
            <family val="2"/>
          </rPr>
          <t xml:space="preserve">
Fra del 24/06/22:
513,65€: Renovacion Business Standard (Ctas Admin, Alberto y Alfonso)
Transferencia Caixa: Antes del 03/07/22
Transferencia Caixa realizada el 04/07/22</t>
        </r>
      </text>
    </comment>
    <comment ref="BJ79" authorId="2" shapeId="0" xr:uid="{1B6E2F7E-F775-41C2-8668-84A41A8E2875}">
      <text>
        <r>
          <rPr>
            <sz val="9"/>
            <color indexed="81"/>
            <rFont val="Tahoma"/>
            <family val="2"/>
          </rPr>
          <t>Fra Mediamark del 11/07/22.
Movil Alfonso: 1.205,79€.
Pagado con tarjeta VISA Alfonso. 
Cargado Caixa: 05/08/22</t>
        </r>
        <r>
          <rPr>
            <b/>
            <sz val="9"/>
            <color indexed="81"/>
            <rFont val="Tahoma"/>
            <family val="2"/>
          </rPr>
          <t xml:space="preserve">
</t>
        </r>
        <r>
          <rPr>
            <sz val="9"/>
            <color indexed="81"/>
            <rFont val="Tahoma"/>
            <family val="2"/>
          </rPr>
          <t>Fra María Soledad Navarro del 22/08/22.
Instalacion aire acondicionado: 544,50€.
Transferencia realizada el 29/08/22.</t>
        </r>
      </text>
    </comment>
    <comment ref="BR79" authorId="0" shapeId="0" xr:uid="{0B4F458D-51F7-43D6-B08F-8BBA3B58B002}">
      <text>
        <r>
          <rPr>
            <sz val="9"/>
            <color indexed="81"/>
            <rFont val="Tahoma"/>
            <family val="2"/>
          </rPr>
          <t>239,83€: Pentinfor
Fra: CC/465 (16/02/23):
Surface-Pedido de cableados para equipos informáticos Alberto
Cargado: 01/03/23</t>
        </r>
      </text>
    </comment>
    <comment ref="BU79" authorId="0" shapeId="0" xr:uid="{6BF61AE1-6E0A-456C-87DF-DF6C7040759A}">
      <text>
        <r>
          <rPr>
            <sz val="9"/>
            <color indexed="81"/>
            <rFont val="Tahoma"/>
            <family val="2"/>
          </rPr>
          <t>Whitebite
Fra del 09/06/23:
91,60€: Renovacion licencia Microsoft (Cta Info)
Transferencia Caixa: Antes del 14/06/23
Transf. Realizada el 13/06/23</t>
        </r>
      </text>
    </comment>
    <comment ref="BV79" authorId="0" shapeId="0" xr:uid="{B1D6A997-9B48-42F5-8513-618E92BCFB43}">
      <text>
        <r>
          <rPr>
            <sz val="9"/>
            <color indexed="81"/>
            <rFont val="Tahoma"/>
            <family val="2"/>
          </rPr>
          <t xml:space="preserve">Renovación 3 licencias 
</t>
        </r>
        <r>
          <rPr>
            <b/>
            <sz val="9"/>
            <color indexed="81"/>
            <rFont val="Tahoma"/>
            <family val="2"/>
          </rPr>
          <t>Whitebite</t>
        </r>
        <r>
          <rPr>
            <sz val="9"/>
            <color indexed="81"/>
            <rFont val="Tahoma"/>
            <family val="2"/>
          </rPr>
          <t xml:space="preserve">
Fra del 09/06/23:
565,92€: Renovacion Business Standard (Ctas Admin, Alberto y Alfonso)
Transferencia Caixa: Antes del 03/07/23
Transf. Caixa realizada el 05/07/23</t>
        </r>
      </text>
    </comment>
    <comment ref="BZ79" authorId="0" shapeId="0" xr:uid="{6EA16F50-7E29-4DBE-9E82-A3784F4FFAEE}">
      <text>
        <r>
          <rPr>
            <sz val="9"/>
            <color indexed="81"/>
            <rFont val="Tahoma"/>
            <family val="2"/>
          </rPr>
          <t>Whitebite
Fra del 25/09/23:
108,47€: Alta Business Standard (Cta Info)
-46,98€: Renovacion licencia Microsoft
Transferencia Caixa: Primera semana de octubre
Transf. Caixa realizada el 18/10/23</t>
        </r>
      </text>
    </comment>
    <comment ref="CC79" authorId="2" shapeId="0" xr:uid="{DEFB991D-A104-454F-B6CF-582997EDAFD4}">
      <text>
        <r>
          <rPr>
            <sz val="9"/>
            <color indexed="81"/>
            <rFont val="Tahoma"/>
            <family val="2"/>
          </rPr>
          <t>Fra Wivai del 20/12/23.
Portátil: 1.500,00€.
Pagado con tarjeta VISA Alfonso personal.</t>
        </r>
        <r>
          <rPr>
            <b/>
            <sz val="9"/>
            <color indexed="81"/>
            <rFont val="Tahoma"/>
            <family val="2"/>
          </rPr>
          <t xml:space="preserve"> 
Realizar transferencia: 12/01/23
Transf. Caixa realizada a ALF el 16/01/24
</t>
        </r>
      </text>
    </comment>
    <comment ref="CI79" authorId="0" shapeId="0" xr:uid="{8AA1882A-E4AB-4B7E-BC62-53A892D97691}">
      <text>
        <r>
          <rPr>
            <sz val="9"/>
            <color indexed="81"/>
            <rFont val="Tahoma"/>
            <family val="2"/>
          </rPr>
          <t>Renovación 4 licencias Business Standard (Ctas (Info, Admin, Alberto y Alfonso)</t>
        </r>
      </text>
    </comment>
    <comment ref="CW79" authorId="0" shapeId="0" xr:uid="{07D0D3A1-B26E-40B6-B25A-A4B9A5623B9D}">
      <text>
        <r>
          <rPr>
            <sz val="9"/>
            <color indexed="81"/>
            <rFont val="Tahoma"/>
            <family val="2"/>
          </rPr>
          <t>Renovación 4 licencias Business Standard (Ctas (Info, Admin, Alberto y Alfonso)</t>
        </r>
      </text>
    </comment>
    <comment ref="DJ79" authorId="0" shapeId="0" xr:uid="{CB105B18-40B6-44B2-BF59-A10CADBDE50A}">
      <text>
        <r>
          <rPr>
            <sz val="9"/>
            <color indexed="81"/>
            <rFont val="Tahoma"/>
            <family val="2"/>
          </rPr>
          <t>Renovación 4 licencias Business Standard (Ctas (Info, Admin, Alberto y Alfonso)</t>
        </r>
      </text>
    </comment>
    <comment ref="BQ80" authorId="0" shapeId="0" xr:uid="{D6DDD164-82C7-45F3-9AB5-3E13F428CCBE}">
      <text>
        <r>
          <rPr>
            <b/>
            <sz val="9"/>
            <color indexed="81"/>
            <rFont val="Tahoma"/>
            <family val="2"/>
          </rPr>
          <t xml:space="preserve">
</t>
        </r>
        <r>
          <rPr>
            <sz val="9"/>
            <color indexed="81"/>
            <rFont val="Tahoma"/>
            <family val="2"/>
          </rPr>
          <t>Vybsa: 
Fra Nº A230371 (01/02/23):
23,39€: Copias 
Cargado Caixa: 16/02/23</t>
        </r>
        <r>
          <rPr>
            <b/>
            <sz val="9"/>
            <color indexed="81"/>
            <rFont val="Tahoma"/>
            <family val="2"/>
          </rPr>
          <t xml:space="preserve">
----------------------------------</t>
        </r>
      </text>
    </comment>
    <comment ref="BS80" authorId="0" shapeId="0" xr:uid="{007B0F41-693D-4EE0-8DCF-FC8B145E17B1}">
      <text>
        <r>
          <rPr>
            <b/>
            <sz val="9"/>
            <color indexed="81"/>
            <rFont val="Tahoma"/>
            <family val="2"/>
          </rPr>
          <t xml:space="preserve">
</t>
        </r>
        <r>
          <rPr>
            <sz val="9"/>
            <color indexed="81"/>
            <rFont val="Tahoma"/>
            <family val="2"/>
          </rPr>
          <t>Vybsa: 
Fra Nº A230864 (03/04/23):
17,09€: Copias 
Cargado Caixa: 18/04/23</t>
        </r>
        <r>
          <rPr>
            <b/>
            <sz val="9"/>
            <color indexed="81"/>
            <rFont val="Tahoma"/>
            <family val="2"/>
          </rPr>
          <t xml:space="preserve">
----------------------------------</t>
        </r>
      </text>
    </comment>
    <comment ref="BT80" authorId="0" shapeId="0" xr:uid="{2FB89F3A-393A-49EC-99F9-7DF8D1AF32CD}">
      <text>
        <r>
          <rPr>
            <b/>
            <sz val="9"/>
            <color indexed="81"/>
            <rFont val="Tahoma"/>
            <family val="2"/>
          </rPr>
          <t xml:space="preserve">
</t>
        </r>
        <r>
          <rPr>
            <sz val="9"/>
            <color indexed="81"/>
            <rFont val="Tahoma"/>
            <family val="2"/>
          </rPr>
          <t>Vybsa: 
Fra Nº A231078 (02/05/23):
34,05€: Copias 
Cargado Caixa: 17/05/23</t>
        </r>
        <r>
          <rPr>
            <b/>
            <sz val="9"/>
            <color indexed="81"/>
            <rFont val="Tahoma"/>
            <family val="2"/>
          </rPr>
          <t xml:space="preserve">
----------------------------------</t>
        </r>
      </text>
    </comment>
    <comment ref="BU80" authorId="0" shapeId="0" xr:uid="{9BDA4BAC-C6FA-409B-917A-D583025C8930}">
      <text>
        <r>
          <rPr>
            <sz val="9"/>
            <color indexed="81"/>
            <rFont val="Tahoma"/>
            <family val="2"/>
          </rPr>
          <t xml:space="preserve">Agustin Cid (entrazos):
Fra: WN-23-27 (15/06/23):
190+20= 210€: Servidor + dominio (Nixal.es) +dominio (Nixaltrading.com) del 16/06/23 al 16/06/24
+IVA-IRPF
243,80€: Cargado en Caixa: 23/06/23
</t>
        </r>
      </text>
    </comment>
    <comment ref="BW80" authorId="0" shapeId="0" xr:uid="{7239FAA2-6DBC-4A46-9772-ABD74B7A902A}">
      <text>
        <r>
          <rPr>
            <b/>
            <sz val="9"/>
            <color indexed="81"/>
            <rFont val="Tahoma"/>
            <family val="2"/>
          </rPr>
          <t xml:space="preserve">
</t>
        </r>
        <r>
          <rPr>
            <sz val="9"/>
            <color indexed="81"/>
            <rFont val="Tahoma"/>
            <family val="2"/>
          </rPr>
          <t>Vybsa: 
Fra Nº A231836 (01/08/23):
9,24€: Copias 
Cargado Caixa: 16/08/23</t>
        </r>
        <r>
          <rPr>
            <b/>
            <sz val="9"/>
            <color indexed="81"/>
            <rFont val="Tahoma"/>
            <family val="2"/>
          </rPr>
          <t xml:space="preserve">
----------------------------------</t>
        </r>
      </text>
    </comment>
    <comment ref="BZ80" authorId="0" shapeId="0" xr:uid="{0ED7EC84-BF6F-42EA-A26B-5A14834E0AAE}">
      <text>
        <r>
          <rPr>
            <b/>
            <sz val="9"/>
            <color indexed="81"/>
            <rFont val="Tahoma"/>
            <family val="2"/>
          </rPr>
          <t xml:space="preserve">
Copyur</t>
        </r>
        <r>
          <rPr>
            <sz val="9"/>
            <color indexed="81"/>
            <rFont val="Tahoma"/>
            <family val="2"/>
          </rPr>
          <t>: 
Fra Nº 1.083 (30/09/23):
68,97€: Copias 
Vcmto: 15/10/23
Cargado Caixa: 16/10/23</t>
        </r>
        <r>
          <rPr>
            <b/>
            <sz val="9"/>
            <color indexed="81"/>
            <rFont val="Tahoma"/>
            <family val="2"/>
          </rPr>
          <t xml:space="preserve">
----------------------------------</t>
        </r>
      </text>
    </comment>
    <comment ref="CA80" authorId="0" shapeId="0" xr:uid="{561A69DF-407C-42DD-BFA9-81D7357970E1}">
      <text>
        <r>
          <rPr>
            <b/>
            <sz val="9"/>
            <color indexed="81"/>
            <rFont val="Tahoma"/>
            <family val="2"/>
          </rPr>
          <t xml:space="preserve">
Copyur</t>
        </r>
        <r>
          <rPr>
            <sz val="9"/>
            <color indexed="81"/>
            <rFont val="Tahoma"/>
            <family val="2"/>
          </rPr>
          <t>: 
Fra Nº 1.236 (31/10/23):
25,88€: Copias 
Vcmto: 15/11/23
Cargado Caixa: 14/11/23</t>
        </r>
        <r>
          <rPr>
            <b/>
            <sz val="9"/>
            <color indexed="81"/>
            <rFont val="Tahoma"/>
            <family val="2"/>
          </rPr>
          <t xml:space="preserve">
----------------------------------
Vybsa: 
</t>
        </r>
        <r>
          <rPr>
            <sz val="9"/>
            <color indexed="81"/>
            <rFont val="Tahoma"/>
            <family val="2"/>
          </rPr>
          <t>Fra Nº A232480 (02/11/23):
10,71€: Copias 
Cargado Caixa: 17/11/23</t>
        </r>
      </text>
    </comment>
    <comment ref="CB80" authorId="0" shapeId="0" xr:uid="{41D2981A-AEBC-4FC6-A27D-468AC85D3547}">
      <text>
        <r>
          <rPr>
            <b/>
            <sz val="9"/>
            <color indexed="81"/>
            <rFont val="Tahoma"/>
            <family val="2"/>
          </rPr>
          <t xml:space="preserve">
Copyur</t>
        </r>
        <r>
          <rPr>
            <sz val="9"/>
            <color indexed="81"/>
            <rFont val="Tahoma"/>
            <family val="2"/>
          </rPr>
          <t>: 
Fra Nº 1.399 (30/11/23):
29,09€: Copias 
Vcmto: 15/12/23
Cargado Caixa: 14/12/23</t>
        </r>
        <r>
          <rPr>
            <b/>
            <sz val="9"/>
            <color indexed="81"/>
            <rFont val="Tahoma"/>
            <family val="2"/>
          </rPr>
          <t xml:space="preserve">
----------------------------------
</t>
        </r>
      </text>
    </comment>
    <comment ref="CC80" authorId="0" shapeId="0" xr:uid="{486CCE05-9CC1-4798-9FEB-820CF16C9479}">
      <text>
        <r>
          <rPr>
            <b/>
            <sz val="9"/>
            <color indexed="81"/>
            <rFont val="Tahoma"/>
            <family val="2"/>
          </rPr>
          <t xml:space="preserve">
Copyur</t>
        </r>
        <r>
          <rPr>
            <sz val="9"/>
            <color indexed="81"/>
            <rFont val="Tahoma"/>
            <family val="2"/>
          </rPr>
          <t>: 
Fra Nº 1.536 (30/12/23):
36,06€: Copias 
Vcmto: 14/01/24
Cargado Caixa: 15/01/24</t>
        </r>
        <r>
          <rPr>
            <b/>
            <sz val="9"/>
            <color indexed="81"/>
            <rFont val="Tahoma"/>
            <family val="2"/>
          </rPr>
          <t xml:space="preserve">
----------------------------------
Vybsa: 
</t>
        </r>
        <r>
          <rPr>
            <sz val="9"/>
            <color indexed="81"/>
            <rFont val="Tahoma"/>
            <family val="2"/>
          </rPr>
          <t xml:space="preserve">Fra Nº A240115 (02/01/24):
12,61€: Copias 
Cargado Caixa: 17/01/24
-------------------------------------
</t>
        </r>
        <r>
          <rPr>
            <b/>
            <sz val="9"/>
            <color indexed="81"/>
            <rFont val="Tahoma"/>
            <family val="2"/>
          </rPr>
          <t>Samtek</t>
        </r>
        <r>
          <rPr>
            <sz val="9"/>
            <color indexed="81"/>
            <rFont val="Tahoma"/>
            <family val="2"/>
          </rPr>
          <t xml:space="preserve">
74,98€: Fra: 1/000061 (22/01/24):
Ppto: 1/ 00007 (15/01/24):
Renovación 8 licencias Antivirus Home Security Essential hasta el 22/01/25
Realizar transferencia 
Transferencia realizada: 26/01/24</t>
        </r>
      </text>
    </comment>
    <comment ref="CD80" authorId="0" shapeId="0" xr:uid="{70B53C9E-9729-462F-A48B-9DBE57F2801B}">
      <text>
        <r>
          <rPr>
            <b/>
            <sz val="9"/>
            <color indexed="81"/>
            <rFont val="Tahoma"/>
            <family val="2"/>
          </rPr>
          <t xml:space="preserve">
Copyur</t>
        </r>
        <r>
          <rPr>
            <sz val="9"/>
            <color indexed="81"/>
            <rFont val="Tahoma"/>
            <family val="2"/>
          </rPr>
          <t>: 
Fra Nº 240.104 (31/01/24):
48,52€: Copias 
Vcmto: 15/02/24
Cargado Caixa: 14/02/24</t>
        </r>
        <r>
          <rPr>
            <b/>
            <sz val="9"/>
            <color indexed="81"/>
            <rFont val="Tahoma"/>
            <family val="2"/>
          </rPr>
          <t xml:space="preserve">
----------------------------------
</t>
        </r>
      </text>
    </comment>
    <comment ref="CE80" authorId="0" shapeId="0" xr:uid="{34FB7187-FE5B-484F-933E-437B82859A71}">
      <text>
        <r>
          <rPr>
            <b/>
            <sz val="9"/>
            <color indexed="81"/>
            <rFont val="Tahoma"/>
            <family val="2"/>
          </rPr>
          <t xml:space="preserve">
Copyur</t>
        </r>
        <r>
          <rPr>
            <sz val="9"/>
            <color indexed="81"/>
            <rFont val="Tahoma"/>
            <family val="2"/>
          </rPr>
          <t>: 
Fra Nº 240.237 (29/02/24):
73,30€: Copias 
Vcmto: 15/03/24
Cargado Caixa: 15/03/24</t>
        </r>
        <r>
          <rPr>
            <b/>
            <sz val="9"/>
            <color indexed="81"/>
            <rFont val="Tahoma"/>
            <family val="2"/>
          </rPr>
          <t xml:space="preserve">
----------------------------------
</t>
        </r>
      </text>
    </comment>
    <comment ref="P81" authorId="0" shapeId="0" xr:uid="{D68C700F-39C3-4BD2-8FC6-254FC4975A52}">
      <text>
        <r>
          <rPr>
            <b/>
            <sz val="9"/>
            <color indexed="81"/>
            <rFont val="Tahoma"/>
            <family val="2"/>
          </rPr>
          <t>Trip Marbella</t>
        </r>
      </text>
    </comment>
    <comment ref="Q81" authorId="1" shapeId="0" xr:uid="{00000000-0006-0000-0100-00006F000000}">
      <text>
        <r>
          <rPr>
            <b/>
            <sz val="8"/>
            <color indexed="81"/>
            <rFont val="Tahoma"/>
            <family val="2"/>
          </rPr>
          <t>alfonso:</t>
        </r>
        <r>
          <rPr>
            <sz val="8"/>
            <color indexed="81"/>
            <rFont val="Tahoma"/>
            <family val="2"/>
          </rPr>
          <t xml:space="preserve">
aparece un papel a mano en la conta de julio por 5443,92 por este concepto
Trip US- RFA Conf.</t>
        </r>
      </text>
    </comment>
    <comment ref="S81" authorId="5" shapeId="0" xr:uid="{00000000-0006-0000-0100-00007F000000}">
      <text>
        <r>
          <rPr>
            <b/>
            <sz val="9"/>
            <color indexed="81"/>
            <rFont val="Tahoma"/>
            <family val="2"/>
          </rPr>
          <t>Alberto:</t>
        </r>
        <r>
          <rPr>
            <sz val="9"/>
            <color indexed="81"/>
            <rFont val="Tahoma"/>
            <family val="2"/>
          </rPr>
          <t xml:space="preserve">
Varsovia-Bioagra
SP- Flexi Mill Bevap, Arapora e Itamarati</t>
        </r>
      </text>
    </comment>
    <comment ref="T81" authorId="0" shapeId="0" xr:uid="{FD44960D-5EAA-45AB-B25C-FBB7627498AB}">
      <text>
        <r>
          <rPr>
            <b/>
            <sz val="9"/>
            <color indexed="81"/>
            <rFont val="Tahoma"/>
            <family val="2"/>
          </rPr>
          <t>2154,75€: Trip Marbella Dropet Conf.
-----------------------
1159,95€: Trip NY Sugar Week</t>
        </r>
      </text>
    </comment>
    <comment ref="W81" authorId="3" shapeId="0" xr:uid="{00000000-0006-0000-0100-000080000000}">
      <text>
        <r>
          <rPr>
            <b/>
            <sz val="9"/>
            <color indexed="81"/>
            <rFont val="Tahoma"/>
            <family val="2"/>
          </rPr>
          <t>Alberto Carmona:</t>
        </r>
        <r>
          <rPr>
            <sz val="9"/>
            <color indexed="81"/>
            <rFont val="Tahoma"/>
            <family val="2"/>
          </rPr>
          <t xml:space="preserve">
453,05 Visita Agrana
-----------------------
625€: Trip BRU FO Licht
----------------------------
2000€: Trip Europe Summer</t>
        </r>
      </text>
    </comment>
    <comment ref="X81" authorId="3" shapeId="0" xr:uid="{00000000-0006-0000-0100-000081000000}">
      <text>
        <r>
          <rPr>
            <b/>
            <sz val="9"/>
            <color indexed="81"/>
            <rFont val="Tahoma"/>
            <family val="2"/>
          </rPr>
          <t>Alberto Carmona:</t>
        </r>
        <r>
          <rPr>
            <sz val="9"/>
            <color indexed="81"/>
            <rFont val="Tahoma"/>
            <family val="2"/>
          </rPr>
          <t xml:space="preserve">
637,1 Varsovia Bioagra
1190,63 Alemania
1052,75€: Trip Madrid Varios</t>
        </r>
      </text>
    </comment>
    <comment ref="Y81" authorId="1" shapeId="0" xr:uid="{00000000-0006-0000-0100-00007B000000}">
      <text>
        <r>
          <rPr>
            <b/>
            <sz val="8"/>
            <color indexed="81"/>
            <rFont val="Tahoma"/>
            <family val="2"/>
          </rPr>
          <t>alfonso:</t>
        </r>
        <r>
          <rPr>
            <sz val="8"/>
            <color indexed="81"/>
            <rFont val="Tahoma"/>
            <family val="2"/>
          </rPr>
          <t xml:space="preserve">
193,85 REUNION TOMSA MADRID SEPTIEMBRE CON TARJETA</t>
        </r>
      </text>
    </comment>
    <comment ref="Z81" authorId="1" shapeId="0" xr:uid="{00000000-0006-0000-0100-000073000000}">
      <text>
        <r>
          <rPr>
            <b/>
            <sz val="8"/>
            <color indexed="81"/>
            <rFont val="Tahoma"/>
            <family val="2"/>
          </rPr>
          <t>alfonso:
436,14 €: CONFERENCIA ARGUS/EVENTO GREENERGY
---------------------------------
2004,46€: Trip LDN/SP Sugar Week
----------------------------------
356,52€: Trip BRU FO Licht
---------------------------------
pasadosa SINVER con conta oct. Cargado 5/11</t>
        </r>
        <r>
          <rPr>
            <sz val="8"/>
            <color indexed="81"/>
            <rFont val="Tahoma"/>
            <family val="2"/>
          </rPr>
          <t xml:space="preserve">
</t>
        </r>
      </text>
    </comment>
    <comment ref="AA81" authorId="0" shapeId="0" xr:uid="{00000000-0006-0000-0100-000082000000}">
      <text>
        <r>
          <rPr>
            <b/>
            <sz val="9"/>
            <color indexed="81"/>
            <rFont val="Tahoma"/>
            <family val="2"/>
          </rPr>
          <t>Rosa:</t>
        </r>
        <r>
          <rPr>
            <sz val="9"/>
            <color indexed="81"/>
            <rFont val="Tahoma"/>
            <family val="2"/>
          </rPr>
          <t xml:space="preserve">
</t>
        </r>
        <r>
          <rPr>
            <b/>
            <sz val="9"/>
            <color indexed="81"/>
            <rFont val="Tahoma"/>
            <family val="2"/>
          </rPr>
          <t>Visita Int. Alcoholes Ciudad Real:</t>
        </r>
        <r>
          <rPr>
            <sz val="9"/>
            <color indexed="81"/>
            <rFont val="Tahoma"/>
            <family val="2"/>
          </rPr>
          <t xml:space="preserve">
pasado a SINVER con conta nov. Cargado 5/12 
45,40€ de gastos de efectivo nov
(Efectivo Alberto pte liquidar)
</t>
        </r>
        <r>
          <rPr>
            <b/>
            <sz val="9"/>
            <color indexed="81"/>
            <rFont val="Tahoma"/>
            <family val="2"/>
          </rPr>
          <t>Viaje Varsovia visita Bioagra:</t>
        </r>
        <r>
          <rPr>
            <sz val="9"/>
            <color indexed="81"/>
            <rFont val="Tahoma"/>
            <family val="2"/>
          </rPr>
          <t xml:space="preserve">
171,76€ pasado a SINVER con conta nov. Cargado 5/12 
------------------------------------------
963,06€: Trip LDN/SP Sugar Week
--------------------------------------
759,90€: ETHANOL CONFERENCE BRUSSELS
--------------------------------------
pasado a SINVER con conta nov. Cargado 5/12
</t>
        </r>
      </text>
    </comment>
    <comment ref="AC81" authorId="0" shapeId="0" xr:uid="{00000000-0006-0000-0100-000083000000}">
      <text>
        <r>
          <rPr>
            <b/>
            <sz val="9"/>
            <color indexed="81"/>
            <rFont val="Tahoma"/>
            <family val="2"/>
          </rPr>
          <t>Rosa:</t>
        </r>
        <r>
          <rPr>
            <sz val="9"/>
            <color indexed="81"/>
            <rFont val="Tahoma"/>
            <family val="2"/>
          </rPr>
          <t xml:space="preserve">
</t>
        </r>
        <r>
          <rPr>
            <b/>
            <sz val="9"/>
            <color indexed="81"/>
            <rFont val="Tahoma"/>
            <family val="2"/>
          </rPr>
          <t>Visita Int. Alcoholes Ciudad Real:</t>
        </r>
        <r>
          <rPr>
            <sz val="9"/>
            <color indexed="81"/>
            <rFont val="Tahoma"/>
            <family val="2"/>
          </rPr>
          <t xml:space="preserve">
pasado a SINVER con conta nov. Cargado 5/12 
45,40€ de gastos de efectivo nov
(Efectivo Alberto pte liquidar)
</t>
        </r>
        <r>
          <rPr>
            <b/>
            <sz val="9"/>
            <color indexed="81"/>
            <rFont val="Tahoma"/>
            <family val="2"/>
          </rPr>
          <t>Viaje Varsovia visita Bioagra:</t>
        </r>
        <r>
          <rPr>
            <sz val="9"/>
            <color indexed="81"/>
            <rFont val="Tahoma"/>
            <family val="2"/>
          </rPr>
          <t xml:space="preserve">
403,12 E pasado a SINVER con conta DIC. Cargado 5/01 
61,30 E: de gastos de efectivo DIC
(Efectivo Alberto pte liquidar)</t>
        </r>
      </text>
    </comment>
    <comment ref="AD81" authorId="0" shapeId="0" xr:uid="{00000000-0006-0000-0100-00007D000000}">
      <text>
        <r>
          <rPr>
            <b/>
            <sz val="9"/>
            <color indexed="81"/>
            <rFont val="Tahoma"/>
            <family val="2"/>
          </rPr>
          <t>Rosa:
Trip Argentina/Brazil:</t>
        </r>
        <r>
          <rPr>
            <sz val="9"/>
            <color indexed="81"/>
            <rFont val="Tahoma"/>
            <family val="2"/>
          </rPr>
          <t xml:space="preserve">
</t>
        </r>
        <r>
          <rPr>
            <b/>
            <sz val="9"/>
            <color indexed="81"/>
            <rFont val="Tahoma"/>
            <family val="2"/>
          </rPr>
          <t>VisitaAca Bio, Seaborard, Vizantin,grupo bio 4, Promaiz y Bunce</t>
        </r>
        <r>
          <rPr>
            <sz val="9"/>
            <color indexed="81"/>
            <rFont val="Tahoma"/>
            <family val="2"/>
          </rPr>
          <t xml:space="preserve">
1255,01 E: pasado a SINVER con conta enero. Cargado 05/02 
1099,75 E: pasado a SINVER con conta febrero. Cargado 05/02 
--------------------------------
Visita Conferencia RFA:
951,98 E pasado a SINVER con conta ene. Cargado 5/02 
</t>
        </r>
      </text>
    </comment>
    <comment ref="AE81" authorId="0" shapeId="0" xr:uid="{00000000-0006-0000-0100-000071000000}">
      <text>
        <r>
          <rPr>
            <b/>
            <sz val="9"/>
            <color indexed="81"/>
            <rFont val="Tahoma"/>
            <family val="2"/>
          </rPr>
          <t>Rosa:</t>
        </r>
        <r>
          <rPr>
            <sz val="9"/>
            <color indexed="81"/>
            <rFont val="Tahoma"/>
            <family val="2"/>
          </rPr>
          <t xml:space="preserve">
</t>
        </r>
        <r>
          <rPr>
            <b/>
            <sz val="9"/>
            <color indexed="81"/>
            <rFont val="Tahoma"/>
            <family val="2"/>
          </rPr>
          <t>Viaje US-RFA:</t>
        </r>
        <r>
          <rPr>
            <sz val="9"/>
            <color indexed="81"/>
            <rFont val="Tahoma"/>
            <family val="2"/>
          </rPr>
          <t xml:space="preserve">
1196,19 E pasado a SINVER con conta FEB. Cargado 5/03 
</t>
        </r>
      </text>
    </comment>
    <comment ref="AQ81" authorId="1" shapeId="0" xr:uid="{00000000-0006-0000-0100-000076000000}">
      <text>
        <r>
          <rPr>
            <sz val="8"/>
            <color indexed="81"/>
            <rFont val="Tahoma"/>
            <family val="2"/>
          </rPr>
          <t>Trip LDN/SP Sugar Week
70,42€= 22,82+47,60 de gastos de efectivo nov
pte liquidar Alberto
------------------------
ETHANOL CONFERENCE BRUSSELS
17,25 de efectivo alberto pte liquidar
-----------------------------
113,96 REUNION TOMSA MADRID SEPTIEMBRE EFECTIVO A PAGAR ALBERTO.
----------------------------------------------------
VisitaAca Bio, Seaborard, Vizantin,grupo bio 4, Promaiz y Bunce
148,02 E: pde gastos de efectivo ene
(Efectivo Alberto pte liquidar)
----------------------------------------
Visita Conferencia RFA:
781,18 E: de gastos de efectivo ene pagado con visa personal
(Efectivo Alberto pte liquidar)
------------------------------------------
Viaje US-RFA:
112,57 E: de gastos de efectivo FEB
(Efectivo Alberto pte liquidar)
Visita Int. Alcoholes Ciudad Real:
pasado a SINVER con conta nov. Cargado 5/12 
45,40€ de gastos de efectivo nov
(Efectivo Alberto pte liquidar)
---------------------------------
Viaje Varsovia visita Bioagra:
403,12 E pasado a SINVER con conta DIC. Cargado 5/01 
61,30 E: de gastos de efectivo DIC
(Efectivo Alberto pte liquidar)
-------------------------------------
Viaje Lisboa:
891,30 E: de gastos de efectivo FEB
(Efectivo Alberto pte liquidar)
-----------------------------------------
Transferencia Caixa por el total 3.332,35 E realizada el 04/02/21</t>
        </r>
      </text>
    </comment>
    <comment ref="AV81" authorId="2" shapeId="0" xr:uid="{A1BF927B-4D31-4DFD-9F75-8061DF3EB1C3}">
      <text>
        <r>
          <rPr>
            <sz val="9"/>
            <color indexed="81"/>
            <rFont val="Tahoma"/>
            <family val="2"/>
          </rPr>
          <t>Trip Marbella Dropet Conf.
Fra dropet intertrading : 239,58€.
Fra del 13/07/21.
Transferencia realizada el 15/07/21</t>
        </r>
      </text>
    </comment>
    <comment ref="AZ81" authorId="2" shapeId="0" xr:uid="{1480FE8C-EFCA-4A5A-AD52-7904EA360478}">
      <text>
        <r>
          <rPr>
            <sz val="9"/>
            <color indexed="81"/>
            <rFont val="Tahoma"/>
            <family val="2"/>
          </rPr>
          <t>500€: Ppto Conferncia Dropet marbella. Mail de alberto 31/08/21. 
1004,80€: Gastos de transportes y comidas del 12 al 16/09/21 Conferncia Dropet marbella
1005,05€: Pagado con VISA Alberto.
----------------------------------
400€: Fra between congresos y viajes del 07/09/21.
Alojamiento conferencia Dropet. 
400€: Pagado con VISA Alberto.</t>
        </r>
      </text>
    </comment>
    <comment ref="BB81" authorId="0" shapeId="0" xr:uid="{9106F60E-781A-4169-81CD-532647704D5D}">
      <text>
        <r>
          <rPr>
            <b/>
            <sz val="9"/>
            <color indexed="81"/>
            <rFont val="Tahoma"/>
            <family val="2"/>
          </rPr>
          <t>Desplazamiento Alemania, Verbio:</t>
        </r>
        <r>
          <rPr>
            <sz val="9"/>
            <color indexed="81"/>
            <rFont val="Tahoma"/>
            <family val="2"/>
          </rPr>
          <t xml:space="preserve">
1426,47€: Gastos de desplazamientos, hotel y comidas del 12 al 17/11/21
Cargado VISA: 5/12/21 
-----------------------------
</t>
        </r>
        <r>
          <rPr>
            <b/>
            <sz val="9"/>
            <color indexed="81"/>
            <rFont val="Tahoma"/>
            <family val="2"/>
          </rPr>
          <t>Desplazamiento Madrid, Repsol:</t>
        </r>
        <r>
          <rPr>
            <sz val="9"/>
            <color indexed="81"/>
            <rFont val="Tahoma"/>
            <family val="2"/>
          </rPr>
          <t xml:space="preserve">
424,42€: Gastos de desplazamientos y comidas del 10 al 11/11/21
Cargado VISA: 5/12/21 
</t>
        </r>
      </text>
    </comment>
    <comment ref="BF81" authorId="0" shapeId="0" xr:uid="{C7F7DDBF-31E1-4B44-8107-1A4C3F712575}">
      <text>
        <r>
          <rPr>
            <b/>
            <u/>
            <sz val="9"/>
            <color indexed="81"/>
            <rFont val="Tahoma"/>
            <family val="2"/>
          </rPr>
          <t>Viaje a Islandia:</t>
        </r>
        <r>
          <rPr>
            <b/>
            <sz val="9"/>
            <color indexed="81"/>
            <rFont val="Tahoma"/>
            <family val="2"/>
          </rPr>
          <t xml:space="preserve">
</t>
        </r>
        <r>
          <rPr>
            <sz val="9"/>
            <color indexed="81"/>
            <rFont val="Tahoma"/>
            <family val="2"/>
          </rPr>
          <t>Invoice: 0000462 (20/04/22):</t>
        </r>
        <r>
          <rPr>
            <b/>
            <sz val="9"/>
            <color indexed="81"/>
            <rFont val="Tahoma"/>
            <family val="2"/>
          </rPr>
          <t xml:space="preserve">
</t>
        </r>
        <r>
          <rPr>
            <sz val="9"/>
            <color indexed="81"/>
            <rFont val="Tahoma"/>
            <family val="2"/>
          </rPr>
          <t xml:space="preserve">11560€: Viking Heliskiing ehf.
Transf. Caixa realizada el 22/04/22
</t>
        </r>
        <r>
          <rPr>
            <b/>
            <u/>
            <sz val="9"/>
            <color indexed="81"/>
            <rFont val="Tahoma"/>
            <family val="2"/>
          </rPr>
          <t xml:space="preserve">
Viaje a Islandia:</t>
        </r>
        <r>
          <rPr>
            <sz val="9"/>
            <color indexed="81"/>
            <rFont val="Tahoma"/>
            <family val="2"/>
          </rPr>
          <t xml:space="preserve">
Fra Viajes Triana: 037D220402 (21/04/22):
1487,52€: Billetes de avión del 29/04 y 04/05/22
Transf. Caixa realizada el 22/04/22
</t>
        </r>
      </text>
    </comment>
    <comment ref="BG81" authorId="0" shapeId="0" xr:uid="{BF324894-3B50-4367-9562-7DAC345B003B}">
      <text>
        <r>
          <rPr>
            <b/>
            <u/>
            <sz val="9"/>
            <color indexed="81"/>
            <rFont val="Tahoma"/>
            <family val="2"/>
          </rPr>
          <t>Viaje a Islandia:</t>
        </r>
        <r>
          <rPr>
            <sz val="9"/>
            <color indexed="81"/>
            <rFont val="Tahoma"/>
            <family val="2"/>
          </rPr>
          <t xml:space="preserve">
Fra Viajes Triana: 037D220477 (10/05/22):
144,98€: Maletas del 04/05/22
Realizada transf. Caixa: 16/05/22
</t>
        </r>
      </text>
    </comment>
    <comment ref="BH81" authorId="0" shapeId="0" xr:uid="{76403C8A-5392-461C-B85A-43D2D4AC1BE3}">
      <text>
        <r>
          <rPr>
            <b/>
            <u/>
            <sz val="9"/>
            <color indexed="81"/>
            <rFont val="Tahoma"/>
            <family val="2"/>
          </rPr>
          <t>Viaje a Islandia:</t>
        </r>
        <r>
          <rPr>
            <sz val="9"/>
            <color indexed="81"/>
            <rFont val="Tahoma"/>
            <family val="2"/>
          </rPr>
          <t xml:space="preserve">
Recibo Intermundial: 2200617533 (30/04/22):
96,99€: Seguro de viaje
Realizada transf. Caixa: 14/06/22
</t>
        </r>
      </text>
    </comment>
    <comment ref="BJ81" authorId="0" shapeId="0" xr:uid="{1D716ECD-E2DF-4458-AC61-4F7015BED9B7}">
      <text>
        <r>
          <rPr>
            <b/>
            <sz val="9"/>
            <color indexed="81"/>
            <rFont val="Tahoma"/>
            <family val="2"/>
          </rPr>
          <t xml:space="preserve">Trip US-RFA Conf.
</t>
        </r>
        <r>
          <rPr>
            <sz val="9"/>
            <color indexed="81"/>
            <rFont val="Tahoma"/>
            <family val="2"/>
          </rPr>
          <t xml:space="preserve">893,75€: Anotado en febrero 2022
2089,94€: Anotado en marzo 2022
5000€: Anotado en abril 2022
</t>
        </r>
        <r>
          <rPr>
            <b/>
            <sz val="9"/>
            <color indexed="81"/>
            <rFont val="Tahoma"/>
            <family val="2"/>
          </rPr>
          <t xml:space="preserve">Trip Marbella Dropet Conf.
</t>
        </r>
        <r>
          <rPr>
            <sz val="9"/>
            <color indexed="81"/>
            <rFont val="Tahoma"/>
            <family val="2"/>
          </rPr>
          <t xml:space="preserve">500€: Anotado en marzo
</t>
        </r>
        <r>
          <rPr>
            <b/>
            <sz val="9"/>
            <color indexed="81"/>
            <rFont val="Tahoma"/>
            <family val="2"/>
          </rPr>
          <t xml:space="preserve">Trip NY Sugar Week
</t>
        </r>
        <r>
          <rPr>
            <sz val="9"/>
            <color indexed="81"/>
            <rFont val="Tahoma"/>
            <family val="2"/>
          </rPr>
          <t xml:space="preserve">1530,31€: Anotado en marzo
1500€: Anotado en mayo
</t>
        </r>
        <r>
          <rPr>
            <b/>
            <sz val="9"/>
            <color indexed="81"/>
            <rFont val="Tahoma"/>
            <family val="2"/>
          </rPr>
          <t xml:space="preserve">Trip Madrid Varios
</t>
        </r>
        <r>
          <rPr>
            <sz val="9"/>
            <color indexed="81"/>
            <rFont val="Tahoma"/>
            <family val="2"/>
          </rPr>
          <t xml:space="preserve">250€: Anotado en enero
250€: Anotado en febrero
250€: Anotado en marzo
250€: Anotado en junio
250€: Anotado en agosto
</t>
        </r>
        <r>
          <rPr>
            <b/>
            <sz val="9"/>
            <color indexed="81"/>
            <rFont val="Tahoma"/>
            <family val="2"/>
          </rPr>
          <t xml:space="preserve">Trip Europe Summer
</t>
        </r>
        <r>
          <rPr>
            <sz val="9"/>
            <color indexed="81"/>
            <rFont val="Tahoma"/>
            <family val="2"/>
          </rPr>
          <t xml:space="preserve">2500€
</t>
        </r>
        <r>
          <rPr>
            <b/>
            <sz val="9"/>
            <color indexed="81"/>
            <rFont val="Tahoma"/>
            <family val="2"/>
          </rPr>
          <t xml:space="preserve">Otros Trips
</t>
        </r>
        <r>
          <rPr>
            <sz val="9"/>
            <color indexed="81"/>
            <rFont val="Tahoma"/>
            <family val="2"/>
          </rPr>
          <t>1000€: Anotado en enero
1000€: Anotado en abril
1000€: Anotado en julio</t>
        </r>
        <r>
          <rPr>
            <b/>
            <sz val="9"/>
            <color indexed="81"/>
            <rFont val="Tahoma"/>
            <family val="2"/>
          </rPr>
          <t xml:space="preserve">
</t>
        </r>
      </text>
    </comment>
    <comment ref="BL81" authorId="0" shapeId="0" xr:uid="{69022F86-9C91-4042-B13C-B20E0E85F264}">
      <text>
        <r>
          <rPr>
            <b/>
            <sz val="9"/>
            <color indexed="81"/>
            <rFont val="Tahoma"/>
            <family val="2"/>
          </rPr>
          <t xml:space="preserve">Agra Conferences: 
</t>
        </r>
        <r>
          <rPr>
            <sz val="9"/>
            <color indexed="81"/>
            <rFont val="Tahoma"/>
            <family val="2"/>
          </rPr>
          <t>Invoice Nº: 917790171 (12/09/22): Conferencia FO Licht noviembre
Transferencia realizada desde VFX en € el 20/09/22 (Realizado cambio a libras y pago en libras desde VFX)</t>
        </r>
      </text>
    </comment>
    <comment ref="BN81" authorId="0" shapeId="0" xr:uid="{84759721-D48C-43C9-97E1-2FADA63CFA19}">
      <text>
        <r>
          <rPr>
            <sz val="9"/>
            <color indexed="81"/>
            <rFont val="Tahoma"/>
            <family val="2"/>
          </rPr>
          <t>Fra Sevilla Te Mueve (Cabify) del 26/10/22:
297€: Gtos de viaje NixAl.  Servicios varios taxi casa-oficina</t>
        </r>
        <r>
          <rPr>
            <b/>
            <sz val="9"/>
            <color indexed="81"/>
            <rFont val="Tahoma"/>
            <family val="2"/>
          </rPr>
          <t xml:space="preserve">.
</t>
        </r>
        <r>
          <rPr>
            <sz val="9"/>
            <color indexed="81"/>
            <rFont val="Tahoma"/>
            <family val="2"/>
          </rPr>
          <t>Transf. Caixa realizada el 15/11/22</t>
        </r>
        <r>
          <rPr>
            <b/>
            <sz val="9"/>
            <color indexed="81"/>
            <rFont val="Tahoma"/>
            <family val="2"/>
          </rPr>
          <t xml:space="preserve">
------------------------------------
</t>
        </r>
      </text>
    </comment>
    <comment ref="BQ81" authorId="0" shapeId="0" xr:uid="{7C8D5033-1DFC-445F-9E46-BBFAD80F53A3}">
      <text>
        <r>
          <rPr>
            <b/>
            <sz val="9"/>
            <color indexed="81"/>
            <rFont val="Tahoma"/>
            <family val="2"/>
          </rPr>
          <t xml:space="preserve">
</t>
        </r>
        <r>
          <rPr>
            <sz val="9"/>
            <color indexed="81"/>
            <rFont val="Tahoma"/>
            <family val="2"/>
          </rPr>
          <t>1041,10€: Pndte de pasar Alberto Gastos VISA Alberto mes enero.
Incluye: 
120€: Suscripción Unidad Editorial
Cargado: 05/02/23</t>
        </r>
        <r>
          <rPr>
            <b/>
            <sz val="9"/>
            <color indexed="81"/>
            <rFont val="Tahoma"/>
            <family val="2"/>
          </rPr>
          <t xml:space="preserve">
--------------------------------
</t>
        </r>
      </text>
    </comment>
    <comment ref="BR81" authorId="0" shapeId="0" xr:uid="{37BC130C-22FC-4447-9E1C-C982F735068C}">
      <text>
        <r>
          <rPr>
            <sz val="9"/>
            <color indexed="81"/>
            <rFont val="Tahoma"/>
            <family val="2"/>
          </rPr>
          <t xml:space="preserve">
Anotada previsión marzo: 5000/2=2500€
----------------------------------
2456,49€: Pndte de pasar Alberto Gastos VISA Alberto mes febrero.
Cargado: 05/03/23
----------------------------------
</t>
        </r>
      </text>
    </comment>
    <comment ref="BS81" authorId="0" shapeId="0" xr:uid="{988E17D3-DC99-40E0-98A8-314EFD981AEB}">
      <text>
        <r>
          <rPr>
            <sz val="9"/>
            <color indexed="81"/>
            <rFont val="Tahoma"/>
            <family val="2"/>
          </rPr>
          <t>Anotada previsión abril: 
Trip US - RFA Conf.: 5000€/2
Trip Madrid varios: 250€
Otros Trips: 1000€</t>
        </r>
        <r>
          <rPr>
            <b/>
            <sz val="9"/>
            <color indexed="81"/>
            <rFont val="Tahoma"/>
            <family val="2"/>
          </rPr>
          <t xml:space="preserve">
</t>
        </r>
        <r>
          <rPr>
            <sz val="9"/>
            <color indexed="81"/>
            <rFont val="Tahoma"/>
            <family val="2"/>
          </rPr>
          <t>----------------------------------
3373,49€: Pndte de pasar Alberto Gastos VISA Alberto mes marzo.
Cargado: 05/04/23
----------------------------------</t>
        </r>
      </text>
    </comment>
    <comment ref="BT81" authorId="0" shapeId="0" xr:uid="{3B08AD71-037B-4CDB-B16E-E5697F5BCFF3}">
      <text>
        <r>
          <rPr>
            <sz val="9"/>
            <color indexed="81"/>
            <rFont val="Tahoma"/>
            <family val="2"/>
          </rPr>
          <t xml:space="preserve">3000€: Anotada previsión abril: 
Trip NY Sugar Week: 1500€
---------------------------------
3978,46€: Pndte de pasar Alberto Gastos VISA Alberto mes abril.
Cargado: 05/05/23
---------------------------------
</t>
        </r>
      </text>
    </comment>
    <comment ref="BU81" authorId="0" shapeId="0" xr:uid="{89B7CB5C-CCB0-405F-824B-D3A207353CC9}">
      <text>
        <r>
          <rPr>
            <sz val="9"/>
            <color indexed="81"/>
            <rFont val="Tahoma"/>
            <family val="2"/>
          </rPr>
          <t>Trip Madrid varios: 250€
--------------------------
3401,57€: Pndte de pasar Alberto Gastos VISA Alberto mes mayo.
Cargado: 05/06/23
---------------------------</t>
        </r>
      </text>
    </comment>
    <comment ref="BV81" authorId="0" shapeId="0" xr:uid="{9E3B125F-9071-4993-839F-339BCF75F6BA}">
      <text>
        <r>
          <rPr>
            <sz val="9"/>
            <color indexed="81"/>
            <rFont val="Tahoma"/>
            <family val="2"/>
          </rPr>
          <t>Previsión Julio: 500€
--------------------------
1.161,44€: Pndte de pasar Alberto Gastos VISA Alberto mes junio.
Cargado: 05/07/23
---------------------------</t>
        </r>
      </text>
    </comment>
    <comment ref="BW81" authorId="0" shapeId="0" xr:uid="{0BD07321-AF24-4352-A793-9F95D48937A4}">
      <text>
        <r>
          <rPr>
            <sz val="9"/>
            <color indexed="81"/>
            <rFont val="Tahoma"/>
            <family val="2"/>
          </rPr>
          <t>Previsión Agosto: 500€
-----------------------------
1.061,80€: Pndte de pasar Alberto Gastos VISA Alberto mes julio.
Cargado: 05/08/23
---------------------------</t>
        </r>
      </text>
    </comment>
    <comment ref="BY81" authorId="0" shapeId="0" xr:uid="{AE38F1DE-183D-46AA-A3AC-1AFCB3E9614E}">
      <text>
        <r>
          <rPr>
            <sz val="9"/>
            <color indexed="81"/>
            <rFont val="Tahoma"/>
            <family val="2"/>
          </rPr>
          <t>Previsión Sept: 500€
------------------------
1.514,37€: Pndte de pasar Alberto Gastos VISA Alberto mes agosto.
Incluye fra del Registro pagada con VISA el 04/08/23 por importe 10,91 E
Cargado: 05/09/23
----------------------</t>
        </r>
      </text>
    </comment>
    <comment ref="BZ81" authorId="0" shapeId="0" xr:uid="{C754A097-C565-46F4-A2B3-C9B215C596CC}">
      <text>
        <r>
          <rPr>
            <b/>
            <sz val="9"/>
            <color indexed="81"/>
            <rFont val="Tahoma"/>
            <family val="2"/>
          </rPr>
          <t xml:space="preserve">Previsión Oct: 2.000€
</t>
        </r>
        <r>
          <rPr>
            <sz val="9"/>
            <color indexed="81"/>
            <rFont val="Tahoma"/>
            <family val="2"/>
          </rPr>
          <t>2.534,77€: Pndte de pasar Alberto Gastos VISA Alberto mes sept.
Cargado: 05/10/23</t>
        </r>
        <r>
          <rPr>
            <b/>
            <sz val="9"/>
            <color indexed="81"/>
            <rFont val="Tahoma"/>
            <family val="2"/>
          </rPr>
          <t xml:space="preserve">
------------------------
</t>
        </r>
        <r>
          <rPr>
            <sz val="9"/>
            <color indexed="81"/>
            <rFont val="Tahoma"/>
            <family val="2"/>
          </rPr>
          <t>World Ethanol &amp;Biofuels: 
Invoice Nº: 3900807877 (13/09/23): Conferencia FO Licht noviembre
Transferencia realizada desde VFX en € el 23/10/23 
(Realizado cambio a libras y pago en libras desde VFX)
535,61 GBP al Tc: 0,8609</t>
        </r>
      </text>
    </comment>
    <comment ref="CA81" authorId="1" shapeId="0" xr:uid="{1A8FEA17-D4C0-478E-B8BF-40A3E8180929}">
      <text>
        <r>
          <rPr>
            <sz val="9"/>
            <color indexed="81"/>
            <rFont val="Tahoma"/>
            <family val="2"/>
          </rPr>
          <t xml:space="preserve">Previsión Nov: 1.500€ 
FO Licht evento: 
Pndte de pasar Alberto Gastos VISA Alberto mes oct:
316,60€: Gastos desplazamiento Madrid-Sevilla y Bloomberg
2958,69€: Gastos Viaje Sao Paulo
3.275,29€: Cargado: 05/11/23
</t>
        </r>
      </text>
    </comment>
    <comment ref="CB81" authorId="1" shapeId="0" xr:uid="{9B56AFEF-C3C4-4F3B-92F2-7FC23365A547}">
      <text>
        <r>
          <rPr>
            <sz val="9"/>
            <color indexed="81"/>
            <rFont val="Tahoma"/>
            <family val="2"/>
          </rPr>
          <t xml:space="preserve">Previsión Dic: 500€ 
Pndte de pasar Alberto Gastos VISA Alberto mes nov:
4.393,77€: Gastos desplazamiento 
4.393,77€: Cargado: 05/12/23
</t>
        </r>
      </text>
    </comment>
    <comment ref="CC81" authorId="1" shapeId="0" xr:uid="{5C28BDBF-2031-4AF6-824A-21286F20CBD2}">
      <text>
        <r>
          <rPr>
            <sz val="9"/>
            <color indexed="81"/>
            <rFont val="Tahoma"/>
            <family val="2"/>
          </rPr>
          <t xml:space="preserve">Previsión Ene: 500€ 
Pndte de pasar Alberto Gastos VISA Alberto mes dic:
1.311,37€: Gastos desplazamiento 
1.311,37€: Cargado: 05/01/24
</t>
        </r>
      </text>
    </comment>
    <comment ref="CD81" authorId="1" shapeId="0" xr:uid="{13B304BB-FF6E-4380-9814-BFE14C4BBECF}">
      <text>
        <r>
          <rPr>
            <sz val="9"/>
            <color indexed="81"/>
            <rFont val="Tahoma"/>
            <family val="2"/>
          </rPr>
          <t xml:space="preserve">Previsión Feb: 500€ 
Pndte de pasar Alberto Gastos VISA Alberto mes ene:
726,56€: Gastos desplazamiento 
726,56€: Cargado: 05/02/24
</t>
        </r>
      </text>
    </comment>
    <comment ref="CE81" authorId="0" shapeId="0" xr:uid="{5EE2C6CE-2E94-4977-B3A2-EA70F1D45BF3}">
      <text>
        <r>
          <rPr>
            <sz val="9"/>
            <color indexed="81"/>
            <rFont val="Tahoma"/>
            <family val="2"/>
          </rPr>
          <t>Previsión marzo: 2.500€
Pndte de pasar Alberto Gastos VISA Alberto mes feb:
1.117,22€: Gastos desplazamiento 
1.117,22€: Cargado: 05/03/24</t>
        </r>
      </text>
    </comment>
    <comment ref="CF81" authorId="0" shapeId="0" xr:uid="{FD749F5F-FCEF-4EC3-B6F4-E1DC0A65D8F0}">
      <text>
        <r>
          <rPr>
            <b/>
            <sz val="9"/>
            <color indexed="81"/>
            <rFont val="Tahoma"/>
            <family val="2"/>
          </rPr>
          <t>Trip US - RFA Conf.: 5000€
Trip Madrid varios: 250€
Otros Trips: 1000€</t>
        </r>
      </text>
    </comment>
    <comment ref="CG81" authorId="0" shapeId="0" xr:uid="{0C679ABF-9887-4192-ADA1-E8464086143B}">
      <text>
        <r>
          <rPr>
            <b/>
            <sz val="9"/>
            <color indexed="81"/>
            <rFont val="Tahoma"/>
            <family val="2"/>
          </rPr>
          <t>Trip NY Sugar Week: 1500€</t>
        </r>
      </text>
    </comment>
    <comment ref="CH81" authorId="0" shapeId="0" xr:uid="{67BE1E89-BD88-4CCB-A641-413BCAA257D6}">
      <text>
        <r>
          <rPr>
            <b/>
            <sz val="9"/>
            <color indexed="81"/>
            <rFont val="Tahoma"/>
            <family val="2"/>
          </rPr>
          <t>Trip Madrid varios: 250€</t>
        </r>
      </text>
    </comment>
    <comment ref="CJ81" authorId="0" shapeId="0" xr:uid="{4CF693E6-9629-4CE9-8A1F-D15FCBAD1AB8}">
      <text>
        <r>
          <rPr>
            <b/>
            <sz val="9"/>
            <color indexed="81"/>
            <rFont val="Tahoma"/>
            <family val="2"/>
          </rPr>
          <t>Trip Madrid varios: 250€
Trip Europe Summer: 2500€</t>
        </r>
      </text>
    </comment>
    <comment ref="CO81" authorId="1" shapeId="0" xr:uid="{28FF6196-BC6C-4E46-A364-8075CE57A47C}">
      <text>
        <r>
          <rPr>
            <sz val="9"/>
            <color indexed="81"/>
            <rFont val="Tahoma"/>
            <family val="2"/>
          </rPr>
          <t xml:space="preserve">FO Licht evento: Previsión 1500
</t>
        </r>
      </text>
    </comment>
    <comment ref="CS81" authorId="0" shapeId="0" xr:uid="{1B2AE8FC-AD3D-4049-9440-EDB0241E9D7F}">
      <text>
        <r>
          <rPr>
            <b/>
            <sz val="9"/>
            <color indexed="81"/>
            <rFont val="Tahoma"/>
            <family val="2"/>
          </rPr>
          <t>Trip Madrid: 250€ anotada en dic</t>
        </r>
        <r>
          <rPr>
            <sz val="9"/>
            <color indexed="81"/>
            <rFont val="Tahoma"/>
            <family val="2"/>
          </rPr>
          <t xml:space="preserve">
---------------------------
</t>
        </r>
        <r>
          <rPr>
            <b/>
            <sz val="9"/>
            <color indexed="81"/>
            <rFont val="Tahoma"/>
            <family val="2"/>
          </rPr>
          <t>Previsiones anotadas en nov 22:</t>
        </r>
        <r>
          <rPr>
            <sz val="9"/>
            <color indexed="81"/>
            <rFont val="Tahoma"/>
            <family val="2"/>
          </rPr>
          <t xml:space="preserve"> 
Trip LDN/SP Sugar Week: 2000€
Trip BRU FO Licht: 1500€
Otros Trips: 1000€
---------------------------------
1000€: Previsión de enero
---------------------------------
Previsión marzo
Trip US - RFA Conf.: 893,75€
Trip Madrid varios: 250€
Trip Argentina / Brazil: 148,02€
Trip US - RFA Conf.: 2089,94€
Trip Marbella Dropet Conf.: 500€
Trip NY Sugar Week: 1530,31€</t>
        </r>
      </text>
    </comment>
    <comment ref="CT81" authorId="0" shapeId="0" xr:uid="{286105F8-F3FD-4D25-A0A9-07BA6EA4EE01}">
      <text>
        <r>
          <rPr>
            <b/>
            <sz val="9"/>
            <color indexed="81"/>
            <rFont val="Tahoma"/>
            <family val="2"/>
          </rPr>
          <t>Trip US - RFA Conf.: 5000€
Trip Madrid varios: 250€
Otros Trips: 1000€</t>
        </r>
      </text>
    </comment>
    <comment ref="CU81" authorId="0" shapeId="0" xr:uid="{69E59FF5-4619-4ADD-9250-7C325855C1AC}">
      <text>
        <r>
          <rPr>
            <b/>
            <sz val="9"/>
            <color indexed="81"/>
            <rFont val="Tahoma"/>
            <family val="2"/>
          </rPr>
          <t>Trip NY Sugar Week: 1500€</t>
        </r>
      </text>
    </comment>
    <comment ref="CV81" authorId="0" shapeId="0" xr:uid="{33EC319E-74C2-438D-B50C-0485BB3C4DD4}">
      <text>
        <r>
          <rPr>
            <b/>
            <sz val="9"/>
            <color indexed="81"/>
            <rFont val="Tahoma"/>
            <family val="2"/>
          </rPr>
          <t>Trip Madrid varios: 250€</t>
        </r>
      </text>
    </comment>
    <comment ref="CX81" authorId="0" shapeId="0" xr:uid="{624BFB40-6E2C-44B0-B157-94AE98A493DE}">
      <text>
        <r>
          <rPr>
            <b/>
            <sz val="9"/>
            <color indexed="81"/>
            <rFont val="Tahoma"/>
            <family val="2"/>
          </rPr>
          <t>Trip Madrid varios: 250€
Trip Europe Summer: 2500€</t>
        </r>
      </text>
    </comment>
    <comment ref="DB81" authorId="1" shapeId="0" xr:uid="{8635637E-918D-4427-9F86-48DA9F4B1ADE}">
      <text>
        <r>
          <rPr>
            <sz val="9"/>
            <color indexed="81"/>
            <rFont val="Tahoma"/>
            <family val="2"/>
          </rPr>
          <t xml:space="preserve">FO Licht evento: Previsión 1500
</t>
        </r>
      </text>
    </comment>
    <comment ref="DF81" authorId="0" shapeId="0" xr:uid="{16E8ABCD-2639-4657-B912-2F793E83A914}">
      <text>
        <r>
          <rPr>
            <b/>
            <sz val="9"/>
            <color indexed="81"/>
            <rFont val="Tahoma"/>
            <family val="2"/>
          </rPr>
          <t>Trip Madrid: 250€ anotada en dic</t>
        </r>
        <r>
          <rPr>
            <sz val="9"/>
            <color indexed="81"/>
            <rFont val="Tahoma"/>
            <family val="2"/>
          </rPr>
          <t xml:space="preserve">
---------------------------
</t>
        </r>
        <r>
          <rPr>
            <b/>
            <sz val="9"/>
            <color indexed="81"/>
            <rFont val="Tahoma"/>
            <family val="2"/>
          </rPr>
          <t>Previsiones anotadas en nov 22:</t>
        </r>
        <r>
          <rPr>
            <sz val="9"/>
            <color indexed="81"/>
            <rFont val="Tahoma"/>
            <family val="2"/>
          </rPr>
          <t xml:space="preserve"> 
Trip LDN/SP Sugar Week: 2000€
Trip BRU FO Licht: 1500€
Otros Trips: 1000€
---------------------------------
1000€: Previsión de enero
---------------------------------
Previsión marzo
Trip US - RFA Conf.: 893,75€
Trip Madrid varios: 250€
Trip Argentina / Brazil: 148,02€
Trip US - RFA Conf.: 2089,94€
Trip Marbella Dropet Conf.: 500€
Trip NY Sugar Week: 1530,31€</t>
        </r>
      </text>
    </comment>
    <comment ref="DG81" authorId="0" shapeId="0" xr:uid="{55398410-ED86-4DA0-8544-2AEE9D298912}">
      <text>
        <r>
          <rPr>
            <b/>
            <sz val="9"/>
            <color indexed="81"/>
            <rFont val="Tahoma"/>
            <family val="2"/>
          </rPr>
          <t>Trip US - RFA Conf.: 5000€
Trip Madrid varios: 250€
Otros Trips: 1000€</t>
        </r>
      </text>
    </comment>
    <comment ref="DH81" authorId="0" shapeId="0" xr:uid="{B68B28C4-467F-4D76-B9C7-0FB8ABF1ACD4}">
      <text>
        <r>
          <rPr>
            <b/>
            <sz val="9"/>
            <color indexed="81"/>
            <rFont val="Tahoma"/>
            <family val="2"/>
          </rPr>
          <t>Trip NY Sugar Week: 1500€</t>
        </r>
      </text>
    </comment>
    <comment ref="DI81" authorId="0" shapeId="0" xr:uid="{4148BFEE-8186-4D0B-8C08-848245700911}">
      <text>
        <r>
          <rPr>
            <b/>
            <sz val="9"/>
            <color indexed="81"/>
            <rFont val="Tahoma"/>
            <family val="2"/>
          </rPr>
          <t>Trip Madrid varios: 250€</t>
        </r>
      </text>
    </comment>
    <comment ref="DK81" authorId="0" shapeId="0" xr:uid="{AAA6A992-A001-4C0C-8486-ABA8A6E9A834}">
      <text>
        <r>
          <rPr>
            <b/>
            <sz val="9"/>
            <color indexed="81"/>
            <rFont val="Tahoma"/>
            <family val="2"/>
          </rPr>
          <t>Trip Madrid varios: 250€
Trip Europe Summer: 2500€</t>
        </r>
      </text>
    </comment>
    <comment ref="AP82" authorId="0" shapeId="0" xr:uid="{00000000-0006-0000-0100-000085000000}">
      <text>
        <r>
          <rPr>
            <sz val="9"/>
            <color indexed="81"/>
            <rFont val="Tahoma"/>
            <family val="2"/>
          </rPr>
          <t>3536€: Transferencia Caixa realizada el 08/01/21</t>
        </r>
      </text>
    </comment>
    <comment ref="BC82" authorId="0" shapeId="0" xr:uid="{B88F6017-8F94-47F8-BF89-B1A75623D5AB}">
      <text>
        <r>
          <rPr>
            <sz val="9"/>
            <color indexed="81"/>
            <rFont val="Tahoma"/>
            <family val="2"/>
          </rPr>
          <t>Recibo del 20/01/22:
4540€: Transferencia Caixa realizada el 21/01/22</t>
        </r>
      </text>
    </comment>
    <comment ref="BR82" authorId="3" shapeId="0" xr:uid="{00000000-0006-0000-0100-000089000000}">
      <text>
        <r>
          <rPr>
            <b/>
            <sz val="9"/>
            <color indexed="81"/>
            <rFont val="Tahoma"/>
            <family val="2"/>
          </rPr>
          <t xml:space="preserve">Alberto Carmona:
</t>
        </r>
        <r>
          <rPr>
            <sz val="9"/>
            <color indexed="81"/>
            <rFont val="Tahoma"/>
            <family val="2"/>
          </rPr>
          <t>180 Eur/mes x 6 meses (enero a junio).
180 Eur/mes x 6 meses (julio a dicembre).
Recibo del 28/02/23:
2160€: Realizar Transferencia Caixa realizada el 06/03/23</t>
        </r>
      </text>
    </comment>
    <comment ref="BS82" authorId="3" shapeId="0" xr:uid="{EF990AB3-FF5D-4959-88B8-CA9BAF9109D2}">
      <text>
        <r>
          <rPr>
            <b/>
            <sz val="9"/>
            <color indexed="81"/>
            <rFont val="Tahoma"/>
            <family val="2"/>
          </rPr>
          <t xml:space="preserve">Alberto Carmona:
</t>
        </r>
        <r>
          <rPr>
            <sz val="9"/>
            <color indexed="81"/>
            <rFont val="Tahoma"/>
            <family val="2"/>
          </rPr>
          <t>3940€: Anotar en mayo
Recibo del 27/04/23:
3940€: Realizar Transferencia Caixa 
Transferencia Caixa realizada el 27/04/23</t>
        </r>
      </text>
    </comment>
    <comment ref="CE82" authorId="3" shapeId="0" xr:uid="{CB5D68CC-F5CD-4691-A7DE-3125A5A13A00}">
      <text>
        <r>
          <rPr>
            <b/>
            <sz val="9"/>
            <color indexed="81"/>
            <rFont val="Tahoma"/>
            <family val="2"/>
          </rPr>
          <t xml:space="preserve">Alberto Carmona:
</t>
        </r>
        <r>
          <rPr>
            <sz val="9"/>
            <color indexed="81"/>
            <rFont val="Tahoma"/>
            <family val="2"/>
          </rPr>
          <t>180 Eur/mes x 6 meses (enero a junio).
180 Eur/mes x 6 meses (julio a dicembre).</t>
        </r>
      </text>
    </comment>
    <comment ref="CF82" authorId="3" shapeId="0" xr:uid="{4850EDB8-826C-4367-8A47-08A6E296E5A4}">
      <text>
        <r>
          <rPr>
            <b/>
            <sz val="9"/>
            <color indexed="81"/>
            <rFont val="Tahoma"/>
            <family val="2"/>
          </rPr>
          <t xml:space="preserve">Alberto Carmona:
</t>
        </r>
        <r>
          <rPr>
            <sz val="9"/>
            <color indexed="81"/>
            <rFont val="Tahoma"/>
            <family val="2"/>
          </rPr>
          <t>3940€: Anotar en mayo
Recibo del 27/04/23:
3940€: Realizar Transferencia Caixa 
Transferencia Caixa realizada el 27/04/23</t>
        </r>
      </text>
    </comment>
    <comment ref="CS82" authorId="3" shapeId="0" xr:uid="{5C5CB1C4-1B16-4C17-A51B-B42FBA6DC412}">
      <text>
        <r>
          <rPr>
            <b/>
            <sz val="9"/>
            <color indexed="81"/>
            <rFont val="Tahoma"/>
            <family val="2"/>
          </rPr>
          <t xml:space="preserve">Alberto Carmona:
</t>
        </r>
        <r>
          <rPr>
            <sz val="9"/>
            <color indexed="81"/>
            <rFont val="Tahoma"/>
            <family val="2"/>
          </rPr>
          <t>180 Eur/mes x 6 meses (enero a junio).
180 Eur/mes x 6 meses (julio a dicembre).</t>
        </r>
      </text>
    </comment>
    <comment ref="CT82" authorId="3" shapeId="0" xr:uid="{2ADEBDE3-9E99-45B5-8184-7DD6AA12F502}">
      <text>
        <r>
          <rPr>
            <b/>
            <sz val="9"/>
            <color indexed="81"/>
            <rFont val="Tahoma"/>
            <family val="2"/>
          </rPr>
          <t xml:space="preserve">Alberto Carmona:
</t>
        </r>
        <r>
          <rPr>
            <sz val="9"/>
            <color indexed="81"/>
            <rFont val="Tahoma"/>
            <family val="2"/>
          </rPr>
          <t>3940€: Anotar en mayo
Recibo del 27/04/23:
3940€: Realizar Transferencia Caixa 
Transferencia Caixa realizada el 27/04/23</t>
        </r>
      </text>
    </comment>
    <comment ref="DF82" authorId="3" shapeId="0" xr:uid="{711133B0-8C50-4C86-9667-DE1C1F8185AE}">
      <text>
        <r>
          <rPr>
            <b/>
            <sz val="9"/>
            <color indexed="81"/>
            <rFont val="Tahoma"/>
            <family val="2"/>
          </rPr>
          <t xml:space="preserve">Alberto Carmona:
</t>
        </r>
        <r>
          <rPr>
            <sz val="9"/>
            <color indexed="81"/>
            <rFont val="Tahoma"/>
            <family val="2"/>
          </rPr>
          <t>180 Eur/mes x 6 meses (enero a junio).
180 Eur/mes x 6 meses (julio a dicembre).</t>
        </r>
      </text>
    </comment>
    <comment ref="DG82" authorId="3" shapeId="0" xr:uid="{4BAAF44E-C5D0-4D5F-AC9E-8CF312DD0747}">
      <text>
        <r>
          <rPr>
            <b/>
            <sz val="9"/>
            <color indexed="81"/>
            <rFont val="Tahoma"/>
            <family val="2"/>
          </rPr>
          <t xml:space="preserve">Alberto Carmona:
</t>
        </r>
        <r>
          <rPr>
            <sz val="9"/>
            <color indexed="81"/>
            <rFont val="Tahoma"/>
            <family val="2"/>
          </rPr>
          <t>3940€: Anotar en mayo
Recibo del 27/04/23:
3940€: Realizar Transferencia Caixa 
Transferencia Caixa realizada el 27/04/23</t>
        </r>
      </text>
    </comment>
    <comment ref="AD83" authorId="1" shapeId="0" xr:uid="{00000000-0006-0000-0100-00008B000000}">
      <text>
        <r>
          <rPr>
            <b/>
            <sz val="8"/>
            <color indexed="81"/>
            <rFont val="Tahoma"/>
            <family val="2"/>
          </rPr>
          <t>alfonso:</t>
        </r>
        <r>
          <rPr>
            <sz val="8"/>
            <color indexed="81"/>
            <rFont val="Tahoma"/>
            <family val="2"/>
          </rPr>
          <t xml:space="preserve">
trimestre a BUS por gastos compartidos (2070+IVA TRIMESTRALES)</t>
        </r>
      </text>
    </comment>
    <comment ref="AF83" authorId="1" shapeId="0" xr:uid="{00000000-0006-0000-0100-00008C000000}">
      <text>
        <r>
          <rPr>
            <b/>
            <sz val="9"/>
            <color indexed="81"/>
            <rFont val="Tahoma"/>
            <family val="2"/>
          </rPr>
          <t>alfonso:</t>
        </r>
        <r>
          <rPr>
            <sz val="9"/>
            <color indexed="81"/>
            <rFont val="Tahoma"/>
            <family val="2"/>
          </rPr>
          <t xml:space="preserve">
resta 652,64 para cuadrar las nominas con los pagos hasta el 31/3/20.
Ajustar ya en adelante el liquido con la nomina ya regularizada.</t>
        </r>
      </text>
    </comment>
    <comment ref="AQ83" authorId="0" shapeId="0" xr:uid="{00000000-0006-0000-0100-00008D000000}">
      <text>
        <r>
          <rPr>
            <b/>
            <sz val="9"/>
            <color indexed="81"/>
            <rFont val="Tahoma"/>
            <family val="2"/>
          </rPr>
          <t>Transferencia Caixa realizada el 26/02/21</t>
        </r>
      </text>
    </comment>
    <comment ref="AR83" authorId="0" shapeId="0" xr:uid="{F8132736-A560-4D54-B838-31F54B5EE52A}">
      <text>
        <r>
          <rPr>
            <b/>
            <sz val="9"/>
            <color indexed="81"/>
            <rFont val="Tahoma"/>
            <family val="2"/>
          </rPr>
          <t>Transferencia Caixa realizada el 30/03/21</t>
        </r>
      </text>
    </comment>
    <comment ref="AS83" authorId="2" shapeId="0" xr:uid="{CE20C344-EC3C-45CF-AAA6-AEEB685114D8}">
      <text>
        <r>
          <rPr>
            <b/>
            <sz val="9"/>
            <color indexed="81"/>
            <rFont val="Tahoma"/>
            <family val="2"/>
          </rPr>
          <t>Transferencia Caixa realizada el 29/04/21</t>
        </r>
      </text>
    </comment>
    <comment ref="BB83" authorId="0" shapeId="0" xr:uid="{3EBEA4AF-8619-4B4E-99DA-D062463FB623}">
      <text>
        <r>
          <rPr>
            <sz val="9"/>
            <color indexed="81"/>
            <rFont val="Tahoma"/>
            <family val="2"/>
          </rPr>
          <t>Transferencia Caixa realizada el 30/12/21</t>
        </r>
      </text>
    </comment>
    <comment ref="BC83" authorId="0" shapeId="0" xr:uid="{AFF29D99-FAD7-4891-962C-AC2010FFCEAD}">
      <text>
        <r>
          <rPr>
            <sz val="9"/>
            <color indexed="81"/>
            <rFont val="Tahoma"/>
            <family val="2"/>
          </rPr>
          <t>Transferencia Caixa realizada el 31/01/22</t>
        </r>
      </text>
    </comment>
    <comment ref="BD83" authorId="2" shapeId="0" xr:uid="{AA8F9A54-6CB7-4491-96AF-F07AA24E2E58}">
      <text>
        <r>
          <rPr>
            <sz val="9"/>
            <color indexed="81"/>
            <rFont val="Tahoma"/>
            <family val="2"/>
          </rPr>
          <t>Transferencia Caixa realizada el 25/02/22.</t>
        </r>
      </text>
    </comment>
    <comment ref="BE83" authorId="2" shapeId="0" xr:uid="{553B3DD9-8385-4153-9B2B-9D7176480590}">
      <text>
        <r>
          <rPr>
            <b/>
            <sz val="9"/>
            <color indexed="81"/>
            <rFont val="Tahoma"/>
            <family val="2"/>
          </rPr>
          <t>Transferencia Caixa realizada el 30/03/22.</t>
        </r>
      </text>
    </comment>
    <comment ref="BG83" authorId="2" shapeId="0" xr:uid="{798F6AD7-570A-4FB6-84F3-72A54B28F504}">
      <text>
        <r>
          <rPr>
            <sz val="9"/>
            <color indexed="81"/>
            <rFont val="Tahoma"/>
            <family val="2"/>
          </rPr>
          <t>1250€: Transferencia Caixa realizada el 16/05/22.
------------------------------
5200€: Transferencia Caixa realizada el 26/05/22.
------------------------------</t>
        </r>
      </text>
    </comment>
    <comment ref="BH83" authorId="2" shapeId="0" xr:uid="{76F30D9E-1BCF-4370-B0B8-1606417DBC99}">
      <text>
        <r>
          <rPr>
            <sz val="9"/>
            <color indexed="81"/>
            <rFont val="Tahoma"/>
            <family val="2"/>
          </rPr>
          <t>5.200,00€: Transferencia Caixa realizada el 30/06/22.</t>
        </r>
      </text>
    </comment>
    <comment ref="BI83" authorId="2" shapeId="0" xr:uid="{DCD50D1F-977E-4426-A372-E6F6207C2167}">
      <text>
        <r>
          <rPr>
            <sz val="9"/>
            <color indexed="81"/>
            <rFont val="Tahoma"/>
            <family val="2"/>
          </rPr>
          <t>Transferencia realizada el 29/07/22.</t>
        </r>
      </text>
    </comment>
    <comment ref="BJ83" authorId="2" shapeId="0" xr:uid="{B2409A67-26B5-4572-B670-C0CA2E56C95D}">
      <text>
        <r>
          <rPr>
            <b/>
            <sz val="9"/>
            <color indexed="81"/>
            <rFont val="Tahoma"/>
            <family val="2"/>
          </rPr>
          <t>Transferncia realizada el 29/08/22.</t>
        </r>
      </text>
    </comment>
    <comment ref="BL83" authorId="2" shapeId="0" xr:uid="{1D9C2786-A2CA-4D3B-8114-B8E72D7CA078}">
      <text>
        <r>
          <rPr>
            <b/>
            <sz val="9"/>
            <color indexed="81"/>
            <rFont val="Tahoma"/>
            <family val="2"/>
          </rPr>
          <t>Pago vía transferencia el 29/09/22.</t>
        </r>
      </text>
    </comment>
    <comment ref="BM83" authorId="0" shapeId="0" xr:uid="{F804A8A4-8A29-4121-BF96-0676F2945B2A}">
      <text>
        <r>
          <rPr>
            <b/>
            <sz val="9"/>
            <color indexed="81"/>
            <rFont val="Tahoma"/>
            <family val="2"/>
          </rPr>
          <t>274,95€: Resto nómina de sept
Transferencia Caixa realizada el 17/10/22.
---------------------------
2700€: Previsión mes de octubre
3000€: Importe confirmado por Alfonso
Transf. Caixa realizada el 28/10/22</t>
        </r>
      </text>
    </comment>
    <comment ref="BN83" authorId="0" shapeId="0" xr:uid="{5A085E9B-92AB-47DD-9E6A-B16349E453C1}">
      <text>
        <r>
          <rPr>
            <b/>
            <sz val="9"/>
            <color indexed="81"/>
            <rFont val="Tahoma"/>
            <family val="2"/>
          </rPr>
          <t>Transf. Caixa realizada el 29/11/22</t>
        </r>
      </text>
    </comment>
    <comment ref="BO83" authorId="0" shapeId="0" xr:uid="{3B6D9613-0373-4B0B-808B-16146735526C}">
      <text>
        <r>
          <rPr>
            <b/>
            <sz val="9"/>
            <color indexed="81"/>
            <rFont val="Tahoma"/>
            <family val="2"/>
          </rPr>
          <t>Transf. Caixa realizada el 29/12/22</t>
        </r>
      </text>
    </comment>
    <comment ref="BP83" authorId="2" shapeId="0" xr:uid="{677F33CC-3C00-470F-BF5C-D2B9A3DCDBA5}">
      <text>
        <r>
          <rPr>
            <b/>
            <sz val="9"/>
            <color indexed="81"/>
            <rFont val="Tahoma"/>
            <family val="2"/>
          </rPr>
          <t>Transf. Caixa realizada el 30/01/23</t>
        </r>
      </text>
    </comment>
    <comment ref="BQ83" authorId="2" shapeId="0" xr:uid="{35770672-2F39-4DED-BF7D-A83BD90D1964}">
      <text>
        <r>
          <rPr>
            <b/>
            <sz val="9"/>
            <color indexed="81"/>
            <rFont val="Tahoma"/>
            <family val="2"/>
          </rPr>
          <t>Transf. Caixa realizada el 27/02/23</t>
        </r>
      </text>
    </comment>
    <comment ref="BR83" authorId="2" shapeId="0" xr:uid="{DEAB885E-5B88-434B-BA0D-3E0C92EA1648}">
      <text>
        <r>
          <rPr>
            <sz val="9"/>
            <color indexed="81"/>
            <rFont val="Tahoma"/>
            <family val="2"/>
          </rPr>
          <t>Transferencia realizada el 29/03/23.</t>
        </r>
      </text>
    </comment>
    <comment ref="BS83" authorId="2" shapeId="0" xr:uid="{EAA139A8-4F37-42E9-BE62-BFB6D1F31FC3}">
      <text>
        <r>
          <rPr>
            <sz val="9"/>
            <color indexed="81"/>
            <rFont val="Tahoma"/>
            <family val="2"/>
          </rPr>
          <t>Transferencia realizada el 27/04/23.</t>
        </r>
      </text>
    </comment>
    <comment ref="BT83" authorId="2" shapeId="0" xr:uid="{D3493944-409B-4EC1-AEE3-480E8CD322BE}">
      <text>
        <r>
          <rPr>
            <sz val="9"/>
            <color indexed="81"/>
            <rFont val="Tahoma"/>
            <family val="2"/>
          </rPr>
          <t>Transferencia realizada el 29/05/23.</t>
        </r>
      </text>
    </comment>
    <comment ref="BU83" authorId="0" shapeId="0" xr:uid="{900E691A-CE8D-40BB-B042-74DD5FA9D260}">
      <text>
        <r>
          <rPr>
            <b/>
            <sz val="9"/>
            <color indexed="81"/>
            <rFont val="Tahoma"/>
            <family val="2"/>
          </rPr>
          <t>Transferencia realizada el 28/06/23.</t>
        </r>
      </text>
    </comment>
    <comment ref="BV83" authorId="0" shapeId="0" xr:uid="{5451515E-6F7A-45CB-9F93-77DDBE96CCEF}">
      <text>
        <r>
          <rPr>
            <b/>
            <sz val="9"/>
            <color indexed="81"/>
            <rFont val="Tahoma"/>
            <family val="2"/>
          </rPr>
          <t>Transferencia realizada el 27/07/23.</t>
        </r>
      </text>
    </comment>
    <comment ref="BW83" authorId="0" shapeId="0" xr:uid="{523B7015-844D-492A-A513-749D76FD6A87}">
      <text>
        <r>
          <rPr>
            <b/>
            <sz val="9"/>
            <color indexed="81"/>
            <rFont val="Tahoma"/>
            <family val="2"/>
          </rPr>
          <t>Transferencia realizada el 30/08/23.</t>
        </r>
      </text>
    </comment>
    <comment ref="BY83" authorId="0" shapeId="0" xr:uid="{C486E410-93A6-479F-8B3E-EA7D86975C82}">
      <text>
        <r>
          <rPr>
            <b/>
            <sz val="9"/>
            <color indexed="81"/>
            <rFont val="Tahoma"/>
            <family val="2"/>
          </rPr>
          <t>Transferencia realizada el 29/09/23.</t>
        </r>
      </text>
    </comment>
    <comment ref="BZ83" authorId="2" shapeId="0" xr:uid="{047FBC47-139E-4594-9319-3DA1AF5C80E3}">
      <text>
        <r>
          <rPr>
            <b/>
            <sz val="9"/>
            <color indexed="81"/>
            <rFont val="Tahoma"/>
            <family val="2"/>
          </rPr>
          <t>Transferencia realizada el 30/10/23.</t>
        </r>
      </text>
    </comment>
    <comment ref="CA83" authorId="2" shapeId="0" xr:uid="{65AAF2DB-FDB8-4D4E-B3B7-813F1E837F4A}">
      <text>
        <r>
          <rPr>
            <b/>
            <sz val="9"/>
            <color indexed="81"/>
            <rFont val="Tahoma"/>
            <family val="2"/>
          </rPr>
          <t>Transferencia realizada el 29/11/23.</t>
        </r>
      </text>
    </comment>
    <comment ref="CB83" authorId="2" shapeId="0" xr:uid="{5C049FBF-5ACC-44D1-BA3B-1E0C62349363}">
      <text>
        <r>
          <rPr>
            <b/>
            <sz val="9"/>
            <color indexed="81"/>
            <rFont val="Tahoma"/>
            <family val="2"/>
          </rPr>
          <t>Transferencia realizada el 28/12/23.</t>
        </r>
      </text>
    </comment>
    <comment ref="CC83" authorId="2" shapeId="0" xr:uid="{24368CB1-B224-489D-97B9-8F4A0A31ADBC}">
      <text>
        <r>
          <rPr>
            <b/>
            <sz val="9"/>
            <color indexed="81"/>
            <rFont val="Tahoma"/>
            <family val="2"/>
          </rPr>
          <t>Transferencia realizada el 29/01/24.</t>
        </r>
      </text>
    </comment>
    <comment ref="CD83" authorId="2" shapeId="0" xr:uid="{E15913C1-3990-43A3-86E2-110DFC8F734E}">
      <text>
        <r>
          <rPr>
            <b/>
            <sz val="9"/>
            <color indexed="81"/>
            <rFont val="Tahoma"/>
            <family val="2"/>
          </rPr>
          <t>Transferencia realizada el 29/02/24.</t>
        </r>
      </text>
    </comment>
    <comment ref="AP84" authorId="0" shapeId="0" xr:uid="{00000000-0006-0000-0100-00008E000000}">
      <text>
        <r>
          <rPr>
            <b/>
            <sz val="9"/>
            <color indexed="81"/>
            <rFont val="Tahoma"/>
            <family val="2"/>
          </rPr>
          <t>Cantidad anotada en enero 2021: 13780 E</t>
        </r>
        <r>
          <rPr>
            <sz val="9"/>
            <color indexed="81"/>
            <rFont val="Tahoma"/>
            <family val="2"/>
          </rPr>
          <t xml:space="preserve">
</t>
        </r>
      </text>
    </comment>
    <comment ref="AQ84" authorId="0" shapeId="0" xr:uid="{00000000-0006-0000-0100-00008F000000}">
      <text>
        <r>
          <rPr>
            <b/>
            <sz val="9"/>
            <color indexed="81"/>
            <rFont val="Tahoma"/>
            <family val="2"/>
          </rPr>
          <t>Transferencia Caixa realizada el 26/02/21</t>
        </r>
      </text>
    </comment>
    <comment ref="AR84" authorId="0" shapeId="0" xr:uid="{B83E3384-6502-4806-8518-CDEFB03E3CD7}">
      <text>
        <r>
          <rPr>
            <b/>
            <sz val="9"/>
            <color indexed="81"/>
            <rFont val="Tahoma"/>
            <family val="2"/>
          </rPr>
          <t>Transferencia Caixa realizada el 30/03/21</t>
        </r>
      </text>
    </comment>
    <comment ref="AS84" authorId="2" shapeId="0" xr:uid="{D34BC96F-A5F2-493E-9806-30941CA353D8}">
      <text>
        <r>
          <rPr>
            <b/>
            <sz val="9"/>
            <color indexed="81"/>
            <rFont val="Tahoma"/>
            <family val="2"/>
          </rPr>
          <t>Transferencia Caixa realizada el 29/04/21</t>
        </r>
      </text>
    </comment>
    <comment ref="BB84" authorId="0" shapeId="0" xr:uid="{EC5975A8-CD8C-4270-AA0E-75C945543119}">
      <text>
        <r>
          <rPr>
            <sz val="9"/>
            <color indexed="81"/>
            <rFont val="Tahoma"/>
            <family val="2"/>
          </rPr>
          <t>Transferencia Caixa realizada el 30/12/21</t>
        </r>
      </text>
    </comment>
    <comment ref="BC84" authorId="0" shapeId="0" xr:uid="{C74E0254-8659-4BA6-9E1F-D9C6FEF77CFC}">
      <text>
        <r>
          <rPr>
            <sz val="9"/>
            <color indexed="81"/>
            <rFont val="Tahoma"/>
            <family val="2"/>
          </rPr>
          <t>Transferencia Caixa realizada el 31/01/22</t>
        </r>
      </text>
    </comment>
    <comment ref="BD84" authorId="2" shapeId="0" xr:uid="{0413980F-EFE1-4647-95EA-C8A84B3E1B44}">
      <text>
        <r>
          <rPr>
            <sz val="9"/>
            <color indexed="81"/>
            <rFont val="Tahoma"/>
            <family val="2"/>
          </rPr>
          <t>Transferencia Caixa realizada el 25/02/22.</t>
        </r>
      </text>
    </comment>
    <comment ref="BE84" authorId="2" shapeId="0" xr:uid="{7B208980-D637-4C2C-B8B8-2CBC40FC34F4}">
      <text>
        <r>
          <rPr>
            <b/>
            <sz val="9"/>
            <color indexed="81"/>
            <rFont val="Tahoma"/>
            <family val="2"/>
          </rPr>
          <t>Transferencia Caixa realizada el 30/03/22.</t>
        </r>
      </text>
    </comment>
    <comment ref="BG84" authorId="2" shapeId="0" xr:uid="{47DABB10-8D7D-416E-81D3-847933B39590}">
      <text>
        <r>
          <rPr>
            <sz val="9"/>
            <color indexed="81"/>
            <rFont val="Tahoma"/>
            <family val="2"/>
          </rPr>
          <t xml:space="preserve">11.660€: Transferencia Caixa realizada el 26/05/22.
------------------------------
</t>
        </r>
      </text>
    </comment>
    <comment ref="BH84" authorId="2" shapeId="0" xr:uid="{50C03E7D-ABF4-4155-BA1B-8501A553D780}">
      <text>
        <r>
          <rPr>
            <sz val="9"/>
            <color indexed="81"/>
            <rFont val="Tahoma"/>
            <family val="2"/>
          </rPr>
          <t>11.660€: Transferencia Caixa realizada el 30/06/22.</t>
        </r>
        <r>
          <rPr>
            <b/>
            <sz val="9"/>
            <color indexed="81"/>
            <rFont val="Tahoma"/>
            <family val="2"/>
          </rPr>
          <t xml:space="preserve">
</t>
        </r>
      </text>
    </comment>
    <comment ref="BI84" authorId="2" shapeId="0" xr:uid="{61F1B000-4212-43BE-B5FA-2B935C248D72}">
      <text>
        <r>
          <rPr>
            <sz val="9"/>
            <color indexed="81"/>
            <rFont val="Tahoma"/>
            <family val="2"/>
          </rPr>
          <t>Transferencia realizada el 29/07/22.</t>
        </r>
      </text>
    </comment>
    <comment ref="BJ84" authorId="2" shapeId="0" xr:uid="{B4930EC8-4A4A-4AE3-AB16-F79256849ED5}">
      <text>
        <r>
          <rPr>
            <b/>
            <sz val="9"/>
            <color indexed="81"/>
            <rFont val="Tahoma"/>
            <family val="2"/>
          </rPr>
          <t>Transferencia Caixa realizada el 29/08/22.</t>
        </r>
      </text>
    </comment>
    <comment ref="BL84" authorId="2" shapeId="0" xr:uid="{0CAE545D-38ED-4283-B4C8-3C48904EBFE6}">
      <text>
        <r>
          <rPr>
            <b/>
            <sz val="9"/>
            <color indexed="81"/>
            <rFont val="Tahoma"/>
            <family val="2"/>
          </rPr>
          <t>Pago vía transferencia el 29/09/22.</t>
        </r>
      </text>
    </comment>
    <comment ref="BM84" authorId="0" shapeId="0" xr:uid="{DEBC961C-D59E-478A-AB81-9ECB6DBFBE7B}">
      <text>
        <r>
          <rPr>
            <b/>
            <sz val="9"/>
            <color indexed="81"/>
            <rFont val="Tahoma"/>
            <family val="2"/>
          </rPr>
          <t>Transf. Caixa realizada el 28/10/22</t>
        </r>
      </text>
    </comment>
    <comment ref="BN84" authorId="0" shapeId="0" xr:uid="{DFCA7E32-661E-4A49-AB5F-F85577D44DDE}">
      <text>
        <r>
          <rPr>
            <b/>
            <sz val="9"/>
            <color indexed="81"/>
            <rFont val="Tahoma"/>
            <family val="2"/>
          </rPr>
          <t>Transf. Caixa realizada el 29/11/22</t>
        </r>
      </text>
    </comment>
    <comment ref="BO84" authorId="0" shapeId="0" xr:uid="{A4842441-EE0C-41BE-8A79-0AD2C3E61F94}">
      <text>
        <r>
          <rPr>
            <b/>
            <sz val="9"/>
            <color indexed="81"/>
            <rFont val="Tahoma"/>
            <family val="2"/>
          </rPr>
          <t>Transf. Caixa realizada el 29/12/22</t>
        </r>
      </text>
    </comment>
    <comment ref="BP84" authorId="2" shapeId="0" xr:uid="{424A5189-5E9F-4BE9-85DD-1DCB249D96FB}">
      <text>
        <r>
          <rPr>
            <b/>
            <sz val="9"/>
            <color indexed="81"/>
            <rFont val="Tahoma"/>
            <family val="2"/>
          </rPr>
          <t>Transf. Caixa realizada el 30/01/23</t>
        </r>
      </text>
    </comment>
    <comment ref="BQ84" authorId="2" shapeId="0" xr:uid="{47BC6E86-52D0-4715-853F-C0F9C59197F6}">
      <text>
        <r>
          <rPr>
            <b/>
            <sz val="9"/>
            <color indexed="81"/>
            <rFont val="Tahoma"/>
            <family val="2"/>
          </rPr>
          <t>Transf. Caixa realizada el 27/02/23</t>
        </r>
      </text>
    </comment>
    <comment ref="BR84" authorId="2" shapeId="0" xr:uid="{4BE9BBEF-78E5-4BBC-B2B8-4A2BDA27C5C4}">
      <text>
        <r>
          <rPr>
            <sz val="9"/>
            <color indexed="81"/>
            <rFont val="Tahoma"/>
            <family val="2"/>
          </rPr>
          <t>Transferencia realizada el 29/03/23.</t>
        </r>
      </text>
    </comment>
    <comment ref="BS84" authorId="2" shapeId="0" xr:uid="{842728F1-20B1-4DC7-A9DD-1E3114E1AAE9}">
      <text>
        <r>
          <rPr>
            <sz val="9"/>
            <color indexed="81"/>
            <rFont val="Tahoma"/>
            <family val="2"/>
          </rPr>
          <t>Transferencia realizada el 27/04/23.</t>
        </r>
      </text>
    </comment>
    <comment ref="BT84" authorId="2" shapeId="0" xr:uid="{74615EFE-6D71-41CA-9949-74D22D605AF7}">
      <text>
        <r>
          <rPr>
            <sz val="9"/>
            <color indexed="81"/>
            <rFont val="Tahoma"/>
            <family val="2"/>
          </rPr>
          <t>Transferencia realizada el 29/05/23.</t>
        </r>
      </text>
    </comment>
    <comment ref="BU84" authorId="0" shapeId="0" xr:uid="{6F6BE6C9-1827-4624-8D8F-40201F844377}">
      <text>
        <r>
          <rPr>
            <b/>
            <sz val="9"/>
            <color indexed="81"/>
            <rFont val="Tahoma"/>
            <family val="2"/>
          </rPr>
          <t>Transferencia realizada el 28/06/23.</t>
        </r>
      </text>
    </comment>
    <comment ref="BV84" authorId="0" shapeId="0" xr:uid="{D6C83553-FA52-4EC6-8E65-C3505B95AD38}">
      <text>
        <r>
          <rPr>
            <b/>
            <sz val="9"/>
            <color indexed="81"/>
            <rFont val="Tahoma"/>
            <family val="2"/>
          </rPr>
          <t>Transferencia realizada el 27/07/23.</t>
        </r>
      </text>
    </comment>
    <comment ref="BW84" authorId="0" shapeId="0" xr:uid="{3FA41900-989D-4782-9D0B-246575D40075}">
      <text>
        <r>
          <rPr>
            <b/>
            <sz val="9"/>
            <color indexed="81"/>
            <rFont val="Tahoma"/>
            <family val="2"/>
          </rPr>
          <t>Transferencia realizada el 30/08/23.</t>
        </r>
      </text>
    </comment>
    <comment ref="BY84" authorId="0" shapeId="0" xr:uid="{17538B18-F0E0-42A2-8D96-F586876CB83A}">
      <text>
        <r>
          <rPr>
            <b/>
            <sz val="9"/>
            <color indexed="81"/>
            <rFont val="Tahoma"/>
            <family val="2"/>
          </rPr>
          <t>Transferencia realizada el 29/09/23.</t>
        </r>
      </text>
    </comment>
    <comment ref="BZ84" authorId="2" shapeId="0" xr:uid="{E36293B2-A669-46F3-AB7F-59358B4762C8}">
      <text>
        <r>
          <rPr>
            <b/>
            <sz val="9"/>
            <color indexed="81"/>
            <rFont val="Tahoma"/>
            <family val="2"/>
          </rPr>
          <t>Transferencia realizada el 30/10/23.</t>
        </r>
      </text>
    </comment>
    <comment ref="CA84" authorId="2" shapeId="0" xr:uid="{997C09AC-AD70-4C65-9FFC-366F64FB4053}">
      <text>
        <r>
          <rPr>
            <b/>
            <sz val="9"/>
            <color indexed="81"/>
            <rFont val="Tahoma"/>
            <family val="2"/>
          </rPr>
          <t>Transferencia realizada el 29/11/23.</t>
        </r>
      </text>
    </comment>
    <comment ref="CB84" authorId="2" shapeId="0" xr:uid="{37D06960-EA40-426B-9CDD-863A166AFA6F}">
      <text>
        <r>
          <rPr>
            <b/>
            <sz val="9"/>
            <color indexed="81"/>
            <rFont val="Tahoma"/>
            <family val="2"/>
          </rPr>
          <t>Transferencia realizada el 28/12/23.</t>
        </r>
      </text>
    </comment>
    <comment ref="CC84" authorId="2" shapeId="0" xr:uid="{87FF99C8-BF9A-4A78-9020-B81D7E7B1216}">
      <text>
        <r>
          <rPr>
            <b/>
            <sz val="9"/>
            <color indexed="81"/>
            <rFont val="Tahoma"/>
            <family val="2"/>
          </rPr>
          <t>Transferencia realizada el 29/01/24.</t>
        </r>
      </text>
    </comment>
    <comment ref="CD84" authorId="2" shapeId="0" xr:uid="{5B7D0559-AE68-43B3-9F00-9CEB2E16F593}">
      <text>
        <r>
          <rPr>
            <b/>
            <sz val="9"/>
            <color indexed="81"/>
            <rFont val="Tahoma"/>
            <family val="2"/>
          </rPr>
          <t>Transferencia realizada el 29/02/24.</t>
        </r>
      </text>
    </comment>
    <comment ref="B85" authorId="1" shapeId="0" xr:uid="{4B3B5A4C-4430-4E23-9B45-F18C4A61B9E8}">
      <text>
        <r>
          <rPr>
            <b/>
            <sz val="9"/>
            <color indexed="81"/>
            <rFont val="Tahoma"/>
            <family val="2"/>
          </rPr>
          <t>Nuevo horario a partir del 1 de marzo:</t>
        </r>
        <r>
          <rPr>
            <sz val="9"/>
            <color indexed="81"/>
            <rFont val="Tahoma"/>
            <family val="2"/>
          </rPr>
          <t xml:space="preserve">
Lunes y Miércoles:
De 7:30 a 14:00 horas (6,5 horas) y 
De 15:00 a 16:30 horas (1,5 horas)
Martes y Jueves:
De 7:30 a 14:00 horas (6,5 horas) y 
De 15:00 a 17:00 horas (2 horas)
Viernes:
De 7:30 a 14:30 horas (7 horas) 
La hora que falta el viernes se compensa con la media hora de más de los martes y jueves.</t>
        </r>
      </text>
    </comment>
    <comment ref="AQ85" authorId="0" shapeId="0" xr:uid="{00000000-0006-0000-0100-000090000000}">
      <text>
        <r>
          <rPr>
            <b/>
            <sz val="9"/>
            <color indexed="81"/>
            <rFont val="Tahoma"/>
            <family val="2"/>
          </rPr>
          <t>Transferencia Caixa realizada el 26/02/21</t>
        </r>
      </text>
    </comment>
    <comment ref="AR85" authorId="0" shapeId="0" xr:uid="{8C557973-3C29-4040-BE11-945FB0F62F1D}">
      <text>
        <r>
          <rPr>
            <b/>
            <sz val="9"/>
            <color indexed="81"/>
            <rFont val="Tahoma"/>
            <family val="2"/>
          </rPr>
          <t>Transferencia Caixa realizada el 30/03/21</t>
        </r>
      </text>
    </comment>
    <comment ref="AS85" authorId="2" shapeId="0" xr:uid="{B56EA348-9AA0-452C-888C-34C4C1DF7D34}">
      <text>
        <r>
          <rPr>
            <b/>
            <sz val="9"/>
            <color indexed="81"/>
            <rFont val="Tahoma"/>
            <family val="2"/>
          </rPr>
          <t>Transferencia Caixa realizada el 29/04/21</t>
        </r>
      </text>
    </comment>
    <comment ref="BB85" authorId="0" shapeId="0" xr:uid="{AD74812A-B1F9-4036-9F49-E2DC84F12363}">
      <text>
        <r>
          <rPr>
            <sz val="9"/>
            <color indexed="81"/>
            <rFont val="Tahoma"/>
            <family val="2"/>
          </rPr>
          <t>Transferencia Caixa realizada el 30/12/21</t>
        </r>
      </text>
    </comment>
    <comment ref="BC85" authorId="0" shapeId="0" xr:uid="{6DAB92FC-19C7-44AB-A1C3-102133821306}">
      <text>
        <r>
          <rPr>
            <sz val="9"/>
            <color indexed="81"/>
            <rFont val="Tahoma"/>
            <family val="2"/>
          </rPr>
          <t>Transferencia Caixa realizada el 31/01/22</t>
        </r>
      </text>
    </comment>
    <comment ref="BD85" authorId="2" shapeId="0" xr:uid="{3DF60723-EB89-4D0A-9E3B-9FAB0304B8B2}">
      <text>
        <r>
          <rPr>
            <sz val="9"/>
            <color indexed="81"/>
            <rFont val="Tahoma"/>
            <family val="2"/>
          </rPr>
          <t>Transferencia Caixa realizada el 25/02/22</t>
        </r>
        <r>
          <rPr>
            <b/>
            <sz val="9"/>
            <color indexed="81"/>
            <rFont val="Tahoma"/>
            <family val="2"/>
          </rPr>
          <t>.</t>
        </r>
      </text>
    </comment>
    <comment ref="BE85" authorId="2" shapeId="0" xr:uid="{9CDB3F95-19B6-46FE-8DC1-E6FB950C4A4D}">
      <text>
        <r>
          <rPr>
            <b/>
            <sz val="9"/>
            <color indexed="81"/>
            <rFont val="Tahoma"/>
            <family val="2"/>
          </rPr>
          <t>Transferencia Caixa realizada el 30/03/22.</t>
        </r>
      </text>
    </comment>
    <comment ref="BG85" authorId="2" shapeId="0" xr:uid="{0255D3EE-B4AC-47AC-A441-D16697953D02}">
      <text>
        <r>
          <rPr>
            <sz val="9"/>
            <color indexed="81"/>
            <rFont val="Tahoma"/>
            <family val="2"/>
          </rPr>
          <t xml:space="preserve">800€: Transferencia Caixa realizada el 26/05/22.
------------------------------
</t>
        </r>
      </text>
    </comment>
    <comment ref="BH85" authorId="2" shapeId="0" xr:uid="{AC6A3C7E-B7B3-4341-9785-47E0A008301C}">
      <text>
        <r>
          <rPr>
            <sz val="9"/>
            <color indexed="81"/>
            <rFont val="Tahoma"/>
            <family val="2"/>
          </rPr>
          <t>800,00€:  Transferencia Caixa realizada el 30/06/22.</t>
        </r>
      </text>
    </comment>
    <comment ref="BI85" authorId="2" shapeId="0" xr:uid="{AFD790EE-86E6-45D9-AE58-AD0E2929E61B}">
      <text>
        <r>
          <rPr>
            <sz val="9"/>
            <color indexed="81"/>
            <rFont val="Tahoma"/>
            <family val="2"/>
          </rPr>
          <t>Transferencia realizada el 29/07/22.</t>
        </r>
      </text>
    </comment>
    <comment ref="BJ85" authorId="2" shapeId="0" xr:uid="{FDA19D45-69DE-4B87-8161-F834358AB721}">
      <text>
        <r>
          <rPr>
            <b/>
            <sz val="9"/>
            <color indexed="81"/>
            <rFont val="Tahoma"/>
            <family val="2"/>
          </rPr>
          <t>Transferencia Caixa realizada el 29/08/22.</t>
        </r>
      </text>
    </comment>
    <comment ref="BL85" authorId="2" shapeId="0" xr:uid="{52529700-6886-4C11-A0E9-7F1FA80D2016}">
      <text>
        <r>
          <rPr>
            <b/>
            <sz val="9"/>
            <color indexed="81"/>
            <rFont val="Tahoma"/>
            <family val="2"/>
          </rPr>
          <t>Pago vía transferencia el 29/09/22.</t>
        </r>
      </text>
    </comment>
    <comment ref="BM85" authorId="0" shapeId="0" xr:uid="{A40F6FC5-201C-415B-BF3E-60464DE35B74}">
      <text>
        <r>
          <rPr>
            <b/>
            <sz val="9"/>
            <color indexed="81"/>
            <rFont val="Tahoma"/>
            <family val="2"/>
          </rPr>
          <t>Transf. Caixa realizada el 28/10/22</t>
        </r>
      </text>
    </comment>
    <comment ref="BN85" authorId="0" shapeId="0" xr:uid="{31D14384-AA6C-40D6-8320-A0B2759DB1CF}">
      <text>
        <r>
          <rPr>
            <b/>
            <sz val="9"/>
            <color indexed="81"/>
            <rFont val="Tahoma"/>
            <family val="2"/>
          </rPr>
          <t>Transf. Caixa realizada el 29/11/22</t>
        </r>
      </text>
    </comment>
    <comment ref="BO85" authorId="0" shapeId="0" xr:uid="{4D49C5BC-3140-4497-A8DC-EE08A746A54F}">
      <text>
        <r>
          <rPr>
            <b/>
            <sz val="9"/>
            <color indexed="81"/>
            <rFont val="Tahoma"/>
            <family val="2"/>
          </rPr>
          <t>Transf. Caixa realizada el 29/12/22</t>
        </r>
      </text>
    </comment>
    <comment ref="BP85" authorId="2" shapeId="0" xr:uid="{16EE0906-45E0-49B9-979D-2D3E9526F55C}">
      <text>
        <r>
          <rPr>
            <b/>
            <sz val="9"/>
            <color indexed="81"/>
            <rFont val="Tahoma"/>
            <family val="2"/>
          </rPr>
          <t>Transf. Caixa realizada el 30/01/23</t>
        </r>
      </text>
    </comment>
    <comment ref="BQ85" authorId="2" shapeId="0" xr:uid="{8E495BEE-A10A-488F-8B75-91062F2DC426}">
      <text>
        <r>
          <rPr>
            <b/>
            <sz val="9"/>
            <color indexed="81"/>
            <rFont val="Tahoma"/>
            <family val="2"/>
          </rPr>
          <t>Transf. Caixa realizada el 27/02/23</t>
        </r>
      </text>
    </comment>
    <comment ref="BR85" authorId="2" shapeId="0" xr:uid="{8683FF6C-E61F-4889-8762-33C29D6E7C93}">
      <text>
        <r>
          <rPr>
            <sz val="9"/>
            <color indexed="81"/>
            <rFont val="Tahoma"/>
            <family val="2"/>
          </rPr>
          <t>Transferencia realizada el 29/03/23 (800,00€)</t>
        </r>
      </text>
    </comment>
    <comment ref="BS85" authorId="2" shapeId="0" xr:uid="{F54FC94B-4F39-4679-A390-3815259D13A3}">
      <text>
        <r>
          <rPr>
            <sz val="9"/>
            <color indexed="81"/>
            <rFont val="Tahoma"/>
            <family val="2"/>
          </rPr>
          <t>Transferencia realizada el 27/04/23.</t>
        </r>
      </text>
    </comment>
    <comment ref="BT85" authorId="2" shapeId="0" xr:uid="{77B3AC97-7B40-4950-9721-0097CC4C8FD8}">
      <text>
        <r>
          <rPr>
            <sz val="9"/>
            <color indexed="81"/>
            <rFont val="Tahoma"/>
            <family val="2"/>
          </rPr>
          <t>Transferencia realizada el 29/05/23.</t>
        </r>
      </text>
    </comment>
    <comment ref="BU85" authorId="0" shapeId="0" xr:uid="{905FBC0D-1715-4E86-A842-2A05B21B7E49}">
      <text>
        <r>
          <rPr>
            <b/>
            <sz val="9"/>
            <color indexed="81"/>
            <rFont val="Tahoma"/>
            <family val="2"/>
          </rPr>
          <t>Transferencia realizada el 28/06/23.</t>
        </r>
      </text>
    </comment>
    <comment ref="BV85" authorId="0" shapeId="0" xr:uid="{28661BDF-1567-4AA5-83E0-BA25D7E40F91}">
      <text>
        <r>
          <rPr>
            <b/>
            <sz val="9"/>
            <color indexed="81"/>
            <rFont val="Tahoma"/>
            <family val="2"/>
          </rPr>
          <t>Transferencia realizada el 27/07/23.</t>
        </r>
      </text>
    </comment>
    <comment ref="BW85" authorId="0" shapeId="0" xr:uid="{1276687B-4D4F-40DD-BE38-D9BDFDBEE4E7}">
      <text>
        <r>
          <rPr>
            <b/>
            <sz val="9"/>
            <color indexed="81"/>
            <rFont val="Tahoma"/>
            <family val="2"/>
          </rPr>
          <t>Transferencia realizada el 30/08/23.</t>
        </r>
      </text>
    </comment>
    <comment ref="BY85" authorId="0" shapeId="0" xr:uid="{D92B2F11-6F6E-4F3B-8408-3CB60AEE288A}">
      <text>
        <r>
          <rPr>
            <b/>
            <sz val="9"/>
            <color indexed="81"/>
            <rFont val="Tahoma"/>
            <family val="2"/>
          </rPr>
          <t>Transferencia realizada el 29/09/23.</t>
        </r>
      </text>
    </comment>
    <comment ref="BZ85" authorId="2" shapeId="0" xr:uid="{1F9724C6-6A11-4099-ACBF-24B8A0823789}">
      <text>
        <r>
          <rPr>
            <b/>
            <sz val="9"/>
            <color indexed="81"/>
            <rFont val="Tahoma"/>
            <family val="2"/>
          </rPr>
          <t>Transferencia realizada el 30/10/23.</t>
        </r>
      </text>
    </comment>
    <comment ref="CA85" authorId="2" shapeId="0" xr:uid="{06CF2F86-2724-4F00-94C8-3CF6BA8C54C5}">
      <text>
        <r>
          <rPr>
            <b/>
            <sz val="9"/>
            <color indexed="81"/>
            <rFont val="Tahoma"/>
            <family val="2"/>
          </rPr>
          <t>Transferencia realizada el 29/11/23.</t>
        </r>
      </text>
    </comment>
    <comment ref="CB85" authorId="2" shapeId="0" xr:uid="{07DA7DAC-11DB-419F-91DC-06C987B7BC82}">
      <text>
        <r>
          <rPr>
            <b/>
            <sz val="9"/>
            <color indexed="81"/>
            <rFont val="Tahoma"/>
            <family val="2"/>
          </rPr>
          <t>Transferencia realizada el 28/12/23.</t>
        </r>
      </text>
    </comment>
    <comment ref="CC85" authorId="2" shapeId="0" xr:uid="{7B165DCD-8C5C-4204-8A93-6BFCEC9CC418}">
      <text>
        <r>
          <rPr>
            <b/>
            <sz val="9"/>
            <color indexed="81"/>
            <rFont val="Tahoma"/>
            <family val="2"/>
          </rPr>
          <t>Transferencia realizada el 29/01/24.</t>
        </r>
      </text>
    </comment>
    <comment ref="CD85" authorId="2" shapeId="0" xr:uid="{2919447B-07BD-434B-9653-190D09AAD3B1}">
      <text>
        <r>
          <rPr>
            <b/>
            <sz val="9"/>
            <color indexed="81"/>
            <rFont val="Tahoma"/>
            <family val="2"/>
          </rPr>
          <t>Transferencia realizada el 29/02/24.</t>
        </r>
      </text>
    </comment>
    <comment ref="B86" authorId="1" shapeId="0" xr:uid="{C2C9164C-66DB-4887-A2DE-DA123D0E6B57}">
      <text>
        <r>
          <rPr>
            <b/>
            <sz val="9"/>
            <color indexed="81"/>
            <rFont val="Tahoma"/>
            <family val="2"/>
          </rPr>
          <t xml:space="preserve">Nuevo horario:
De </t>
        </r>
        <r>
          <rPr>
            <sz val="9"/>
            <color indexed="81"/>
            <rFont val="Tahoma"/>
            <family val="2"/>
          </rPr>
          <t>lunes a jueves:
De 8:30 a 17:30 (con 30 min de comida = 8,5 horas) 
Viernes:
De 8:30 a 14:30 (6 horas) 
Las 2 horas que faltan los viernes se compensan con la media hora de más de lunes a jueves.</t>
        </r>
      </text>
    </comment>
    <comment ref="AP86" authorId="0" shapeId="0" xr:uid="{00000000-0006-0000-0100-000091000000}">
      <text>
        <r>
          <rPr>
            <b/>
            <sz val="9"/>
            <color indexed="81"/>
            <rFont val="Tahoma"/>
            <family val="2"/>
          </rPr>
          <t>Transferencia Caixa realizada el 28/01/21</t>
        </r>
      </text>
    </comment>
    <comment ref="AQ86" authorId="0" shapeId="0" xr:uid="{00000000-0006-0000-0100-000092000000}">
      <text>
        <r>
          <rPr>
            <b/>
            <sz val="9"/>
            <color indexed="81"/>
            <rFont val="Tahoma"/>
            <family val="2"/>
          </rPr>
          <t>Transferencia Caixa realizada el 26/02/21</t>
        </r>
      </text>
    </comment>
    <comment ref="AR86" authorId="0" shapeId="0" xr:uid="{88178314-BE49-4117-9B0B-C7B40CA23B1A}">
      <text>
        <r>
          <rPr>
            <b/>
            <sz val="9"/>
            <color indexed="81"/>
            <rFont val="Tahoma"/>
            <family val="2"/>
          </rPr>
          <t>Transferencia Caixa realizada el 30/03/21</t>
        </r>
      </text>
    </comment>
    <comment ref="AS86" authorId="2" shapeId="0" xr:uid="{01392906-F61D-4531-9EA7-3B0672FA5A80}">
      <text>
        <r>
          <rPr>
            <b/>
            <sz val="9"/>
            <color indexed="81"/>
            <rFont val="Tahoma"/>
            <family val="2"/>
          </rPr>
          <t>Transferencia Caixa realizada el 29/04/21</t>
        </r>
      </text>
    </comment>
    <comment ref="BY86" authorId="0" shapeId="0" xr:uid="{065B4706-C7DA-41FC-BE69-BBEB8CA39F2D}">
      <text>
        <r>
          <rPr>
            <b/>
            <sz val="9"/>
            <color indexed="81"/>
            <rFont val="Tahoma"/>
            <family val="2"/>
          </rPr>
          <t>Transferencia realizada el 29/09/23.</t>
        </r>
      </text>
    </comment>
    <comment ref="BZ86" authorId="2" shapeId="0" xr:uid="{2265DCCC-AE5A-41AF-A84D-2715A735CF57}">
      <text>
        <r>
          <rPr>
            <b/>
            <sz val="9"/>
            <color indexed="81"/>
            <rFont val="Tahoma"/>
            <family val="2"/>
          </rPr>
          <t>Transferencia realizada el 30/10/23.</t>
        </r>
      </text>
    </comment>
    <comment ref="CA86" authorId="2" shapeId="0" xr:uid="{659DF5B2-F75E-4778-80ED-1516CF5C49CA}">
      <text>
        <r>
          <rPr>
            <b/>
            <sz val="9"/>
            <color indexed="81"/>
            <rFont val="Tahoma"/>
            <family val="2"/>
          </rPr>
          <t>Transferencia realizada el 29/11/23.</t>
        </r>
      </text>
    </comment>
    <comment ref="CB86" authorId="2" shapeId="0" xr:uid="{F5CCF316-4D89-4BF4-8C64-2348FCE00438}">
      <text>
        <r>
          <rPr>
            <b/>
            <sz val="9"/>
            <color indexed="81"/>
            <rFont val="Tahoma"/>
            <family val="2"/>
          </rPr>
          <t>Transferencia realizada el 28/12/23.</t>
        </r>
      </text>
    </comment>
    <comment ref="CC86" authorId="2" shapeId="0" xr:uid="{ED5ED245-28A8-412E-8C63-C9B47373138D}">
      <text>
        <r>
          <rPr>
            <b/>
            <sz val="9"/>
            <color indexed="81"/>
            <rFont val="Tahoma"/>
            <family val="2"/>
          </rPr>
          <t>Transferencia realizada el 29/01/24.</t>
        </r>
      </text>
    </comment>
    <comment ref="CD86" authorId="2" shapeId="0" xr:uid="{403EED33-02A7-4315-967F-C72B99A94D64}">
      <text>
        <r>
          <rPr>
            <b/>
            <sz val="9"/>
            <color indexed="81"/>
            <rFont val="Tahoma"/>
            <family val="2"/>
          </rPr>
          <t>Transferencia realizada el 29/02/24.</t>
        </r>
      </text>
    </comment>
    <comment ref="Z87" authorId="1" shapeId="0" xr:uid="{00000000-0006-0000-0100-000093000000}">
      <text>
        <r>
          <rPr>
            <b/>
            <sz val="8"/>
            <color indexed="81"/>
            <rFont val="Tahoma"/>
            <family val="2"/>
          </rPr>
          <t xml:space="preserve">S. Social mes anterior:
</t>
        </r>
        <r>
          <rPr>
            <sz val="8"/>
            <color indexed="81"/>
            <rFont val="Tahoma"/>
            <family val="2"/>
          </rPr>
          <t xml:space="preserve">
</t>
        </r>
        <r>
          <rPr>
            <b/>
            <sz val="8"/>
            <color indexed="81"/>
            <rFont val="Tahoma"/>
            <family val="2"/>
          </rPr>
          <t xml:space="preserve">Alfonso
</t>
        </r>
        <r>
          <rPr>
            <sz val="8"/>
            <color indexed="81"/>
            <rFont val="Tahoma"/>
            <family val="2"/>
          </rPr>
          <t xml:space="preserve">128,61 </t>
        </r>
      </text>
    </comment>
    <comment ref="AA87" authorId="1" shapeId="0" xr:uid="{00000000-0006-0000-0100-000094000000}">
      <text>
        <r>
          <rPr>
            <b/>
            <sz val="8"/>
            <color indexed="81"/>
            <rFont val="Tahoma"/>
            <family val="2"/>
          </rPr>
          <t xml:space="preserve">S. Social mes anterior:
</t>
        </r>
        <r>
          <rPr>
            <b/>
            <sz val="8"/>
            <color indexed="81"/>
            <rFont val="Tahoma"/>
            <family val="2"/>
          </rPr>
          <t xml:space="preserve">Alfonso
</t>
        </r>
        <r>
          <rPr>
            <sz val="8"/>
            <color indexed="81"/>
            <rFont val="Tahoma"/>
            <family val="2"/>
          </rPr>
          <t xml:space="preserve">748,03 </t>
        </r>
      </text>
    </comment>
    <comment ref="AC87" authorId="1" shapeId="0" xr:uid="{00000000-0006-0000-0100-000095000000}">
      <text>
        <r>
          <rPr>
            <b/>
            <sz val="8"/>
            <color indexed="81"/>
            <rFont val="Tahoma"/>
            <family val="2"/>
          </rPr>
          <t>S. Social mes anterior:
Juan Pedro</t>
        </r>
        <r>
          <rPr>
            <sz val="8"/>
            <color indexed="81"/>
            <rFont val="Tahoma"/>
            <family val="2"/>
          </rPr>
          <t xml:space="preserve">
487,50 Empresa
95,25 Trabajador
582,75 TOTAL
</t>
        </r>
        <r>
          <rPr>
            <b/>
            <sz val="8"/>
            <color indexed="81"/>
            <rFont val="Tahoma"/>
            <family val="2"/>
          </rPr>
          <t xml:space="preserve">Alfonso
</t>
        </r>
        <r>
          <rPr>
            <sz val="8"/>
            <color indexed="81"/>
            <rFont val="Tahoma"/>
            <family val="2"/>
          </rPr>
          <t>748,03</t>
        </r>
      </text>
    </comment>
    <comment ref="AD87" authorId="1" shapeId="0" xr:uid="{00000000-0006-0000-0100-000096000000}">
      <text>
        <r>
          <rPr>
            <b/>
            <sz val="8"/>
            <color indexed="81"/>
            <rFont val="Tahoma"/>
            <family val="2"/>
          </rPr>
          <t>S. Social mes anterior:
Juan Pedro</t>
        </r>
        <r>
          <rPr>
            <sz val="8"/>
            <color indexed="81"/>
            <rFont val="Tahoma"/>
            <family val="2"/>
          </rPr>
          <t xml:space="preserve">
487,50 Empresa
95,25 Trabajador
582,75 TOTAL
</t>
        </r>
        <r>
          <rPr>
            <b/>
            <sz val="8"/>
            <color indexed="81"/>
            <rFont val="Tahoma"/>
            <family val="2"/>
          </rPr>
          <t xml:space="preserve">Alfonso
</t>
        </r>
        <r>
          <rPr>
            <sz val="8"/>
            <color indexed="81"/>
            <rFont val="Tahoma"/>
            <family val="2"/>
          </rPr>
          <t>736,28</t>
        </r>
      </text>
    </comment>
    <comment ref="AE87" authorId="1" shapeId="0" xr:uid="{00000000-0006-0000-0100-000097000000}">
      <text>
        <r>
          <rPr>
            <b/>
            <sz val="8"/>
            <color indexed="81"/>
            <rFont val="Tahoma"/>
            <family val="2"/>
          </rPr>
          <t>S. Social mes anterior:
Juan Pedro</t>
        </r>
        <r>
          <rPr>
            <sz val="8"/>
            <color indexed="81"/>
            <rFont val="Tahoma"/>
            <family val="2"/>
          </rPr>
          <t xml:space="preserve">
487,50 Empresa
95,25 Trabajador
582,75 TOTAL
</t>
        </r>
        <r>
          <rPr>
            <b/>
            <sz val="8"/>
            <color indexed="81"/>
            <rFont val="Tahoma"/>
            <family val="2"/>
          </rPr>
          <t xml:space="preserve">Alfonso
</t>
        </r>
        <r>
          <rPr>
            <sz val="8"/>
            <color indexed="81"/>
            <rFont val="Tahoma"/>
            <family val="2"/>
          </rPr>
          <t>736,28</t>
        </r>
      </text>
    </comment>
    <comment ref="AF87" authorId="1" shapeId="0" xr:uid="{00000000-0006-0000-0100-000098000000}">
      <text>
        <r>
          <rPr>
            <b/>
            <sz val="8"/>
            <color indexed="81"/>
            <rFont val="Tahoma"/>
            <family val="2"/>
          </rPr>
          <t>S. Social mes anterior:
Juan Pedro</t>
        </r>
        <r>
          <rPr>
            <sz val="8"/>
            <color indexed="81"/>
            <rFont val="Tahoma"/>
            <family val="2"/>
          </rPr>
          <t xml:space="preserve">
487,50 Empresa
95,25 Trabajador
582,75 TOTAL
</t>
        </r>
        <r>
          <rPr>
            <b/>
            <sz val="8"/>
            <color indexed="81"/>
            <rFont val="Tahoma"/>
            <family val="2"/>
          </rPr>
          <t xml:space="preserve">Alfonso
</t>
        </r>
        <r>
          <rPr>
            <sz val="8"/>
            <color indexed="81"/>
            <rFont val="Tahoma"/>
            <family val="2"/>
          </rPr>
          <t>736,28</t>
        </r>
      </text>
    </comment>
    <comment ref="AG87" authorId="1" shapeId="0" xr:uid="{00000000-0006-0000-0100-000099000000}">
      <text>
        <r>
          <rPr>
            <b/>
            <sz val="8"/>
            <color indexed="81"/>
            <rFont val="Tahoma"/>
            <family val="2"/>
          </rPr>
          <t>S. Social mes anterior:
Juan Pedro</t>
        </r>
        <r>
          <rPr>
            <sz val="8"/>
            <color indexed="81"/>
            <rFont val="Tahoma"/>
            <family val="2"/>
          </rPr>
          <t xml:space="preserve">
487,50 Empresa
95,25 Trabajador
582,75 TOTAL
</t>
        </r>
        <r>
          <rPr>
            <b/>
            <sz val="8"/>
            <color indexed="81"/>
            <rFont val="Tahoma"/>
            <family val="2"/>
          </rPr>
          <t xml:space="preserve">Alfonso
</t>
        </r>
        <r>
          <rPr>
            <sz val="8"/>
            <color indexed="81"/>
            <rFont val="Tahoma"/>
            <family val="2"/>
          </rPr>
          <t>736,28</t>
        </r>
      </text>
    </comment>
    <comment ref="AH87" authorId="1" shapeId="0" xr:uid="{00000000-0006-0000-0100-00009A000000}">
      <text>
        <r>
          <rPr>
            <b/>
            <sz val="8"/>
            <color indexed="81"/>
            <rFont val="Tahoma"/>
            <family val="2"/>
          </rPr>
          <t>S. Social mes anterior:
Juan Pedro</t>
        </r>
        <r>
          <rPr>
            <sz val="8"/>
            <color indexed="81"/>
            <rFont val="Tahoma"/>
            <family val="2"/>
          </rPr>
          <t xml:space="preserve">
487,50 Empresa
95,25 Trabajador
582,75 TOTAL
</t>
        </r>
        <r>
          <rPr>
            <b/>
            <sz val="8"/>
            <color indexed="81"/>
            <rFont val="Tahoma"/>
            <family val="2"/>
          </rPr>
          <t xml:space="preserve">Alfonso
</t>
        </r>
        <r>
          <rPr>
            <sz val="8"/>
            <color indexed="81"/>
            <rFont val="Tahoma"/>
            <family val="2"/>
          </rPr>
          <t>748,03
1330,78 E: Cargado: 30/06/20</t>
        </r>
      </text>
    </comment>
    <comment ref="AI87" authorId="1" shapeId="0" xr:uid="{00000000-0006-0000-0100-00009B000000}">
      <text>
        <r>
          <rPr>
            <b/>
            <sz val="8"/>
            <color indexed="81"/>
            <rFont val="Tahoma"/>
            <family val="2"/>
          </rPr>
          <t>S. Social mes anterior:
Juan Pedro</t>
        </r>
        <r>
          <rPr>
            <sz val="8"/>
            <color indexed="81"/>
            <rFont val="Tahoma"/>
            <family val="2"/>
          </rPr>
          <t xml:space="preserve">
487,50 Empresa
95,25 Trabajador
582,75 TOTAL
</t>
        </r>
        <r>
          <rPr>
            <b/>
            <sz val="8"/>
            <color indexed="81"/>
            <rFont val="Tahoma"/>
            <family val="2"/>
          </rPr>
          <t xml:space="preserve">Alfonso
</t>
        </r>
        <r>
          <rPr>
            <sz val="8"/>
            <color indexed="81"/>
            <rFont val="Tahoma"/>
            <family val="2"/>
          </rPr>
          <t>748,03
1330,78 E: Cargado: 31/07/20</t>
        </r>
      </text>
    </comment>
    <comment ref="AJ87" authorId="1" shapeId="0" xr:uid="{00000000-0006-0000-0100-00009C000000}">
      <text>
        <r>
          <rPr>
            <b/>
            <sz val="8"/>
            <color indexed="81"/>
            <rFont val="Tahoma"/>
            <family val="2"/>
          </rPr>
          <t>S. Social mes anterior:
Juan Pedro</t>
        </r>
        <r>
          <rPr>
            <sz val="8"/>
            <color indexed="81"/>
            <rFont val="Tahoma"/>
            <family val="2"/>
          </rPr>
          <t xml:space="preserve">
487,50 Empresa
95,25 Trabajador
582,75 TOTAL
</t>
        </r>
        <r>
          <rPr>
            <b/>
            <sz val="8"/>
            <color indexed="81"/>
            <rFont val="Tahoma"/>
            <family val="2"/>
          </rPr>
          <t xml:space="preserve">Alfonso
</t>
        </r>
        <r>
          <rPr>
            <sz val="8"/>
            <color indexed="81"/>
            <rFont val="Tahoma"/>
            <family val="2"/>
          </rPr>
          <t>748,03
1330,78 E: Cargado: 31/08/20</t>
        </r>
      </text>
    </comment>
    <comment ref="AL87" authorId="1" shapeId="0" xr:uid="{00000000-0006-0000-0100-00009D000000}">
      <text>
        <r>
          <rPr>
            <b/>
            <sz val="9"/>
            <color indexed="81"/>
            <rFont val="Tahoma"/>
            <family val="2"/>
          </rPr>
          <t>S.Social mes anterior</t>
        </r>
        <r>
          <rPr>
            <sz val="9"/>
            <color indexed="81"/>
            <rFont val="Tahoma"/>
            <family val="2"/>
          </rPr>
          <t xml:space="preserve">
Juan Pedro
487,5+90,25=582,75
Alfonso
748,03
1330.78 cargado el 30/9/20
</t>
        </r>
      </text>
    </comment>
    <comment ref="AM87" authorId="1" shapeId="0" xr:uid="{00000000-0006-0000-0100-00009E000000}">
      <text>
        <r>
          <rPr>
            <b/>
            <sz val="9"/>
            <color indexed="81"/>
            <rFont val="Tahoma"/>
            <family val="2"/>
          </rPr>
          <t>S.Social mes anterior</t>
        </r>
        <r>
          <rPr>
            <sz val="9"/>
            <color indexed="81"/>
            <rFont val="Tahoma"/>
            <family val="2"/>
          </rPr>
          <t xml:space="preserve">
Juan Pedro
487,5+90,25=582,75
Alfonso
748,03
1330.78 cargado el 30/10/20
</t>
        </r>
      </text>
    </comment>
    <comment ref="AN87" authorId="1" shapeId="0" xr:uid="{00000000-0006-0000-0100-00009F000000}">
      <text>
        <r>
          <rPr>
            <b/>
            <sz val="9"/>
            <color indexed="81"/>
            <rFont val="Tahoma"/>
            <family val="2"/>
          </rPr>
          <t xml:space="preserve">S.Social mes anterior
</t>
        </r>
        <r>
          <rPr>
            <sz val="9"/>
            <color indexed="81"/>
            <rFont val="Tahoma"/>
            <family val="2"/>
          </rPr>
          <t>487,5+90,25=582,75 Juan Pedro 
740,53 S.S. ALF
350,24 S.S. ROSA 
1673,52€ cargado el 30/11/20</t>
        </r>
      </text>
    </comment>
    <comment ref="AO87" authorId="1" shapeId="0" xr:uid="{00000000-0006-0000-0100-0000A0000000}">
      <text>
        <r>
          <rPr>
            <b/>
            <sz val="9"/>
            <color indexed="81"/>
            <rFont val="Tahoma"/>
            <family val="2"/>
          </rPr>
          <t xml:space="preserve">S.Social mes anterior
</t>
        </r>
        <r>
          <rPr>
            <sz val="9"/>
            <color indexed="81"/>
            <rFont val="Tahoma"/>
            <family val="2"/>
          </rPr>
          <t>487,5+90,25=582,75 Juan Pedro 
740,53 S.S. ALF
350,24 S.S. ROSA 
1673,52€ cargado el 31/12/20</t>
        </r>
      </text>
    </comment>
    <comment ref="AR87" authorId="1" shapeId="0" xr:uid="{00000000-0006-0000-0100-0000A1000000}">
      <text>
        <r>
          <rPr>
            <b/>
            <sz val="9"/>
            <color indexed="81"/>
            <rFont val="Tahoma"/>
            <family val="2"/>
          </rPr>
          <t xml:space="preserve">S.Social mes anterior (FEBRERO)
</t>
        </r>
        <r>
          <rPr>
            <sz val="9"/>
            <color indexed="81"/>
            <rFont val="Tahoma"/>
            <family val="2"/>
          </rPr>
          <t xml:space="preserve">Segun asiento contable de febrero:
611,93 S.S. ALF
350,24 S.S. ROSA 
277,79 S.S. MARIA
Total= 1239,97 E 
Transferencia realizada a caja rural molino el 31/03/21.
------------------------------------
DICIEMBRE
2051 Eur CONJUNTO  en Caja Rural Molino el 29/01/21
611,93 Eur es de Nixal (incluye Alfonso)  y se hace transferencia de Caixa Nixal a Caja Rural Molino por error de 1331,99 Eur el: 10/03/21
720,06 Eur: Transfer pndtes de transferir de Molino a Nixal a finales de marzo. 
abonado en caixa: 01/04/21
------------------------------------
ENERO
1887,85 Eur CONJUNTO en Caja Rural Molino el 26/02/21
741,57 Eur es de Nixal ( incluye Alfonso y María) y se hace transferencia de Caixa Nixal a Caja Rural el 10/03/21
</t>
        </r>
      </text>
    </comment>
    <comment ref="AS87" authorId="1" shapeId="0" xr:uid="{00000000-0006-0000-0100-0000A2000000}">
      <text>
        <r>
          <rPr>
            <sz val="9"/>
            <color indexed="81"/>
            <rFont val="Tahoma"/>
            <family val="2"/>
          </rPr>
          <t>Devolucion SS DICIEMBRE
2051 Eur CONJUNTO en Caja Rural Molino el 29/01/21
611,93 Eur es de Nixal (incluye Alfonso)  y se hace transferencia de Caixa Nixal a Caja Rural Molino por error de 1331,99 Eur el: 10/03/21
720,06 Eur: Transfer pndtes de transferir de Molino a Nixal a finales de marzo. 
abonado en caixa: 01/04/21
----------------------------------------</t>
        </r>
        <r>
          <rPr>
            <b/>
            <sz val="9"/>
            <color indexed="81"/>
            <rFont val="Tahoma"/>
            <family val="2"/>
          </rPr>
          <t xml:space="preserve">
S.Social MARZO
</t>
        </r>
        <r>
          <rPr>
            <sz val="9"/>
            <color indexed="81"/>
            <rFont val="Tahoma"/>
            <family val="2"/>
          </rPr>
          <t xml:space="preserve">1877,44 Eur CONJUNTO según resumen nóminas.
Cargado en Caja rural el 30/04/21.
623,38 Eur de Molino
1.254,09 Eur de Nixal pndte de transferir a Molino.
</t>
        </r>
      </text>
    </comment>
    <comment ref="AT87" authorId="1" shapeId="0" xr:uid="{00000000-0006-0000-0100-0000A3000000}">
      <text>
        <r>
          <rPr>
            <b/>
            <sz val="9"/>
            <color indexed="81"/>
            <rFont val="Tahoma"/>
            <family val="2"/>
          </rPr>
          <t xml:space="preserve">S.Social ABRIL CONJUNTA. 
</t>
        </r>
        <r>
          <rPr>
            <sz val="9"/>
            <color indexed="81"/>
            <rFont val="Tahoma"/>
            <family val="2"/>
          </rPr>
          <t>1.674,10 Eur CONJUNTO según resumen nóminas.
Cargado en Caja rural el 31/05/21.
642,43 Eur de Molino.
1.031,70 Eur de Nixal pndte de transferir a Molino en agosto.</t>
        </r>
        <r>
          <rPr>
            <b/>
            <sz val="9"/>
            <color indexed="81"/>
            <rFont val="Tahoma"/>
            <family val="2"/>
          </rPr>
          <t xml:space="preserve">
</t>
        </r>
      </text>
    </comment>
    <comment ref="AU87" authorId="1" shapeId="0" xr:uid="{00000000-0006-0000-0100-0000A4000000}">
      <text>
        <r>
          <rPr>
            <b/>
            <sz val="9"/>
            <color indexed="81"/>
            <rFont val="Tahoma"/>
            <family val="2"/>
          </rPr>
          <t xml:space="preserve">S.Social de MAYO CONJUNTA.
</t>
        </r>
        <r>
          <rPr>
            <sz val="9"/>
            <color indexed="81"/>
            <rFont val="Tahoma"/>
            <family val="2"/>
          </rPr>
          <t xml:space="preserve">1.267,36 Eur CONJUNTO según resumen nóminas.
Cargado en Caja rural el 30/06/21.
606,79 Eur de Molino
660,55 Eur de Nixal pndte de transferir a Molino en agosto. </t>
        </r>
        <r>
          <rPr>
            <b/>
            <sz val="9"/>
            <color indexed="81"/>
            <rFont val="Tahoma"/>
            <family val="2"/>
          </rPr>
          <t xml:space="preserve">
</t>
        </r>
      </text>
    </comment>
    <comment ref="AV87" authorId="2" shapeId="0" xr:uid="{3990D90F-DB26-4072-B757-2D5C30AC378A}">
      <text>
        <r>
          <rPr>
            <b/>
            <sz val="9"/>
            <color indexed="81"/>
            <rFont val="Tahoma"/>
            <family val="2"/>
          </rPr>
          <t xml:space="preserve">S.Social de JUNIO CONJUNTA.
</t>
        </r>
        <r>
          <rPr>
            <sz val="9"/>
            <color indexed="81"/>
            <rFont val="Tahoma"/>
            <family val="2"/>
          </rPr>
          <t>1.275,10 Eur CONJUNTO según resumen nóminas.
Cargado en Caja rural el 31/07/21.
663,17 Eur de Molino
611,93 Eur de Nixal pndte de transferir a Molino.</t>
        </r>
        <r>
          <rPr>
            <b/>
            <sz val="9"/>
            <color indexed="81"/>
            <rFont val="Tahoma"/>
            <family val="2"/>
          </rPr>
          <t xml:space="preserve">
</t>
        </r>
      </text>
    </comment>
    <comment ref="AW87" authorId="1" shapeId="0" xr:uid="{00000000-0006-0000-0100-0000A6000000}">
      <text>
        <r>
          <rPr>
            <b/>
            <sz val="9"/>
            <color indexed="81"/>
            <rFont val="Tahoma"/>
            <family val="2"/>
          </rPr>
          <t>S.Social de JULIO CONJUNTA.</t>
        </r>
        <r>
          <rPr>
            <sz val="9"/>
            <color indexed="81"/>
            <rFont val="Tahoma"/>
            <family val="2"/>
          </rPr>
          <t xml:space="preserve">
1.320,25 Eur CONJUNTO según resumen nóminas.
Pendiente de cargo en caja rural. 
708,32 Eur de Molino
611,93 Eur de Nixal pndte de transferir a Molino.</t>
        </r>
        <r>
          <rPr>
            <b/>
            <sz val="9"/>
            <color indexed="81"/>
            <rFont val="Tahoma"/>
            <family val="2"/>
          </rPr>
          <t xml:space="preserve">
--------------------------------------------------
Seguridad Social Nixal de Abril a Julio. </t>
        </r>
        <r>
          <rPr>
            <sz val="9"/>
            <color indexed="81"/>
            <rFont val="Tahoma"/>
            <family val="2"/>
          </rPr>
          <t xml:space="preserve">
S.Social marzo: 1.254,09€ (Alfonso, Rosa y María)</t>
        </r>
        <r>
          <rPr>
            <b/>
            <sz val="9"/>
            <color indexed="81"/>
            <rFont val="Tahoma"/>
            <family val="2"/>
          </rPr>
          <t xml:space="preserve">
</t>
        </r>
        <r>
          <rPr>
            <sz val="9"/>
            <color indexed="81"/>
            <rFont val="Tahoma"/>
            <family val="2"/>
          </rPr>
          <t>S.Social abril: 1.031,70€ (Alfonso, Rosa y María)
S.Social mayo: 660,55€ (Alfonso y maria)</t>
        </r>
        <r>
          <rPr>
            <b/>
            <sz val="9"/>
            <color indexed="81"/>
            <rFont val="Tahoma"/>
            <family val="2"/>
          </rPr>
          <t xml:space="preserve">
</t>
        </r>
        <r>
          <rPr>
            <sz val="9"/>
            <color indexed="81"/>
            <rFont val="Tahoma"/>
            <family val="2"/>
          </rPr>
          <t>S.Social Junio: 611,93€ (Alfonso)
S.social Julio</t>
        </r>
        <r>
          <rPr>
            <b/>
            <sz val="9"/>
            <color indexed="81"/>
            <rFont val="Tahoma"/>
            <family val="2"/>
          </rPr>
          <t xml:space="preserve">: </t>
        </r>
        <r>
          <rPr>
            <sz val="9"/>
            <color indexed="81"/>
            <rFont val="Tahoma"/>
            <family val="2"/>
          </rPr>
          <t>611,93 (Alfonso)
Transferencia de compensacion de gastos realizada el 31/08/21.</t>
        </r>
      </text>
    </comment>
    <comment ref="BB87" authorId="1" shapeId="0" xr:uid="{00000000-0006-0000-0100-0000AA000000}">
      <text>
        <r>
          <rPr>
            <b/>
            <sz val="9"/>
            <color indexed="81"/>
            <rFont val="Tahoma"/>
            <family val="2"/>
          </rPr>
          <t xml:space="preserve">S.Social de AGOSTO CONJUNTA.
</t>
        </r>
        <r>
          <rPr>
            <sz val="9"/>
            <color indexed="81"/>
            <rFont val="Tahoma"/>
            <family val="2"/>
          </rPr>
          <t>880,42 Eur de Nixal pndte de transferir a Molino.</t>
        </r>
        <r>
          <rPr>
            <b/>
            <sz val="9"/>
            <color indexed="81"/>
            <rFont val="Tahoma"/>
            <family val="2"/>
          </rPr>
          <t xml:space="preserve">
S.Social de SEPTIMBRE CONJUNTA.
</t>
        </r>
        <r>
          <rPr>
            <sz val="9"/>
            <color indexed="81"/>
            <rFont val="Tahoma"/>
            <family val="2"/>
          </rPr>
          <t>962,17 Eur de Nixal pndte de transferir a Molino.</t>
        </r>
        <r>
          <rPr>
            <b/>
            <sz val="9"/>
            <color indexed="81"/>
            <rFont val="Tahoma"/>
            <family val="2"/>
          </rPr>
          <t xml:space="preserve">
S.Social de OCTUBRE CONJUNTA.
</t>
        </r>
        <r>
          <rPr>
            <sz val="9"/>
            <color indexed="81"/>
            <rFont val="Tahoma"/>
            <family val="2"/>
          </rPr>
          <t>951,05 Eur de Nixal pndte de transferir a Molino.
2793,64€: Debe Nixal a MDZ Transferencia Caixa de compensacion de gastos por el total 4.793,42€ realizada el 28/12/21</t>
        </r>
      </text>
    </comment>
    <comment ref="BD87" authorId="1" shapeId="0" xr:uid="{00000000-0006-0000-0100-0000AB000000}">
      <text>
        <r>
          <rPr>
            <sz val="9"/>
            <color indexed="81"/>
            <rFont val="Tahoma"/>
            <family val="2"/>
          </rPr>
          <t>2280,95€: S.Social de Noviembre CONJUNTA.
951,31€ de Nixal pndte de transferir a Molino.
2348,50€: S.Social de diciembre CONJUNTA 
951,05€ de Nixal pndte de transferir a Molino.
------------------------------
1902,36€: Transferencia Caixa de compensacion de gastos por el total 4.185,49€ realizada el 15/02/22</t>
        </r>
      </text>
    </comment>
    <comment ref="BG87" authorId="1" shapeId="0" xr:uid="{C2569F19-77B7-4552-B710-0C50BB54AB9F}">
      <text>
        <r>
          <rPr>
            <sz val="9"/>
            <color indexed="81"/>
            <rFont val="Tahoma"/>
            <family val="2"/>
          </rPr>
          <t xml:space="preserve">
2.223,20€: S.Social de Enero CONJUNTA.
979,54€ de Nixal pndte de transferir a Molino.
------------------------------------------------------------
2.080,53€: S.Social de febrero CONJUNTA 
956,72€ de Nixal pndte de transferir a Molino.
---------------------------------------------------------
1.992,87€ S.Social de MARZO conjunta.
956,72€ de Nixal pndte de transferir a Molino.
-----------------------------------------------------------
1.892,94€: S.Social de ABRIL conjunta.
956,72€ de Nixal pndte de transferir a Molino.
---------------------------------------
3849,70€: Transferencia Caixa de compensacion de gastos por el total 7370,14€ realizada el 24/05/22</t>
        </r>
      </text>
    </comment>
    <comment ref="BJ87" authorId="1" shapeId="0" xr:uid="{520DDBA9-3358-4333-8E89-7F5686BCBCCE}">
      <text>
        <r>
          <rPr>
            <b/>
            <sz val="9"/>
            <color indexed="81"/>
            <rFont val="Tahoma"/>
            <family val="2"/>
          </rPr>
          <t xml:space="preserve">S.Social de MAYO conjunta.
</t>
        </r>
        <r>
          <rPr>
            <sz val="9"/>
            <color indexed="81"/>
            <rFont val="Tahoma"/>
            <family val="2"/>
          </rPr>
          <t xml:space="preserve">2.106,10€: S.Social de Mayo conjunta.
956,72€ de Nixal pndte de transferir a Molino.
--------------------------------------
</t>
        </r>
        <r>
          <rPr>
            <b/>
            <sz val="9"/>
            <color indexed="81"/>
            <rFont val="Tahoma"/>
            <family val="2"/>
          </rPr>
          <t>S.Social de JUNIO conjunta.</t>
        </r>
        <r>
          <rPr>
            <sz val="9"/>
            <color indexed="81"/>
            <rFont val="Tahoma"/>
            <family val="2"/>
          </rPr>
          <t xml:space="preserve">
1.885,89€: S.Social de Junio conjunta.
956,72 Eur de Nixal pndte de transferir a Molino.
----------------------------------------
</t>
        </r>
        <r>
          <rPr>
            <b/>
            <sz val="9"/>
            <color indexed="81"/>
            <rFont val="Tahoma"/>
            <family val="2"/>
          </rPr>
          <t>S.Social de JULIO conjunta.</t>
        </r>
        <r>
          <rPr>
            <sz val="9"/>
            <color indexed="81"/>
            <rFont val="Tahoma"/>
            <family val="2"/>
          </rPr>
          <t xml:space="preserve">
2.269,37€: S.Social de Junio conjunta.
956,72 Eur de Nixal pndte de transferir a Molino.
2.870,16€: Transferencia Caixa de compensacion de gastos por el total 71,62€ realizada el 31/08/22.
</t>
        </r>
      </text>
    </comment>
    <comment ref="BN87" authorId="0" shapeId="0" xr:uid="{DC9B5372-5A40-4299-B48D-A7106C494975}">
      <text>
        <r>
          <rPr>
            <b/>
            <sz val="9"/>
            <color indexed="81"/>
            <rFont val="Tahoma"/>
            <family val="2"/>
          </rPr>
          <t>S.Social de AGOSTO conjunta.</t>
        </r>
        <r>
          <rPr>
            <sz val="9"/>
            <color indexed="81"/>
            <rFont val="Tahoma"/>
            <family val="2"/>
          </rPr>
          <t xml:space="preserve">
2.314,29€: S. Social agosto conjunta
956,72€ de Nixal pndte de transferir a Molino.
</t>
        </r>
        <r>
          <rPr>
            <b/>
            <sz val="9"/>
            <color indexed="81"/>
            <rFont val="Tahoma"/>
            <family val="2"/>
          </rPr>
          <t>------------------------------------------------
S.Social de SEPTIEMBRE conjunta.</t>
        </r>
        <r>
          <rPr>
            <sz val="9"/>
            <color indexed="81"/>
            <rFont val="Tahoma"/>
            <family val="2"/>
          </rPr>
          <t xml:space="preserve">
2.389,25€: S. Social sept conjunta
956,72€ de Nixal pndte de transferir a Molino.
----------------------------------------------------
1913,44€: Transferencia Caixa de compensacion de gastos por el total 7106,56€ realizada el 04/11/22.</t>
        </r>
      </text>
    </comment>
    <comment ref="BO87" authorId="1" shapeId="0" xr:uid="{00000000-0006-0000-0100-0000B6000000}">
      <text>
        <r>
          <rPr>
            <b/>
            <sz val="9"/>
            <color indexed="81"/>
            <rFont val="Tahoma"/>
            <family val="2"/>
          </rPr>
          <t xml:space="preserve">S.Social de Octubre conjunta.
</t>
        </r>
        <r>
          <rPr>
            <sz val="9"/>
            <color indexed="81"/>
            <rFont val="Tahoma"/>
            <family val="2"/>
          </rPr>
          <t>2.393,65€: S. Social oct conjunta
956,72€ de Nixal pndte de transferir a Molino.</t>
        </r>
        <r>
          <rPr>
            <b/>
            <sz val="9"/>
            <color indexed="81"/>
            <rFont val="Tahoma"/>
            <family val="2"/>
          </rPr>
          <t xml:space="preserve">
-----------------------------------</t>
        </r>
        <r>
          <rPr>
            <sz val="9"/>
            <color indexed="81"/>
            <rFont val="Tahoma"/>
            <family val="2"/>
          </rPr>
          <t xml:space="preserve">
</t>
        </r>
        <r>
          <rPr>
            <b/>
            <sz val="9"/>
            <color indexed="81"/>
            <rFont val="Tahoma"/>
            <family val="2"/>
          </rPr>
          <t>S.Social de Noviembre conjunta.</t>
        </r>
        <r>
          <rPr>
            <sz val="9"/>
            <color indexed="81"/>
            <rFont val="Tahoma"/>
            <family val="2"/>
          </rPr>
          <t xml:space="preserve">
2.406,02€: S. Social nov conjunta
956,72€ de Nixal pndte de transferir a Molino.
-----------------------------------
1913,44€: Transferencia Caixa de compensacion de gastos por el total 24291,85€ realizada el 21/12/22.</t>
        </r>
      </text>
    </comment>
    <comment ref="BQ87" authorId="1" shapeId="0" xr:uid="{00000000-0006-0000-0100-0000B7000000}">
      <text>
        <r>
          <rPr>
            <b/>
            <sz val="9"/>
            <color indexed="81"/>
            <rFont val="Tahoma"/>
            <family val="2"/>
          </rPr>
          <t xml:space="preserve">S.Social de Diciembre conjunta.
</t>
        </r>
        <r>
          <rPr>
            <sz val="9"/>
            <color indexed="81"/>
            <rFont val="Tahoma"/>
            <family val="2"/>
          </rPr>
          <t xml:space="preserve">2.406,03€: S. Social dic conjunta
956,72€ de Nixal pndte de transferir a Molino.
-------------------------------------
</t>
        </r>
        <r>
          <rPr>
            <b/>
            <sz val="9"/>
            <color indexed="81"/>
            <rFont val="Tahoma"/>
            <family val="2"/>
          </rPr>
          <t>S.Social de Enero conjunta.</t>
        </r>
        <r>
          <rPr>
            <sz val="9"/>
            <color indexed="81"/>
            <rFont val="Tahoma"/>
            <family val="2"/>
          </rPr>
          <t xml:space="preserve">
2491,38€: S. Social ene conjunta
1018,43€ de Nixal pndte de transferir a Molino.
----------------------------------
1975,16€: Transferencia Caixa de compensacion de gastos por el total 6345,37€ realizada el 23/02/23.</t>
        </r>
      </text>
    </comment>
    <comment ref="BV87" authorId="0" shapeId="0" xr:uid="{FA0C6CB4-6AA7-44EB-A956-A02031AD594E}">
      <text>
        <r>
          <rPr>
            <b/>
            <sz val="9"/>
            <color indexed="81"/>
            <rFont val="Tahoma"/>
            <family val="2"/>
          </rPr>
          <t>S.Social de Febrero conjunta.</t>
        </r>
        <r>
          <rPr>
            <sz val="9"/>
            <color indexed="81"/>
            <rFont val="Tahoma"/>
            <family val="2"/>
          </rPr>
          <t xml:space="preserve">
3.256,57€: S. Social febrero conjunta
1018,43€ de Nixal pndte de transferir a Molino.
--------------------------------
</t>
        </r>
        <r>
          <rPr>
            <b/>
            <sz val="9"/>
            <color indexed="81"/>
            <rFont val="Tahoma"/>
            <family val="2"/>
          </rPr>
          <t>S.Social de MARZO conjunta.</t>
        </r>
        <r>
          <rPr>
            <sz val="9"/>
            <color indexed="81"/>
            <rFont val="Tahoma"/>
            <family val="2"/>
          </rPr>
          <t xml:space="preserve">
3.282,23€: S. Social marzo conjunta.
1.018,43 Eur de Nixal pndte de transferir a Molino.
-----------------------------------
</t>
        </r>
        <r>
          <rPr>
            <b/>
            <sz val="9"/>
            <color indexed="81"/>
            <rFont val="Tahoma"/>
            <family val="2"/>
          </rPr>
          <t>S.Social de ABRIL conjunta.</t>
        </r>
        <r>
          <rPr>
            <sz val="9"/>
            <color indexed="81"/>
            <rFont val="Tahoma"/>
            <family val="2"/>
          </rPr>
          <t xml:space="preserve">
3.234,10€: S. Social abril conjunta.
1.225,27 Eur de Nixal pndte de transferir a Molino.
------------------------------------</t>
        </r>
        <r>
          <rPr>
            <b/>
            <sz val="9"/>
            <color indexed="81"/>
            <rFont val="Tahoma"/>
            <family val="2"/>
          </rPr>
          <t>S.Social de MAYO conjunta.</t>
        </r>
        <r>
          <rPr>
            <sz val="9"/>
            <color indexed="81"/>
            <rFont val="Tahoma"/>
            <family val="2"/>
          </rPr>
          <t xml:space="preserve">
3.244,37€: S. Social mayo conjunta.
1.213,49 Eur de Nixal pendiente de transferir a Molino.
---------------------------------
4.475,62€: Transferencia Caixa de compensacion de gastos por el total 23.322,22€ desglosado en:  
5.000€: Cargado en Caixa el 14/07/23.
3.000€: Cargado en Caixa el 19/07/23.
6.000€: Cargado en Caixa el 19/07/23
9.322,22€: Cargado en Caixa el 26/07/23</t>
        </r>
      </text>
    </comment>
    <comment ref="BW87" authorId="1" shapeId="0" xr:uid="{D65EE593-78B5-4942-BF56-AE6F4E761B89}">
      <text>
        <r>
          <rPr>
            <b/>
            <sz val="9"/>
            <color indexed="81"/>
            <rFont val="Tahoma"/>
            <family val="2"/>
          </rPr>
          <t xml:space="preserve">S.Social de JUNIO conjunta.
</t>
        </r>
        <r>
          <rPr>
            <sz val="9"/>
            <color indexed="81"/>
            <rFont val="Tahoma"/>
            <family val="2"/>
          </rPr>
          <t>2.813,32€: S. Social junio conjunta.
1.213,49 Eur de Nixal pendiente de transferir a Molino.</t>
        </r>
        <r>
          <rPr>
            <b/>
            <sz val="9"/>
            <color indexed="81"/>
            <rFont val="Tahoma"/>
            <family val="2"/>
          </rPr>
          <t xml:space="preserve">
</t>
        </r>
        <r>
          <rPr>
            <sz val="9"/>
            <color indexed="81"/>
            <rFont val="Tahoma"/>
            <family val="2"/>
          </rPr>
          <t xml:space="preserve">
</t>
        </r>
        <r>
          <rPr>
            <b/>
            <sz val="9"/>
            <color indexed="81"/>
            <rFont val="Tahoma"/>
            <family val="2"/>
          </rPr>
          <t>S.Social de JULIO conjunta.</t>
        </r>
        <r>
          <rPr>
            <sz val="9"/>
            <color indexed="81"/>
            <rFont val="Tahoma"/>
            <family val="2"/>
          </rPr>
          <t xml:space="preserve">
2.813,31 Eur CONJUNTO según resumen nóminas.
1.213,49 Eur de Nixal pendiente de transferir a Molino.
2426,98€: Compensacion de gastos por el total 18.830,46€ desglosado en:
1.000€: prestamo nixal el 16/08/23.
8.930€: Prestamo nixal-molino el 25/08/23.
3.000€: Prestamo nixal-molino el 25/08/23.
5.900,46€: Prestamo nixal-molino el 29/08/23 por el total 6.000€.</t>
        </r>
      </text>
    </comment>
    <comment ref="BY87" authorId="1" shapeId="0" xr:uid="{8674CB13-05C9-430D-A6B5-108F2BE3C26E}">
      <text>
        <r>
          <rPr>
            <b/>
            <sz val="9"/>
            <color indexed="81"/>
            <rFont val="Tahoma"/>
            <family val="2"/>
          </rPr>
          <t xml:space="preserve">Seguridad Social Agosto. 
</t>
        </r>
        <r>
          <rPr>
            <sz val="9"/>
            <color indexed="81"/>
            <rFont val="Tahoma"/>
            <family val="2"/>
          </rPr>
          <t xml:space="preserve">Falta resumen de nominas y no podemos comprobarlo. 
Cargado: 29/09/23 y 30/09/23.
Seguros sociales: Alfonso, Rosa, Maria y Mariano. </t>
        </r>
      </text>
    </comment>
    <comment ref="BZ87" authorId="1" shapeId="0" xr:uid="{1A7B1886-03B7-40D8-9484-B36974B3DAC1}">
      <text>
        <r>
          <rPr>
            <b/>
            <sz val="9"/>
            <color indexed="81"/>
            <rFont val="Tahoma"/>
            <family val="2"/>
          </rPr>
          <t xml:space="preserve">Seguridad Social Septiembre. 
</t>
        </r>
        <r>
          <rPr>
            <sz val="9"/>
            <color indexed="81"/>
            <rFont val="Tahoma"/>
            <family val="2"/>
          </rPr>
          <t>Ok importe en resumen de nominas: 2.146,55€
Cargado: 31/10/23.
Seguros sociales: Alfonso, Rosa, Maria y Mariano</t>
        </r>
      </text>
    </comment>
    <comment ref="CA87" authorId="1" shapeId="0" xr:uid="{05751704-4E4B-4676-BB7E-E9791C2CBBE2}">
      <text>
        <r>
          <rPr>
            <sz val="9"/>
            <color indexed="81"/>
            <rFont val="Tahoma"/>
            <family val="2"/>
          </rPr>
          <t>26,97€: Cuota SS diferencia SMI enero y feb 2023
Transf. Caixa realizada el 15/11/23
15,13€: Cuota SS diferencia SMI enero y feb 2023
Transf. Caixa realizada el 15/11/23</t>
        </r>
        <r>
          <rPr>
            <b/>
            <sz val="9"/>
            <color indexed="81"/>
            <rFont val="Tahoma"/>
            <family val="2"/>
          </rPr>
          <t xml:space="preserve">
------------------------------
Seguridad Social Octubre. 
</t>
        </r>
        <r>
          <rPr>
            <sz val="9"/>
            <color indexed="81"/>
            <rFont val="Tahoma"/>
            <family val="2"/>
          </rPr>
          <t>Ok importe en resumen de nominas: 1.805,24€
Cargado: 30/11/23.
Seguros sociales: Alfonso, Rosa, Maria.</t>
        </r>
      </text>
    </comment>
    <comment ref="CB87" authorId="1" shapeId="0" xr:uid="{B3F66E43-8B70-4BE7-A6FC-25376C0D854B}">
      <text>
        <r>
          <rPr>
            <b/>
            <sz val="9"/>
            <color indexed="81"/>
            <rFont val="Tahoma"/>
            <family val="2"/>
          </rPr>
          <t xml:space="preserve">Seguridad Social Noviembre. 
</t>
        </r>
        <r>
          <rPr>
            <sz val="9"/>
            <color indexed="81"/>
            <rFont val="Tahoma"/>
            <family val="2"/>
          </rPr>
          <t>Comprobar importe en resumen de nominas cuando lo recibamos: 1.828,50€ OK correcto
Cargado: 29/12/23.
Seguros sociales: Alfonso, Rosa, Maria.
Incluye 23,27€ de S. Social de Federico</t>
        </r>
      </text>
    </comment>
    <comment ref="CC87" authorId="1" shapeId="0" xr:uid="{F5865D15-6BCE-466C-B3AE-B15995DFF96D}">
      <text>
        <r>
          <rPr>
            <b/>
            <sz val="9"/>
            <color indexed="81"/>
            <rFont val="Tahoma"/>
            <family val="2"/>
          </rPr>
          <t xml:space="preserve">Seguridad Social Diciembre. 
</t>
        </r>
        <r>
          <rPr>
            <sz val="9"/>
            <color indexed="81"/>
            <rFont val="Tahoma"/>
            <family val="2"/>
          </rPr>
          <t>Importe en resumen de nominas: 2.154,37€ 
Cargado: 31/01/24
Seguros sociales: Alfonso, Rosa, Maria.
Incluye 349,13€ de S. Social de Federico</t>
        </r>
      </text>
    </comment>
    <comment ref="CD87" authorId="1" shapeId="0" xr:uid="{3C0C5E4B-A92F-4AEF-8F5A-13352A586487}">
      <text>
        <r>
          <rPr>
            <b/>
            <sz val="9"/>
            <color indexed="81"/>
            <rFont val="Tahoma"/>
            <family val="2"/>
          </rPr>
          <t xml:space="preserve">Seguridad Social Enero. 
</t>
        </r>
        <r>
          <rPr>
            <sz val="9"/>
            <color indexed="81"/>
            <rFont val="Tahoma"/>
            <family val="2"/>
          </rPr>
          <t>Importe en resumen de nominas: 2.209,94€ 
Pndte cargo: 29/02/24
Cargado Caixa: 29/02/24 
Seguros sociales: Alfonso, Rosa, Maria.
Incluye 377,24€ de S. Social de Federico</t>
        </r>
      </text>
    </comment>
    <comment ref="CE87" authorId="1" shapeId="0" xr:uid="{48C6541D-353C-4932-9E12-B83601DDAA54}">
      <text>
        <r>
          <rPr>
            <b/>
            <sz val="9"/>
            <color indexed="81"/>
            <rFont val="Tahoma"/>
            <family val="2"/>
          </rPr>
          <t xml:space="preserve">Seguridad Social Febrero. 
</t>
        </r>
        <r>
          <rPr>
            <sz val="9"/>
            <color indexed="81"/>
            <rFont val="Tahoma"/>
            <family val="2"/>
          </rPr>
          <t>Importe en resumen de nominas: 3.469,41€ 
Pndte cargo: 31/03/24
Cargado Caixa: /24 
1.848,73€: Seguros sociales: Alfonso, Rosa, Maria 
1.243,44€: peones Refeorestación
Incluye 377,24€ de S. Social de Federico</t>
        </r>
      </text>
    </comment>
    <comment ref="CF87" authorId="1" shapeId="0" xr:uid="{D2F76732-584B-411C-BA2F-2C92BF2539AD}">
      <text>
        <r>
          <rPr>
            <b/>
            <sz val="9"/>
            <color indexed="81"/>
            <rFont val="Tahoma"/>
            <family val="2"/>
          </rPr>
          <t xml:space="preserve">S.Social mes anterior. 
1805 Eur Aprox de Alfonso, Rosa y María.
</t>
        </r>
      </text>
    </comment>
    <comment ref="CG87" authorId="1" shapeId="0" xr:uid="{4A2F40A5-027F-45C3-8375-D3D24ECF202A}">
      <text>
        <r>
          <rPr>
            <b/>
            <sz val="9"/>
            <color indexed="81"/>
            <rFont val="Tahoma"/>
            <family val="2"/>
          </rPr>
          <t xml:space="preserve">S.Social mes anterior. 
1805 Eur Aprox de Alfonso, Rosa y María.
</t>
        </r>
      </text>
    </comment>
    <comment ref="CH87" authorId="1" shapeId="0" xr:uid="{60DA597E-A844-4DBD-9455-55053848CBB1}">
      <text>
        <r>
          <rPr>
            <b/>
            <sz val="9"/>
            <color indexed="81"/>
            <rFont val="Tahoma"/>
            <family val="2"/>
          </rPr>
          <t xml:space="preserve">S.Social mes anterior. 
1805 Eur Aprox de Alfonso, Rosa y María.
</t>
        </r>
      </text>
    </comment>
    <comment ref="CI87" authorId="1" shapeId="0" xr:uid="{B81BFF17-8286-4903-8509-D0DB7E25DE5C}">
      <text>
        <r>
          <rPr>
            <b/>
            <sz val="9"/>
            <color indexed="81"/>
            <rFont val="Tahoma"/>
            <family val="2"/>
          </rPr>
          <t xml:space="preserve">S.Social mes anterior. 
1805 Eur Aprox de Alfonso, Rosa y María.
</t>
        </r>
      </text>
    </comment>
    <comment ref="CJ87" authorId="1" shapeId="0" xr:uid="{6B7D9491-4F84-419D-B0B7-3ED43D75928F}">
      <text>
        <r>
          <rPr>
            <b/>
            <sz val="9"/>
            <color indexed="81"/>
            <rFont val="Tahoma"/>
            <family val="2"/>
          </rPr>
          <t xml:space="preserve">S.Social mes anterior. 
1805 Eur Aprox de Alfonso, Rosa y María.
</t>
        </r>
      </text>
    </comment>
    <comment ref="CM87" authorId="1" shapeId="0" xr:uid="{27E73937-7ED9-43A4-A280-C4A8F79B976C}">
      <text>
        <r>
          <rPr>
            <b/>
            <sz val="9"/>
            <color indexed="81"/>
            <rFont val="Tahoma"/>
            <family val="2"/>
          </rPr>
          <t xml:space="preserve">S.Social mes anterior. 
1805 Eur Aprox de Alfonso, Rosa y María.
</t>
        </r>
      </text>
    </comment>
    <comment ref="CN87" authorId="1" shapeId="0" xr:uid="{3A3A2DE0-BE2F-4345-A781-B9457C299EBE}">
      <text>
        <r>
          <rPr>
            <b/>
            <sz val="9"/>
            <color indexed="81"/>
            <rFont val="Tahoma"/>
            <family val="2"/>
          </rPr>
          <t xml:space="preserve">S.Social mes anterior. 
1805 Eur Aprox de Alfonso, Rosa y María.
</t>
        </r>
      </text>
    </comment>
    <comment ref="CO87" authorId="1" shapeId="0" xr:uid="{EFDF53EF-3655-4A64-89F5-7F9CA6060DB3}">
      <text>
        <r>
          <rPr>
            <b/>
            <sz val="9"/>
            <color indexed="81"/>
            <rFont val="Tahoma"/>
            <family val="2"/>
          </rPr>
          <t xml:space="preserve">S.Social mes anterior. 
1805 Eur Aprox de Alfonso, Rosa y María.
</t>
        </r>
      </text>
    </comment>
    <comment ref="CP87" authorId="1" shapeId="0" xr:uid="{9E0A0BFF-4918-41C8-A3E7-BA42299C86A8}">
      <text>
        <r>
          <rPr>
            <b/>
            <sz val="9"/>
            <color indexed="81"/>
            <rFont val="Tahoma"/>
            <family val="2"/>
          </rPr>
          <t xml:space="preserve">S.Social mes anterior. 
1805 Eur Aprox de Alfonso, Rosa y María.
</t>
        </r>
      </text>
    </comment>
    <comment ref="CQ87" authorId="1" shapeId="0" xr:uid="{FF250C66-F424-48BA-B1E1-9E850C4444DA}">
      <text>
        <r>
          <rPr>
            <b/>
            <sz val="9"/>
            <color indexed="81"/>
            <rFont val="Tahoma"/>
            <family val="2"/>
          </rPr>
          <t xml:space="preserve">S.Social mes anterior. 
1805 Eur Aprox de Alfonso, Rosa y María.
</t>
        </r>
      </text>
    </comment>
    <comment ref="CR87" authorId="1" shapeId="0" xr:uid="{024AA3A6-AE75-4825-9A91-1C6A874F01A7}">
      <text>
        <r>
          <rPr>
            <b/>
            <sz val="9"/>
            <color indexed="81"/>
            <rFont val="Tahoma"/>
            <family val="2"/>
          </rPr>
          <t xml:space="preserve">S.Social mes anterior. 
1805 Eur Aprox de Alfonso, Rosa y María.
</t>
        </r>
      </text>
    </comment>
    <comment ref="CS87" authorId="1" shapeId="0" xr:uid="{4CCFFD8A-F915-4C4C-AFF4-16A011BD5F67}">
      <text>
        <r>
          <rPr>
            <b/>
            <sz val="9"/>
            <color indexed="81"/>
            <rFont val="Tahoma"/>
            <family val="2"/>
          </rPr>
          <t xml:space="preserve">S.Social mes anterior. 
1805 Eur Aprox de Alfonso, Rosa y María.
</t>
        </r>
      </text>
    </comment>
    <comment ref="CT87" authorId="1" shapeId="0" xr:uid="{B5DAD72C-44A0-4374-9C4F-8CD5DD31FDD4}">
      <text>
        <r>
          <rPr>
            <b/>
            <sz val="9"/>
            <color indexed="81"/>
            <rFont val="Tahoma"/>
            <family val="2"/>
          </rPr>
          <t xml:space="preserve">S.Social mes anterior. 
1805 Eur Aprox de Alfonso, Rosa y María.
</t>
        </r>
      </text>
    </comment>
    <comment ref="CU87" authorId="1" shapeId="0" xr:uid="{177F1EF2-845A-4B07-B7FD-EF784176B788}">
      <text>
        <r>
          <rPr>
            <b/>
            <sz val="9"/>
            <color indexed="81"/>
            <rFont val="Tahoma"/>
            <family val="2"/>
          </rPr>
          <t xml:space="preserve">S.Social mes anterior. 
1805 Eur Aprox de Alfonso, Rosa y María.
</t>
        </r>
      </text>
    </comment>
    <comment ref="CV87" authorId="1" shapeId="0" xr:uid="{1922359B-D878-441A-8EBC-8889CAF7770C}">
      <text>
        <r>
          <rPr>
            <b/>
            <sz val="9"/>
            <color indexed="81"/>
            <rFont val="Tahoma"/>
            <family val="2"/>
          </rPr>
          <t xml:space="preserve">S.Social mes anterior. 
1805 Eur Aprox de Alfonso, Rosa y María.
</t>
        </r>
      </text>
    </comment>
    <comment ref="CW87" authorId="1" shapeId="0" xr:uid="{7F3F8A67-0D56-4D1A-893C-29A89D4CB9D2}">
      <text>
        <r>
          <rPr>
            <b/>
            <sz val="9"/>
            <color indexed="81"/>
            <rFont val="Tahoma"/>
            <family val="2"/>
          </rPr>
          <t xml:space="preserve">S.Social mes anterior. 
1805 Eur Aprox de Alfonso, Rosa y María.
</t>
        </r>
      </text>
    </comment>
    <comment ref="CX87" authorId="1" shapeId="0" xr:uid="{55A10129-78C4-4320-8880-2865726D7359}">
      <text>
        <r>
          <rPr>
            <b/>
            <sz val="9"/>
            <color indexed="81"/>
            <rFont val="Tahoma"/>
            <family val="2"/>
          </rPr>
          <t xml:space="preserve">S.Social mes anterior. 
1805 Eur Aprox de Alfonso, Rosa y María.
</t>
        </r>
      </text>
    </comment>
    <comment ref="CZ87" authorId="1" shapeId="0" xr:uid="{9A2935C8-8B39-41FA-8EC7-04EDB8F8EFB0}">
      <text>
        <r>
          <rPr>
            <b/>
            <sz val="9"/>
            <color indexed="81"/>
            <rFont val="Tahoma"/>
            <family val="2"/>
          </rPr>
          <t xml:space="preserve">S.Social mes anterior. 
1805 Eur Aprox de Alfonso, Rosa y María.
</t>
        </r>
      </text>
    </comment>
    <comment ref="DA87" authorId="1" shapeId="0" xr:uid="{A4B186FA-4BED-4FF5-8B69-73E6A2A269FA}">
      <text>
        <r>
          <rPr>
            <b/>
            <sz val="9"/>
            <color indexed="81"/>
            <rFont val="Tahoma"/>
            <family val="2"/>
          </rPr>
          <t xml:space="preserve">S.Social mes anterior. 
1805 Eur Aprox de Alfonso, Rosa y María.
</t>
        </r>
      </text>
    </comment>
    <comment ref="DB87" authorId="1" shapeId="0" xr:uid="{ADAB4130-A052-4FCC-A7EC-E6203C517F4E}">
      <text>
        <r>
          <rPr>
            <b/>
            <sz val="9"/>
            <color indexed="81"/>
            <rFont val="Tahoma"/>
            <family val="2"/>
          </rPr>
          <t xml:space="preserve">S.Social mes anterior. 
1805 Eur Aprox de Alfonso, Rosa y María.
</t>
        </r>
      </text>
    </comment>
    <comment ref="DC87" authorId="1" shapeId="0" xr:uid="{B3A7C422-54CF-40C1-A3FA-7A6AD6A8599A}">
      <text>
        <r>
          <rPr>
            <b/>
            <sz val="9"/>
            <color indexed="81"/>
            <rFont val="Tahoma"/>
            <family val="2"/>
          </rPr>
          <t xml:space="preserve">S.Social mes anterior. 
1805 Eur Aprox de Alfonso, Rosa y María.
</t>
        </r>
      </text>
    </comment>
    <comment ref="DD87" authorId="1" shapeId="0" xr:uid="{48D10168-5B73-419B-9321-2F54FE697010}">
      <text>
        <r>
          <rPr>
            <b/>
            <sz val="9"/>
            <color indexed="81"/>
            <rFont val="Tahoma"/>
            <family val="2"/>
          </rPr>
          <t xml:space="preserve">S.Social mes anterior. 
1805 Eur Aprox de Alfonso, Rosa y María.
</t>
        </r>
      </text>
    </comment>
    <comment ref="DE87" authorId="1" shapeId="0" xr:uid="{F7EA12CF-7277-43FC-AA3B-731A42068348}">
      <text>
        <r>
          <rPr>
            <b/>
            <sz val="9"/>
            <color indexed="81"/>
            <rFont val="Tahoma"/>
            <family val="2"/>
          </rPr>
          <t xml:space="preserve">S.Social mes anterior. 
1805 Eur Aprox de Alfonso, Rosa y María.
</t>
        </r>
      </text>
    </comment>
    <comment ref="DF87" authorId="1" shapeId="0" xr:uid="{849F96DB-CC28-4F0C-9CAB-C283F2D19F02}">
      <text>
        <r>
          <rPr>
            <b/>
            <sz val="9"/>
            <color indexed="81"/>
            <rFont val="Tahoma"/>
            <family val="2"/>
          </rPr>
          <t xml:space="preserve">S.Social mes anterior. 
1805 Eur Aprox de Alfonso, Rosa y María.
</t>
        </r>
      </text>
    </comment>
    <comment ref="DG87" authorId="1" shapeId="0" xr:uid="{30F732EA-CE85-4D3B-9BE0-72F641DC3C38}">
      <text>
        <r>
          <rPr>
            <b/>
            <sz val="9"/>
            <color indexed="81"/>
            <rFont val="Tahoma"/>
            <family val="2"/>
          </rPr>
          <t xml:space="preserve">S.Social mes anterior. 
1805 Eur Aprox de Alfonso, Rosa y María.
</t>
        </r>
      </text>
    </comment>
    <comment ref="DH87" authorId="1" shapeId="0" xr:uid="{EB439AC4-1B26-445F-94B6-F19F7B1E6370}">
      <text>
        <r>
          <rPr>
            <b/>
            <sz val="9"/>
            <color indexed="81"/>
            <rFont val="Tahoma"/>
            <family val="2"/>
          </rPr>
          <t xml:space="preserve">S.Social mes anterior. 
1805 Eur Aprox de Alfonso, Rosa y María.
</t>
        </r>
      </text>
    </comment>
    <comment ref="DI87" authorId="1" shapeId="0" xr:uid="{1EF5098B-995F-46AF-ABA7-2AF6CE14B179}">
      <text>
        <r>
          <rPr>
            <b/>
            <sz val="9"/>
            <color indexed="81"/>
            <rFont val="Tahoma"/>
            <family val="2"/>
          </rPr>
          <t xml:space="preserve">S.Social mes anterior. 
1805 Eur Aprox de Alfonso, Rosa y María.
</t>
        </r>
      </text>
    </comment>
    <comment ref="DJ87" authorId="1" shapeId="0" xr:uid="{20B8C349-EDFD-472B-A25D-38162298557A}">
      <text>
        <r>
          <rPr>
            <b/>
            <sz val="9"/>
            <color indexed="81"/>
            <rFont val="Tahoma"/>
            <family val="2"/>
          </rPr>
          <t xml:space="preserve">S.Social mes anterior. 
1805 Eur Aprox de Alfonso, Rosa y María.
</t>
        </r>
      </text>
    </comment>
    <comment ref="DK87" authorId="1" shapeId="0" xr:uid="{B5206D83-0EB4-496C-8E85-AF70057E2D82}">
      <text>
        <r>
          <rPr>
            <b/>
            <sz val="9"/>
            <color indexed="81"/>
            <rFont val="Tahoma"/>
            <family val="2"/>
          </rPr>
          <t xml:space="preserve">S.Social mes anterior. 
1805 Eur Aprox de Alfonso, Rosa y María.
</t>
        </r>
      </text>
    </comment>
    <comment ref="B88" authorId="1" shapeId="0" xr:uid="{00000000-0006-0000-0100-0000BF000000}">
      <text>
        <r>
          <rPr>
            <b/>
            <sz val="9"/>
            <color indexed="81"/>
            <rFont val="Tahoma"/>
            <family val="2"/>
          </rPr>
          <t xml:space="preserve">2021
</t>
        </r>
        <r>
          <rPr>
            <sz val="9"/>
            <color indexed="81"/>
            <rFont val="Tahoma"/>
            <family val="2"/>
          </rPr>
          <t>Sinver 313,67 + iva mensuales.
Imputamos medio año a molino y medio a nixal</t>
        </r>
      </text>
    </comment>
    <comment ref="W88" authorId="1" shapeId="0" xr:uid="{00000000-0006-0000-0100-0000C0000000}">
      <text>
        <r>
          <rPr>
            <b/>
            <sz val="8"/>
            <color indexed="81"/>
            <rFont val="Tahoma"/>
            <family val="2"/>
          </rPr>
          <t>alfonso:</t>
        </r>
        <r>
          <rPr>
            <sz val="8"/>
            <color indexed="81"/>
            <rFont val="Tahoma"/>
            <family val="2"/>
          </rPr>
          <t xml:space="preserve">
363 fra sinver de informe financiero. Fra de agosto y pagada en agosto.
224,66 Gra servicios julio Sinver, pasada en Julio y pagada en Agosto, por eso esta aquí.</t>
        </r>
      </text>
    </comment>
    <comment ref="X88" authorId="1" shapeId="0" xr:uid="{00000000-0006-0000-0100-0000C1000000}">
      <text>
        <r>
          <rPr>
            <b/>
            <sz val="8"/>
            <color indexed="81"/>
            <rFont val="Tahoma"/>
            <family val="2"/>
          </rPr>
          <t>alfonso:</t>
        </r>
        <r>
          <rPr>
            <sz val="8"/>
            <color indexed="81"/>
            <rFont val="Tahoma"/>
            <family val="2"/>
          </rPr>
          <t xml:space="preserve">
Fra mensual Sinver servicios agosto. Pasada en agosto y pagada en sept, por eso esta aquí. Lleva 29,04 de factura de FNMT pagado a través de Sinver. 
Fra Sinver de 242 por presentación cuentas anueles, tb pasada a sinver en agosto y pagada en septiembre..
</t>
        </r>
      </text>
    </comment>
    <comment ref="Y88" authorId="1" shapeId="0" xr:uid="{00000000-0006-0000-0100-0000C2000000}">
      <text>
        <r>
          <rPr>
            <b/>
            <sz val="8"/>
            <color indexed="81"/>
            <rFont val="Tahoma"/>
            <family val="2"/>
          </rPr>
          <t>224,66 Fra Sinver servicios septiembre. Pasada mes anterior y pagada en mes.
242 de creativa por presentación de cuentas anuales</t>
        </r>
      </text>
    </comment>
    <comment ref="Z88" authorId="1" shapeId="0" xr:uid="{00000000-0006-0000-0100-0000C3000000}">
      <text>
        <r>
          <rPr>
            <b/>
            <sz val="8"/>
            <color indexed="81"/>
            <rFont val="Tahoma"/>
            <family val="2"/>
          </rPr>
          <t>alfonso:</t>
        </r>
        <r>
          <rPr>
            <sz val="8"/>
            <color indexed="81"/>
            <rFont val="Tahoma"/>
            <family val="2"/>
          </rPr>
          <t xml:space="preserve">
2504,7+ (600 + IVA) DE GESTION ADMISNITRATIVA A BUS 
199,67x1,21 fra de SINVER. La han incrementado en 14+IVA
</t>
        </r>
      </text>
    </comment>
    <comment ref="AA88" authorId="0" shapeId="0" xr:uid="{00000000-0006-0000-0100-0000C4000000}">
      <text>
        <r>
          <rPr>
            <b/>
            <sz val="9"/>
            <color indexed="81"/>
            <rFont val="Tahoma"/>
            <family val="2"/>
          </rPr>
          <t>Rosa:</t>
        </r>
        <r>
          <rPr>
            <sz val="9"/>
            <color indexed="81"/>
            <rFont val="Tahoma"/>
            <family val="2"/>
          </rPr>
          <t xml:space="preserve">
199,67x1,21 fra de SINVER. La han incrementado en 14+IVA</t>
        </r>
      </text>
    </comment>
    <comment ref="AC88" authorId="1" shapeId="0" xr:uid="{00000000-0006-0000-0100-0000C5000000}">
      <text>
        <r>
          <rPr>
            <b/>
            <sz val="8"/>
            <color indexed="81"/>
            <rFont val="Tahoma"/>
            <family val="2"/>
          </rPr>
          <t>alfonso:</t>
        </r>
        <r>
          <rPr>
            <sz val="8"/>
            <color indexed="81"/>
            <rFont val="Tahoma"/>
            <family val="2"/>
          </rPr>
          <t xml:space="preserve">
199,67x1,21 fra de SINVER. </t>
        </r>
      </text>
    </comment>
    <comment ref="AD88" authorId="1" shapeId="0" xr:uid="{00000000-0006-0000-0100-0000C6000000}">
      <text>
        <r>
          <rPr>
            <b/>
            <sz val="8"/>
            <color indexed="81"/>
            <rFont val="Tahoma"/>
            <family val="2"/>
          </rPr>
          <t>alfonso:</t>
        </r>
        <r>
          <rPr>
            <sz val="8"/>
            <color indexed="81"/>
            <rFont val="Tahoma"/>
            <family val="2"/>
          </rPr>
          <t xml:space="preserve">
600 + IVA DE GESTION ADMISNITRATIVA A BUS 
199,67x1,21 fra de SINVER. 
+ 104,16 E Solicitud código LEI
480x1,21 fra de Creativa. </t>
        </r>
      </text>
    </comment>
    <comment ref="AE88" authorId="1" shapeId="0" xr:uid="{00000000-0006-0000-0100-0000C7000000}">
      <text>
        <r>
          <rPr>
            <b/>
            <sz val="8"/>
            <color indexed="81"/>
            <rFont val="Tahoma"/>
            <family val="2"/>
          </rPr>
          <t>alfonso:</t>
        </r>
        <r>
          <rPr>
            <sz val="8"/>
            <color indexed="81"/>
            <rFont val="Tahoma"/>
            <family val="2"/>
          </rPr>
          <t xml:space="preserve">
199,67x1,21 fra de SINVER 
+ 100 *1,21E honorarios gestión escrituras compraventa</t>
        </r>
      </text>
    </comment>
    <comment ref="AF88" authorId="1" shapeId="0" xr:uid="{00000000-0006-0000-0100-0000C8000000}">
      <text>
        <r>
          <rPr>
            <b/>
            <sz val="8"/>
            <color indexed="81"/>
            <rFont val="Tahoma"/>
            <family val="2"/>
          </rPr>
          <t>alfonso:</t>
        </r>
        <r>
          <rPr>
            <sz val="8"/>
            <color indexed="81"/>
            <rFont val="Tahoma"/>
            <family val="2"/>
          </rPr>
          <t xml:space="preserve">
199,67x1,21 fra de SINVER. 
1579/2 +iva DE GESTION ADMISNITRATIVA A BUS </t>
        </r>
      </text>
    </comment>
    <comment ref="AG88" authorId="1" shapeId="0" xr:uid="{00000000-0006-0000-0100-0000C9000000}">
      <text>
        <r>
          <rPr>
            <b/>
            <sz val="8"/>
            <color indexed="81"/>
            <rFont val="Tahoma"/>
            <family val="2"/>
          </rPr>
          <t>alfonso:</t>
        </r>
        <r>
          <rPr>
            <sz val="8"/>
            <color indexed="81"/>
            <rFont val="Tahoma"/>
            <family val="2"/>
          </rPr>
          <t xml:space="preserve">
600 + IVA DE GESTION ADMISNITRATIVA A BUS 
(199,67+6,58) x1,21 fra de SINVER. </t>
        </r>
      </text>
    </comment>
    <comment ref="AH88" authorId="1" shapeId="0" xr:uid="{00000000-0006-0000-0100-0000CA000000}">
      <text>
        <r>
          <rPr>
            <b/>
            <sz val="8"/>
            <color indexed="81"/>
            <rFont val="Tahoma"/>
            <family val="2"/>
          </rPr>
          <t>alfonso:</t>
        </r>
        <r>
          <rPr>
            <sz val="8"/>
            <color indexed="81"/>
            <rFont val="Tahoma"/>
            <family val="2"/>
          </rPr>
          <t xml:space="preserve">
199,67x1,21 fra de SINVER. </t>
        </r>
      </text>
    </comment>
    <comment ref="AI88" authorId="1" shapeId="0" xr:uid="{00000000-0006-0000-0100-0000CB000000}">
      <text>
        <r>
          <rPr>
            <b/>
            <sz val="8"/>
            <color indexed="81"/>
            <rFont val="Tahoma"/>
            <family val="2"/>
          </rPr>
          <t>alfonso:</t>
        </r>
        <r>
          <rPr>
            <sz val="8"/>
            <color indexed="81"/>
            <rFont val="Tahoma"/>
            <family val="2"/>
          </rPr>
          <t xml:space="preserve">
199,67x1,21 fra de SINVER. 
50x1,21 fra de Creativa. </t>
        </r>
      </text>
    </comment>
    <comment ref="AJ88" authorId="1" shapeId="0" xr:uid="{00000000-0006-0000-0100-0000CC000000}">
      <text>
        <r>
          <rPr>
            <b/>
            <sz val="8"/>
            <color indexed="81"/>
            <rFont val="Tahoma"/>
            <family val="2"/>
          </rPr>
          <t>alfonso:</t>
        </r>
        <r>
          <rPr>
            <sz val="8"/>
            <color indexed="81"/>
            <rFont val="Tahoma"/>
            <family val="2"/>
          </rPr>
          <t xml:space="preserve">
600 + IVA DE GESTION ADMISNITRATIVA A BUS. NO </t>
        </r>
        <r>
          <rPr>
            <b/>
            <sz val="8"/>
            <color indexed="81"/>
            <rFont val="Tahoma"/>
            <family val="2"/>
          </rPr>
          <t>PASAR MAS FACTURAS A BUS EN ADELANTE HASTA NUEVO AVISO</t>
        </r>
        <r>
          <rPr>
            <sz val="8"/>
            <color indexed="81"/>
            <rFont val="Tahoma"/>
            <family val="2"/>
          </rPr>
          <t xml:space="preserve">
199,67x1,21 fra de SINVER.
9,56x1,21 solicitud información mercantil 
</t>
        </r>
      </text>
    </comment>
    <comment ref="AL88" authorId="1" shapeId="0" xr:uid="{00000000-0006-0000-0100-0000CD000000}">
      <text>
        <r>
          <rPr>
            <b/>
            <sz val="8"/>
            <color indexed="81"/>
            <rFont val="Tahoma"/>
            <family val="2"/>
          </rPr>
          <t>alfonso:</t>
        </r>
        <r>
          <rPr>
            <sz val="8"/>
            <color indexed="81"/>
            <rFont val="Tahoma"/>
            <family val="2"/>
          </rPr>
          <t xml:space="preserve">
199,67x1,21 fra de SINVER. 
</t>
        </r>
      </text>
    </comment>
    <comment ref="AM88" authorId="1" shapeId="0" xr:uid="{00000000-0006-0000-0100-0000CE000000}">
      <text>
        <r>
          <rPr>
            <b/>
            <sz val="8"/>
            <color indexed="81"/>
            <rFont val="Tahoma"/>
            <family val="2"/>
          </rPr>
          <t>alfonso:</t>
        </r>
        <r>
          <rPr>
            <sz val="8"/>
            <color indexed="81"/>
            <rFont val="Tahoma"/>
            <family val="2"/>
          </rPr>
          <t xml:space="preserve">
199,67x1,21 fra de SINVER. 
+48,97 E: Presentación CC.AA en Registro Mercantil</t>
        </r>
      </text>
    </comment>
    <comment ref="AN88" authorId="1" shapeId="0" xr:uid="{00000000-0006-0000-0100-0000CF000000}">
      <text>
        <r>
          <rPr>
            <b/>
            <sz val="8"/>
            <color indexed="81"/>
            <rFont val="Tahoma"/>
            <family val="2"/>
          </rPr>
          <t>alfonso:</t>
        </r>
        <r>
          <rPr>
            <sz val="8"/>
            <color indexed="81"/>
            <rFont val="Tahoma"/>
            <family val="2"/>
          </rPr>
          <t xml:space="preserve">
199,67+14 (gestión fiscal y contable) ) x1,21 fra de SINVER. 
</t>
        </r>
      </text>
    </comment>
    <comment ref="AO88" authorId="1" shapeId="0" xr:uid="{00000000-0006-0000-0100-0000D0000000}">
      <text>
        <r>
          <rPr>
            <b/>
            <sz val="8"/>
            <color indexed="81"/>
            <rFont val="Tahoma"/>
            <family val="2"/>
          </rPr>
          <t>alfonso:</t>
        </r>
        <r>
          <rPr>
            <sz val="8"/>
            <color indexed="81"/>
            <rFont val="Tahoma"/>
            <family val="2"/>
          </rPr>
          <t xml:space="preserve">
199,67+14 (gestión fiscal y contable) ) x1,21 fra de SINVER. 
</t>
        </r>
      </text>
    </comment>
    <comment ref="AQ88" authorId="1" shapeId="0" xr:uid="{00000000-0006-0000-0100-0000D1000000}">
      <text>
        <r>
          <rPr>
            <b/>
            <sz val="9"/>
            <color indexed="81"/>
            <rFont val="Tahoma"/>
            <family val="2"/>
          </rPr>
          <t>alfonso:</t>
        </r>
        <r>
          <rPr>
            <sz val="9"/>
            <color indexed="81"/>
            <rFont val="Tahoma"/>
            <family val="2"/>
          </rPr>
          <t xml:space="preserve">
300 por carga extra fusión (sobre todo contable)
-------------------------------
Fra: 938/20 (31/12/20) (recibida el 04/02/21):
379,54 E: 313,67 ((gestión fiscal y contable)  x1,21 fra de SINVER. 
Fra: 77/21 (31/01/21) (recibida el 04/02/21):
379,54 E: 313,67 (gestión fiscal y contable)  x1,21 fra de SINVER. 
+300  * 1,21 por carga extra fusión (sobre todo contable)
+ 29,04 E: Gestión certificado digital FNMT
Fra: 9200747109 (28/12/20)
1151,12 E: Cargado Caixa: 02/02/21
</t>
        </r>
      </text>
    </comment>
    <comment ref="AR88" authorId="0" shapeId="0" xr:uid="{00000000-0006-0000-0100-0000D2000000}">
      <text>
        <r>
          <rPr>
            <sz val="9"/>
            <color indexed="81"/>
            <rFont val="Tahoma"/>
            <family val="2"/>
          </rPr>
          <t xml:space="preserve">Fra Codigo Lei del 12/02/21
104,16 E: Código LEI
15/02/21: Ok ALF lo incluirán en fra.
---------------------------------------------
Fra: 163/21 (28/02/21) 
379,54 E: 313,67 (gestión fiscal y contable) x1,21 fra de SINVER. 
Incluye 104,16 (codigo lei).
483,70€ Cargado el 01/03/21 en caixa.  </t>
        </r>
      </text>
    </comment>
    <comment ref="AS88" authorId="0" shapeId="0" xr:uid="{0A026C7A-5424-4BAB-AE4A-3FD5EAE3980D}">
      <text>
        <r>
          <rPr>
            <sz val="9"/>
            <color indexed="81"/>
            <rFont val="Tahoma"/>
            <family val="2"/>
          </rPr>
          <t xml:space="preserve">Fra: 232/21 (31/03/21) 
379,54 E: 313,67(gestión fiscal y contable) x1,21 fra de SINVER. 
Cargado: 01/04/21
</t>
        </r>
      </text>
    </comment>
    <comment ref="AT88" authorId="2" shapeId="0" xr:uid="{24C59DC4-66D3-42D9-BB22-8BF6DC0E5A07}">
      <text>
        <r>
          <rPr>
            <sz val="9"/>
            <color indexed="81"/>
            <rFont val="Tahoma"/>
            <family val="2"/>
          </rPr>
          <t>Fra: 327/21 (30/04/21) 
379,54 E: 313,67 (gestión fiscal y contable)  x1,21 fra de SINVER. 
Cargado: 01/05/21</t>
        </r>
      </text>
    </comment>
    <comment ref="AU88" authorId="2" shapeId="0" xr:uid="{AB330AFB-8289-4987-A3E7-91EAFB25C159}">
      <text>
        <r>
          <rPr>
            <sz val="9"/>
            <color indexed="81"/>
            <rFont val="Tahoma"/>
            <family val="2"/>
          </rPr>
          <t>Fra: 410/21 (31/05/21) 
379,54 E: 313,67 (gestión fiscal y contable)  x1,21 fra de SINVER. 
Cargado: 01/06/21.</t>
        </r>
      </text>
    </comment>
    <comment ref="AV88" authorId="2" shapeId="0" xr:uid="{287D2399-600E-416A-A9AB-F622360FFFB4}">
      <text>
        <r>
          <rPr>
            <sz val="9"/>
            <color indexed="81"/>
            <rFont val="Tahoma"/>
            <family val="2"/>
          </rPr>
          <t>Fra: 410/21 (30/06/21) 
430,54
Cargado: 01/07/21.</t>
        </r>
      </text>
    </comment>
    <comment ref="AW88" authorId="2" shapeId="0" xr:uid="{3B6958E7-DEF0-4DE7-9156-2B5883BE5E17}">
      <text>
        <r>
          <rPr>
            <sz val="9"/>
            <color indexed="81"/>
            <rFont val="Tahoma"/>
            <family val="2"/>
          </rPr>
          <t>Fra 580/21 del 31/07/21. 
386,78€ (incluye importe de la fra del RM del 30/06/21).
Cargado: 02/08/21.
-------------------------------------------
1.576,40€: Gasto de Sinver de Mayo a Agosto corresponde pagarlo a Molino. 
Transferencia de compensacion de gastos realizada el 31/08/21.
--------------------------
102,85+102,85+248,05+102,85= 556,60€: gasto de Creativa de Mayo a Agosto corresponde pagar a Nixal.
Transferencia de compensacion de gastos realizada el 31/08/21.</t>
        </r>
      </text>
    </comment>
    <comment ref="AY88" authorId="2" shapeId="0" xr:uid="{10DF4E8A-6693-43C4-999F-812F790B5745}">
      <text>
        <r>
          <rPr>
            <sz val="9"/>
            <color indexed="81"/>
            <rFont val="Tahoma"/>
            <family val="2"/>
          </rPr>
          <t>Fra: 663/21 (31/08/21) 
379,54 E: 313,67 (gestión fiscal y contable) x1,21 fra de SINVER. 
Cargado: 01/09/21.</t>
        </r>
      </text>
    </comment>
    <comment ref="AZ88" authorId="2" shapeId="0" xr:uid="{D598F19E-8946-4781-9046-3EBD36E7149A}">
      <text>
        <r>
          <rPr>
            <sz val="9"/>
            <color indexed="81"/>
            <rFont val="Tahoma"/>
            <family val="2"/>
          </rPr>
          <t>Fra: 736/21 (30/09/21) 
379,54 E: 313,67 (gestión laboral) x1,21 fra de SINVER. 
Cargado: 01/10/21.
Fra: 758/21 (30/09/21)
270,23€: 223,33 (de diferencia por subida de tarifa) x1,21 fra de SINVER. 
Cargado: 15/10/21.
Nota 23/02/22: El importe correcto es de 437€+ IVA= 528,77€ pndte devolución de 121€ de la fra de sept</t>
        </r>
      </text>
    </comment>
    <comment ref="BA88" authorId="2" shapeId="0" xr:uid="{44D8F3E8-76C5-475C-B97C-EDB8A387C452}">
      <text>
        <r>
          <rPr>
            <sz val="9"/>
            <color indexed="81"/>
            <rFont val="Tahoma"/>
            <family val="2"/>
          </rPr>
          <t>Fra: 834/21 (31/10/21) 
649,77 E: 537 (gestión fiscal y contable) x1,21 fra de SINVER. 
Cargado: 01/11/21.
Pndte de que Alfonso acuerde el importe de los honorarios con Sinver
Nota 23/02/22: El importe correcto es de 437€+ IVA= 528,77€ pndte devolución de 121€ de la fra de sept</t>
        </r>
      </text>
    </comment>
    <comment ref="BD88" authorId="2" shapeId="0" xr:uid="{0807C929-1AC8-4D7B-8E58-A8E879565493}">
      <text>
        <r>
          <rPr>
            <sz val="9"/>
            <color indexed="81"/>
            <rFont val="Tahoma"/>
            <family val="2"/>
          </rPr>
          <t xml:space="preserve">Fra: 116/22 (03/01/22) 
1057,54€: 874€ (gestión fiscal, contable, tributaria y mercantil de noviembre y diciembre) x1,21 fra de SINVER. 
Cargado: 18/02/22
----------------------------------------------
Fra: 117/22 (31/01/22) 
528,77€: 437€ (gestión fiscal, contable, tributaria y mercantil de enero) x1,21 fra de SINVER. 
Cargado: 18/02/22
</t>
        </r>
      </text>
    </comment>
    <comment ref="BE88" authorId="0" shapeId="0" xr:uid="{DB761333-87FF-4BFA-A961-91CCDF1DD092}">
      <text>
        <r>
          <rPr>
            <sz val="9"/>
            <color indexed="81"/>
            <rFont val="Tahoma"/>
            <family val="2"/>
          </rPr>
          <t xml:space="preserve">Nota 23/02/22: El importe correcto es de 437€+ IVA= 528,77€ pndte devolución de 121€*2=242€ de las fras de sept y oct 
8,73€: Depósito CCAA
67,86€: Solicitud Código LEI
363,36€: Cargado Caixa: 02/03/22
</t>
        </r>
      </text>
    </comment>
    <comment ref="BF88" authorId="2" shapeId="0" xr:uid="{51B0CC4C-4D3E-47BF-B72F-BA3FD40A5FE3}">
      <text>
        <r>
          <rPr>
            <sz val="9"/>
            <color indexed="81"/>
            <rFont val="Tahoma"/>
            <family val="2"/>
          </rPr>
          <t>Fra: 260/22 (31/03/22) 
528,77€: 437 (gestión fiscal y contable) x1,21 fra de SINVER. 
Cargado: 01/04/22.</t>
        </r>
      </text>
    </comment>
    <comment ref="BG88" authorId="2" shapeId="0" xr:uid="{8F3C8788-4810-43D5-A6F1-7193E8075818}">
      <text>
        <r>
          <rPr>
            <sz val="9"/>
            <color indexed="81"/>
            <rFont val="Tahoma"/>
            <family val="2"/>
          </rPr>
          <t>Fra: 369/22 (30/04/22) 
528,77€: 437 (gestión fiscal y contable) x1,21 fra de SINVER.
+57,91€: Depósito CC.AA 
Cargado: 02/05/22.</t>
        </r>
      </text>
    </comment>
    <comment ref="BH88" authorId="2" shapeId="0" xr:uid="{9FF62345-6F73-49BE-80C3-994138CD638B}">
      <text>
        <r>
          <rPr>
            <sz val="9"/>
            <color indexed="81"/>
            <rFont val="Tahoma"/>
            <family val="2"/>
          </rPr>
          <t>Fra: 459/22 (31/05/22) 
528,77€: 437 (gestión fiscal y contable) x1,21 fra de SINVER.
Cargado: 01/06/22.</t>
        </r>
      </text>
    </comment>
    <comment ref="BI88" authorId="2" shapeId="0" xr:uid="{C0044C1F-7F69-427B-B7C3-5B60C22E71D1}">
      <text>
        <r>
          <rPr>
            <sz val="9"/>
            <color indexed="81"/>
            <rFont val="Tahoma"/>
            <family val="2"/>
          </rPr>
          <t>Fra: 536/22 (30/06/22) 
925,59€: 437 (gestión fiscal y contable) x1,21 fra de SINVER.
+300€+21%IVA= Declaración Intrastat abril y mayo
+27,95€+21% IVA= Certificado RM
Cargado: 01/07/22.</t>
        </r>
      </text>
    </comment>
    <comment ref="BJ88" authorId="2" shapeId="0" xr:uid="{2684A650-2F62-429D-BBA0-2A757E723EC2}">
      <text>
        <r>
          <rPr>
            <sz val="9"/>
            <color indexed="81"/>
            <rFont val="Tahoma"/>
            <family val="2"/>
          </rPr>
          <t>Fra: 634/22 (31/07/22) 
649,779€: 437 (gestión fiscal y contable) x1,21 fra de SINVER.
+100€+21%IVA= Declaración Intrastat junio
Cargado: 01/08/22.</t>
        </r>
      </text>
    </comment>
    <comment ref="BL88" authorId="2" shapeId="0" xr:uid="{6938E3A7-F108-4854-B0B9-F56213C86D0F}">
      <text>
        <r>
          <rPr>
            <sz val="9"/>
            <color indexed="81"/>
            <rFont val="Tahoma"/>
            <family val="2"/>
          </rPr>
          <t>Fra: 720/22 (31/08/22) 
(gestión fiscal y contable) +21%IVA=528,77€
Cargado: 01/09/22.</t>
        </r>
      </text>
    </comment>
    <comment ref="BM88" authorId="2" shapeId="0" xr:uid="{EFACF92E-D2DB-4AF2-8B4E-4D096D6F1F78}">
      <text>
        <r>
          <rPr>
            <sz val="9"/>
            <color indexed="81"/>
            <rFont val="Tahoma"/>
            <family val="2"/>
          </rPr>
          <t>Fra: 797/22 (30/09/22) 
(gestión fiscal y contable) +21%IVA=528,77€
Cargado: 03/10/22.</t>
        </r>
      </text>
    </comment>
    <comment ref="BN88" authorId="2" shapeId="0" xr:uid="{4A84984B-1C91-4CFC-87CC-81EEA5B0F0E4}">
      <text>
        <r>
          <rPr>
            <sz val="9"/>
            <color indexed="81"/>
            <rFont val="Tahoma"/>
            <family val="2"/>
          </rPr>
          <t>Fra: 906/22 (31/10/22) 
(gestión fiscal y contable) +21%IVA=528,77€
Cargado: 01/11/22.</t>
        </r>
      </text>
    </comment>
    <comment ref="BO88" authorId="2" shapeId="0" xr:uid="{38098C0F-99FC-4AA9-AAC0-1FED1119BD75}">
      <text>
        <r>
          <rPr>
            <sz val="9"/>
            <color indexed="81"/>
            <rFont val="Tahoma"/>
            <family val="2"/>
          </rPr>
          <t>Fra: 997/22 (30/11/22) 
(gestión fiscal y contable) +21%IVA=528,77€
Cargado: 01/12/22.</t>
        </r>
      </text>
    </comment>
    <comment ref="BP88" authorId="0" shapeId="0" xr:uid="{4E80EFF8-3C60-4872-99A8-D89B8F28FD5D}">
      <text>
        <r>
          <rPr>
            <sz val="9"/>
            <color indexed="81"/>
            <rFont val="Tahoma"/>
            <family val="2"/>
          </rPr>
          <t xml:space="preserve">Fra: 1082/22 (31/12/22) 
(gestión fiscal y contable) +21%IVA=528,77€
+ 29,04 E: Gestión certificado digital FNMT
Fra: 9200747109 (28/12/20)
Cargado: 02/01/23.
</t>
        </r>
      </text>
    </comment>
    <comment ref="BQ88" authorId="0" shapeId="0" xr:uid="{44718B8E-FD8C-493F-9486-1DFB49F9A749}">
      <text>
        <r>
          <rPr>
            <sz val="9"/>
            <color indexed="81"/>
            <rFont val="Tahoma"/>
            <family val="2"/>
          </rPr>
          <t xml:space="preserve">Fra: 86/23 (31/01/23) 
(gestión fiscal y contable) 
+30€: Solicitud Código LEI
+21%IVA=565,07€
+ 67,86 E: Renovación Código LEI
Fra: 2023/6754 (23/01/23)
632,93€: Cargado: 01/02/23.
</t>
        </r>
      </text>
    </comment>
    <comment ref="BR88" authorId="0" shapeId="0" xr:uid="{53945DBE-49F2-4BC0-95ED-22065F56F8FA}">
      <text>
        <r>
          <rPr>
            <sz val="9"/>
            <color indexed="81"/>
            <rFont val="Tahoma"/>
            <family val="2"/>
          </rPr>
          <t xml:space="preserve">Fra: 190/23 (28/02/23) 
(gestión fiscal y contable) 
+21%IVA=558,91€
558,91€: Cargado: 01/03/23.
</t>
        </r>
      </text>
    </comment>
    <comment ref="BS88" authorId="0" shapeId="0" xr:uid="{71AF1E3F-4BEE-42C7-8E88-9EC2D3138752}">
      <text>
        <r>
          <rPr>
            <sz val="9"/>
            <color indexed="81"/>
            <rFont val="Tahoma"/>
            <family val="2"/>
          </rPr>
          <t xml:space="preserve">Fra: 277/23 (31/03/23) 
(gestión fiscal y contable) 
+21%IVA=558,91€
558,91€: Cargado: 01/04/23
</t>
        </r>
      </text>
    </comment>
    <comment ref="BT88" authorId="0" shapeId="0" xr:uid="{E77EE63C-8E37-4057-A4A1-92D5412D2DE1}">
      <text>
        <r>
          <rPr>
            <sz val="9"/>
            <color indexed="81"/>
            <rFont val="Tahoma"/>
            <family val="2"/>
          </rPr>
          <t xml:space="preserve">Fra: 383/23 (30/04/23) 
(gestión fiscal y contable) 
+21%IVA=558,91€
+ Gasto mensajeria: 14,99+IVA
+ CCAA: 60,09€
637,14€: Cargado: 02/05/23
</t>
        </r>
      </text>
    </comment>
    <comment ref="BU88" authorId="0" shapeId="0" xr:uid="{352B672E-0216-4B24-901B-AC8540AA99D0}">
      <text>
        <r>
          <rPr>
            <sz val="9"/>
            <color indexed="81"/>
            <rFont val="Tahoma"/>
            <family val="2"/>
          </rPr>
          <t xml:space="preserve">Fra: 476/23 (31/05/23) 
(gestión fiscal y contable) 
+21%IVA=558,91€
+ Certificado RM: 27,95€+IVA
592,73€: Cargado: 01/06/23
</t>
        </r>
      </text>
    </comment>
    <comment ref="BV88" authorId="0" shapeId="0" xr:uid="{5BFA1AEC-465C-4D97-8C98-544EE45EABD6}">
      <text>
        <r>
          <rPr>
            <sz val="9"/>
            <color indexed="81"/>
            <rFont val="Tahoma"/>
            <family val="2"/>
          </rPr>
          <t xml:space="preserve">Fra: 562/23 (30/06/23) 
(gestión fiscal y contable) 
+21%IVA=558,91€
+ Presentación modelo 600 compraventa parcela en Valverde: 200€+IVA
800,91€: Cargado: 03/07/23
</t>
        </r>
      </text>
    </comment>
    <comment ref="BW88" authorId="0" shapeId="0" xr:uid="{50227A79-5AF0-44F9-8160-F6C0D5B311EA}">
      <text>
        <r>
          <rPr>
            <sz val="9"/>
            <color indexed="81"/>
            <rFont val="Tahoma"/>
            <family val="2"/>
          </rPr>
          <t xml:space="preserve">Fra: 670/23 (31/07/23) 
(gestión fiscal y contable) 
+21%IVA=558,91€
+ Suplidos Registro de la Propiedad de Valverde: 199,80€
758,71€: Cargado: 01/08/23
</t>
        </r>
      </text>
    </comment>
    <comment ref="BY88" authorId="0" shapeId="0" xr:uid="{99B976D5-4D01-430E-8361-89544E3672B4}">
      <text>
        <r>
          <rPr>
            <sz val="9"/>
            <color indexed="81"/>
            <rFont val="Tahoma"/>
            <family val="2"/>
          </rPr>
          <t xml:space="preserve">Fra: 763/23 (31/08/23) 
(gestión fiscal y contable) 
+21%IVA=558,91€
+ Solicitud Certificado de Vigencia y Cargos: 27,95€+ IVA
592,73€: Cargado: 01/09/23
</t>
        </r>
      </text>
    </comment>
    <comment ref="BZ88" authorId="2" shapeId="0" xr:uid="{501C3F0F-64DC-40C5-8AB8-97F03FEC2D34}">
      <text>
        <r>
          <rPr>
            <sz val="9"/>
            <color indexed="81"/>
            <rFont val="Tahoma"/>
            <family val="2"/>
          </rPr>
          <t>Fra Sinver del 30/09/23.
Gestion: 558,91€.
Cargado: 02/10/23</t>
        </r>
      </text>
    </comment>
    <comment ref="CA88" authorId="2" shapeId="0" xr:uid="{C1765DCE-7BEB-4932-AF17-14948BFA8DA8}">
      <text>
        <r>
          <rPr>
            <sz val="9"/>
            <color indexed="81"/>
            <rFont val="Tahoma"/>
            <family val="2"/>
          </rPr>
          <t>Fra Sinver del 31/10/23.
Gestion: 558,91€.
Cargado: 01/11/23</t>
        </r>
      </text>
    </comment>
    <comment ref="CB88" authorId="2" shapeId="0" xr:uid="{A454073E-D1A3-4AD3-B90A-306510608ECF}">
      <text>
        <r>
          <rPr>
            <sz val="9"/>
            <color indexed="81"/>
            <rFont val="Tahoma"/>
            <family val="2"/>
          </rPr>
          <t>Fra Sinver del 30/11/23.
Gestion: 558,91€.
Cargado: 01/12/23</t>
        </r>
      </text>
    </comment>
    <comment ref="CC88" authorId="2" shapeId="0" xr:uid="{C4A81D6A-DCE4-4A81-A122-AEA19D546095}">
      <text>
        <r>
          <rPr>
            <sz val="9"/>
            <color indexed="81"/>
            <rFont val="Tahoma"/>
            <family val="2"/>
          </rPr>
          <t>Fra Sinver del 31/12/23.
Gestion: 558,91€.
Cargado:</t>
        </r>
      </text>
    </comment>
    <comment ref="CD88" authorId="2" shapeId="0" xr:uid="{D196EE93-E5C7-4543-9553-9F0B323F927D}">
      <text>
        <r>
          <rPr>
            <sz val="9"/>
            <color indexed="81"/>
            <rFont val="Tahoma"/>
            <family val="2"/>
          </rPr>
          <t>Fra Sinver del 31/01/24.
Gestion: 558,91€.+36,30€ LEI= 595,21€
Cargado: 02/02/24</t>
        </r>
      </text>
    </comment>
    <comment ref="CE88" authorId="2" shapeId="0" xr:uid="{AE315285-9A13-4B73-ADAD-D2E152DC6613}">
      <text>
        <r>
          <rPr>
            <sz val="9"/>
            <color indexed="81"/>
            <rFont val="Tahoma"/>
            <family val="2"/>
          </rPr>
          <t>Fra Sinver del 29/02/24.
Gestion: 576,25€+67,86€ LEI= 644,11€
Cargado: 01/03/24</t>
        </r>
      </text>
    </comment>
    <comment ref="B89" authorId="1" shapeId="0" xr:uid="{00000000-0006-0000-0100-0000D3000000}">
      <text>
        <r>
          <rPr>
            <sz val="9"/>
            <color indexed="81"/>
            <rFont val="Tahoma"/>
            <family val="2"/>
          </rPr>
          <t xml:space="preserve">Contratado con Creativa Nov 2020
45€ por gestion laboral empresa + 8€/mes por empleado = </t>
        </r>
        <r>
          <rPr>
            <b/>
            <sz val="9"/>
            <color indexed="81"/>
            <rFont val="Tahoma"/>
            <family val="2"/>
          </rPr>
          <t xml:space="preserve">85 al mes + IVA 21%
</t>
        </r>
        <r>
          <rPr>
            <sz val="9"/>
            <color indexed="81"/>
            <rFont val="Tahoma"/>
            <family val="2"/>
          </rPr>
          <t xml:space="preserve">
*Facturación cada día 22
*Cobro mediante recibo domiciliado los días 27
</t>
        </r>
      </text>
    </comment>
    <comment ref="T90" authorId="5" shapeId="0" xr:uid="{00000000-0006-0000-0100-0000D4000000}">
      <text>
        <r>
          <rPr>
            <b/>
            <sz val="9"/>
            <color indexed="81"/>
            <rFont val="Tahoma"/>
            <family val="2"/>
          </rPr>
          <t>Alberto:</t>
        </r>
        <r>
          <rPr>
            <sz val="9"/>
            <color indexed="81"/>
            <rFont val="Tahoma"/>
            <family val="2"/>
          </rPr>
          <t xml:space="preserve">
8470 son los 7 mil de Manuel Alonso por mi defensa en segunda y tercera instancia.</t>
        </r>
      </text>
    </comment>
    <comment ref="AA90" authorId="0" shapeId="0" xr:uid="{00000000-0006-0000-0100-0000D5000000}">
      <text>
        <r>
          <rPr>
            <b/>
            <sz val="9"/>
            <color indexed="81"/>
            <rFont val="Tahoma"/>
            <family val="2"/>
          </rPr>
          <t>rosa:</t>
        </r>
        <r>
          <rPr>
            <sz val="9"/>
            <color indexed="81"/>
            <rFont val="Tahoma"/>
            <family val="2"/>
          </rPr>
          <t xml:space="preserve">
363 E: Legalsur</t>
        </r>
      </text>
    </comment>
    <comment ref="AF90" authorId="0" shapeId="0" xr:uid="{00000000-0006-0000-0100-0000D6000000}">
      <text>
        <r>
          <rPr>
            <b/>
            <sz val="9"/>
            <color indexed="81"/>
            <rFont val="Tahoma"/>
            <family val="2"/>
          </rPr>
          <t>rosa:
Notarios Del Pozo Vela:</t>
        </r>
        <r>
          <rPr>
            <sz val="9"/>
            <color indexed="81"/>
            <rFont val="Tahoma"/>
            <family val="2"/>
          </rPr>
          <t xml:space="preserve">
377,12€: Fra: 03-20-002281 (07/04/20)
376,34€: Fra: 03-20-002282 (07/04/20)</t>
        </r>
      </text>
    </comment>
    <comment ref="AG90" authorId="0" shapeId="0" xr:uid="{00000000-0006-0000-0100-0000D7000000}">
      <text>
        <r>
          <rPr>
            <b/>
            <sz val="9"/>
            <color indexed="81"/>
            <rFont val="Tahoma"/>
            <family val="2"/>
          </rPr>
          <t xml:space="preserve">rosa:
Legalsur:
</t>
        </r>
        <r>
          <rPr>
            <sz val="9"/>
            <color indexed="81"/>
            <rFont val="Tahoma"/>
            <family val="2"/>
          </rPr>
          <t>181,50 E: Fra: 118 (03/04/20)</t>
        </r>
        <r>
          <rPr>
            <b/>
            <sz val="9"/>
            <color indexed="81"/>
            <rFont val="Tahoma"/>
            <family val="2"/>
          </rPr>
          <t xml:space="preserve">
</t>
        </r>
        <r>
          <rPr>
            <sz val="9"/>
            <color indexed="81"/>
            <rFont val="Tahoma"/>
            <family val="2"/>
          </rPr>
          <t xml:space="preserve">
302,50€: Fra: 140 (29/04/20)
363 E: Fra: 177 (25/05/20)
</t>
        </r>
      </text>
    </comment>
    <comment ref="AH90" authorId="0" shapeId="0" xr:uid="{00000000-0006-0000-0100-0000D8000000}">
      <text>
        <r>
          <rPr>
            <b/>
            <sz val="9"/>
            <color indexed="81"/>
            <rFont val="Tahoma"/>
            <family val="2"/>
          </rPr>
          <t xml:space="preserve">rosa:
Legalsur:
</t>
        </r>
        <r>
          <rPr>
            <sz val="9"/>
            <color indexed="81"/>
            <rFont val="Tahoma"/>
            <family val="2"/>
          </rPr>
          <t xml:space="preserve">363 E: Fra: 210 (23/06/20)
</t>
        </r>
      </text>
    </comment>
    <comment ref="AM90" authorId="0" shapeId="0" xr:uid="{00000000-0006-0000-0100-0000D9000000}">
      <text>
        <r>
          <rPr>
            <b/>
            <sz val="9"/>
            <color indexed="81"/>
            <rFont val="Tahoma"/>
            <family val="2"/>
          </rPr>
          <t xml:space="preserve">rosa:
Legalsur:
</t>
        </r>
        <r>
          <rPr>
            <sz val="9"/>
            <color indexed="81"/>
            <rFont val="Tahoma"/>
            <family val="2"/>
          </rPr>
          <t xml:space="preserve">15,75 E: Pago IVA de la Fra: 146 (25/03/19)
</t>
        </r>
      </text>
    </comment>
    <comment ref="AN90" authorId="0" shapeId="0" xr:uid="{00000000-0006-0000-0100-0000DA000000}">
      <text>
        <r>
          <rPr>
            <b/>
            <sz val="9"/>
            <color indexed="81"/>
            <rFont val="Tahoma"/>
            <family val="2"/>
          </rPr>
          <t xml:space="preserve">rosa:
Notaría Rioja:
</t>
        </r>
        <r>
          <rPr>
            <sz val="9"/>
            <color indexed="81"/>
            <rFont val="Tahoma"/>
            <family val="2"/>
          </rPr>
          <t xml:space="preserve">1644 E: Provisión de fondos por escritura de fusión y registro Mercantil
Transferencia Caixa realizada: 13/11/20
</t>
        </r>
      </text>
    </comment>
    <comment ref="AO90" authorId="0" shapeId="0" xr:uid="{00000000-0006-0000-0100-0000DB000000}">
      <text>
        <r>
          <rPr>
            <b/>
            <sz val="9"/>
            <color indexed="81"/>
            <rFont val="Tahoma"/>
            <family val="2"/>
          </rPr>
          <t xml:space="preserve">
KPMG:
</t>
        </r>
        <r>
          <rPr>
            <sz val="9"/>
            <color indexed="81"/>
            <rFont val="Tahoma"/>
            <family val="2"/>
          </rPr>
          <t xml:space="preserve">4258,68 E: Honorarios por servicios de asesoramiento en operación de fusión + gastos
Fra del 27/11/20
Vcmto: 11/12/20
Transferencia realizada el 04/12/20 
</t>
        </r>
        <r>
          <rPr>
            <b/>
            <sz val="9"/>
            <color indexed="81"/>
            <rFont val="Tahoma"/>
            <family val="2"/>
          </rPr>
          <t xml:space="preserve">
KPMG:</t>
        </r>
        <r>
          <rPr>
            <sz val="9"/>
            <color indexed="81"/>
            <rFont val="Tahoma"/>
            <family val="2"/>
          </rPr>
          <t xml:space="preserve">
4235 E: Honorarios a cuenta por servicios de asesoramiento en operación de fusión
Fra del 30/07/20
Ok ALF para el pago, enviarán nueva fra
Realizar transferencia: 
Info ALF 04/12/20: Esperar a que llegue fra correcta
Tenemos fra del 09/12/20
Vcmto: 23/12/20
Transferencia realizada el 16/12/20 </t>
        </r>
      </text>
    </comment>
    <comment ref="AQ90" authorId="0" shapeId="0" xr:uid="{00000000-0006-0000-0100-0000DC000000}">
      <text>
        <r>
          <rPr>
            <b/>
            <sz val="9"/>
            <color indexed="81"/>
            <rFont val="Tahoma"/>
            <family val="2"/>
          </rPr>
          <t xml:space="preserve">Info Alberto 29/01/21:
</t>
        </r>
        <r>
          <rPr>
            <sz val="9"/>
            <color indexed="81"/>
            <rFont val="Tahoma"/>
            <family val="2"/>
          </rPr>
          <t xml:space="preserve">
Legalsur: Servicios legales NixAl.  </t>
        </r>
        <r>
          <rPr>
            <b/>
            <sz val="9"/>
            <color indexed="81"/>
            <rFont val="Tahoma"/>
            <family val="2"/>
          </rPr>
          <t xml:space="preserve">
</t>
        </r>
        <r>
          <rPr>
            <sz val="9"/>
            <color indexed="81"/>
            <rFont val="Tahoma"/>
            <family val="2"/>
          </rPr>
          <t>1083,46 E: Fra: 44 (29/01/21)
Realizar transferencia: 01/02/21
Transferencia Caixa realizada el 03/02/21
Anotado previsión por 1000 E.
----------------------------------
Notaría Rioja:
Fra Nº: 1283 (10/11/2020) (CIF anterior Nixal):
844,34 E: Gastos de notaría + gestión
Fra Nº: D/2020/13829 (11/12/20) (CIF Nixal correcto):
647,74 E: Registro mercantil
-1644 E: Devolución Provisión de fondos por escritura de fusión y registro Mercantil  pagada el 13/11/20
151,92 E: Talón entregado a ALF el 01/02/21 pndte de ingresar en Caixa
Ingresado en Caixa: 05/02/21
----------------------------------------
Notaría Pablo Gutiérrez-Alviz:
700 E: Provisión de fondos por escritura de constitución de SL otorgada por NIXAL AGRI S.L, con núm. 753/2.021 de protocolo 
Transferencia Caixa realizada: 26/02/21
-----------------------------------------
Notaría Pablo Gutiérrez-Alviz:
525 E: Provisión de fondos por escritura de revocación y otorgamiento de poder otorgada por NIXAL COMMODITIES SL, con núm. 5647/2.020 de protocolo.
Transferencia Caixa realizada: 26/02/21</t>
        </r>
      </text>
    </comment>
    <comment ref="AU90" authorId="2" shapeId="0" xr:uid="{7DD04667-6B99-417D-89A1-D25E01A7947B}">
      <text>
        <r>
          <rPr>
            <sz val="9"/>
            <color indexed="81"/>
            <rFont val="Tahoma"/>
            <family val="2"/>
          </rPr>
          <t xml:space="preserve">
810,40 Eur: Tinsa. 
Tenemos prepuesto del 16/06/21 y fra del 25/06/21.
Presupuesto tasacion vivienda. 
Transferencia realizada el 16/06/21.</t>
        </r>
      </text>
    </comment>
    <comment ref="AV90" authorId="2" shapeId="0" xr:uid="{A333A600-0141-47B6-BB0A-CB45C2CAA06C}">
      <text>
        <r>
          <rPr>
            <sz val="9"/>
            <color indexed="81"/>
            <rFont val="Tahoma"/>
            <family val="2"/>
          </rPr>
          <t>229,90€: Fra de C evalua- Javier casado Sola. 
Fra del 13/07/21.
Transferncia realizada el 14/07/21 desde caixa nixal. 
-----------------------------------------------------------------</t>
        </r>
      </text>
    </comment>
    <comment ref="AW90" authorId="2" shapeId="0" xr:uid="{C421462D-F2F3-4373-9864-DE92B304BCBD}">
      <text>
        <r>
          <rPr>
            <sz val="9"/>
            <color indexed="81"/>
            <rFont val="Tahoma"/>
            <family val="2"/>
          </rPr>
          <t xml:space="preserve">484 €: Legal Sur.
Fra del 28/07/21. 
Revisión escrituras compraventa del inmueble. </t>
        </r>
        <r>
          <rPr>
            <b/>
            <sz val="9"/>
            <color indexed="81"/>
            <rFont val="Tahoma"/>
            <family val="2"/>
          </rPr>
          <t xml:space="preserve">
</t>
        </r>
        <r>
          <rPr>
            <sz val="9"/>
            <color indexed="81"/>
            <rFont val="Tahoma"/>
            <family val="2"/>
          </rPr>
          <t>Transferencia realizada el 05/08/21.</t>
        </r>
      </text>
    </comment>
    <comment ref="BB90" authorId="2" shapeId="0" xr:uid="{7E0C8B99-E050-47EA-B618-75ED3BB724F3}">
      <text>
        <r>
          <rPr>
            <b/>
            <sz val="9"/>
            <color indexed="81"/>
            <rFont val="Tahoma"/>
            <family val="2"/>
          </rPr>
          <t xml:space="preserve">Fra Notaria Pablo Gutierrez Alviz.
</t>
        </r>
        <r>
          <rPr>
            <sz val="9"/>
            <color indexed="81"/>
            <rFont val="Tahoma"/>
            <family val="2"/>
          </rPr>
          <t xml:space="preserve">Fra del 22/07/21. 
Compraventa inmueble: 241,88€. 
TRansferencia realizada desde Caixa MDZ el 17/11/21.
241,88€: Traspaso de Nixal a Molino el 23/12/21 ya que esta fra pertenece a Nixal
363€: </t>
        </r>
        <r>
          <rPr>
            <b/>
            <sz val="9"/>
            <color indexed="81"/>
            <rFont val="Tahoma"/>
            <family val="2"/>
          </rPr>
          <t>Legal Sur.</t>
        </r>
        <r>
          <rPr>
            <sz val="9"/>
            <color indexed="81"/>
            <rFont val="Tahoma"/>
            <family val="2"/>
          </rPr>
          <t xml:space="preserve">
Fra del 21/12/21. 
Honorarios por servicios de asesoramiento en relación con préstamo participativo con comunidad de bienes de Hnos Carmona Bosch
Transferencia Caixa realizada el 24/12/21.</t>
        </r>
      </text>
    </comment>
    <comment ref="BC90" authorId="2" shapeId="0" xr:uid="{0D1BD81E-865B-4911-B48F-45288E0D953B}">
      <text>
        <r>
          <rPr>
            <sz val="9"/>
            <color indexed="81"/>
            <rFont val="Tahoma"/>
            <family val="2"/>
          </rPr>
          <t xml:space="preserve">302,50€: </t>
        </r>
        <r>
          <rPr>
            <b/>
            <sz val="9"/>
            <color indexed="81"/>
            <rFont val="Tahoma"/>
            <family val="2"/>
          </rPr>
          <t>Legal Sur.</t>
        </r>
        <r>
          <rPr>
            <sz val="9"/>
            <color indexed="81"/>
            <rFont val="Tahoma"/>
            <family val="2"/>
          </rPr>
          <t xml:space="preserve">
Fra del 25/01/22. 
Preparación de adendum al Consultancy Services Agreement entre Nixal y Enviral
Acta y certificados nuevos en relación con adquisición del inmueble en Rep. Argentina.
Transferencia Caixa realizada el 31/01/22
</t>
        </r>
      </text>
    </comment>
    <comment ref="BF90" authorId="2" shapeId="0" xr:uid="{9CD5A85F-0C40-41F5-962A-D876BACD366E}">
      <text>
        <r>
          <rPr>
            <sz val="9"/>
            <color indexed="81"/>
            <rFont val="Tahoma"/>
            <family val="2"/>
          </rPr>
          <t xml:space="preserve">242€: </t>
        </r>
        <r>
          <rPr>
            <b/>
            <sz val="9"/>
            <color indexed="81"/>
            <rFont val="Tahoma"/>
            <family val="2"/>
          </rPr>
          <t>Legal Sur.</t>
        </r>
        <r>
          <rPr>
            <sz val="9"/>
            <color indexed="81"/>
            <rFont val="Tahoma"/>
            <family val="2"/>
          </rPr>
          <t xml:space="preserve">
Fra del 25/03/22. 
Honorarios por servicios de revisión de Agency Agreement con Czarnikow Group. 
Pndte transferencia Caixa 
Transferencia Caixa realizada el 01/04/22</t>
        </r>
      </text>
    </comment>
    <comment ref="BG90" authorId="2" shapeId="0" xr:uid="{419589D6-02D9-4881-A1E4-6F36064E604E}">
      <text>
        <r>
          <rPr>
            <sz val="9"/>
            <color indexed="81"/>
            <rFont val="Tahoma"/>
            <family val="2"/>
          </rPr>
          <t>605€: Legal Sur.
Fra del 24/05/22. 
Honorarios por servicios de asesoramiento en relación a: 
Modificaciones al Agency Agreement entre Nixal y Czarnikow.
Borrador inicial de código de conducta y de código de prácticas y medidas anti corrupción. 
Pndte transferencia Caixa 
605€: Transferencia Caixa realizada el 26/05/22.</t>
        </r>
      </text>
    </comment>
    <comment ref="BL90" authorId="0" shapeId="0" xr:uid="{6A529A00-8FF7-4187-9D66-91E2B1C85B50}">
      <text>
        <r>
          <rPr>
            <b/>
            <sz val="9"/>
            <color indexed="81"/>
            <rFont val="Tahoma"/>
            <family val="2"/>
          </rPr>
          <t xml:space="preserve">
KPMG:
</t>
        </r>
        <r>
          <rPr>
            <sz val="9"/>
            <color indexed="81"/>
            <rFont val="Tahoma"/>
            <family val="2"/>
          </rPr>
          <t xml:space="preserve">1905,75: Análisis fiscal de la cesión parcial del inmueble para su utilización como vivienda
Fra del 26/07/22
Vcmto: 09/08/22 
Enviada por ALF el 15/09/22
Transferencia Caixa realizada el 16/09/22 
</t>
        </r>
        <r>
          <rPr>
            <b/>
            <sz val="9"/>
            <color indexed="81"/>
            <rFont val="Tahoma"/>
            <family val="2"/>
          </rPr>
          <t xml:space="preserve">
</t>
        </r>
      </text>
    </comment>
    <comment ref="BO90" authorId="0" shapeId="0" xr:uid="{3F7C07AE-D5B9-42B2-BBB8-E66821A7510C}">
      <text>
        <r>
          <rPr>
            <b/>
            <sz val="9"/>
            <color indexed="81"/>
            <rFont val="Tahoma"/>
            <family val="2"/>
          </rPr>
          <t xml:space="preserve">
Lamaignere Cargo: (Agente de Aduanas)
</t>
        </r>
        <r>
          <rPr>
            <sz val="9"/>
            <color indexed="81"/>
            <rFont val="Tahoma"/>
            <family val="2"/>
          </rPr>
          <t xml:space="preserve">160,93: Cesión Documentos FEDEX
Tramitación Sanidad y Aduanas
Fra del 22/12/22
Transferencia Caixa realizada el 22/12/22 
</t>
        </r>
        <r>
          <rPr>
            <b/>
            <sz val="9"/>
            <color indexed="81"/>
            <rFont val="Tahoma"/>
            <family val="2"/>
          </rPr>
          <t xml:space="preserve">
</t>
        </r>
      </text>
    </comment>
    <comment ref="BP90" authorId="2" shapeId="0" xr:uid="{A7A6553E-94D7-46E4-9A71-93798C0AE954}">
      <text>
        <r>
          <rPr>
            <sz val="9"/>
            <color indexed="81"/>
            <rFont val="Tahoma"/>
            <family val="2"/>
          </rPr>
          <t>1427,13€: LegalSur.
Fra del 30/01/23. 
Honorarios por servicios de asesoramiento en relación a: 
Escrituras
Pndte transferencia Caixa 
1427,13€: Transferencia Caixa realizada el 31/01/23</t>
        </r>
      </text>
    </comment>
    <comment ref="BQ90" authorId="2" shapeId="0" xr:uid="{BC09E159-EB53-4A58-8404-0F1964FDBF8C}">
      <text>
        <r>
          <rPr>
            <sz val="9"/>
            <color indexed="81"/>
            <rFont val="Tahoma"/>
            <family val="2"/>
          </rPr>
          <t>145,89€: Aranguren y Guajardo-Fajardo CB.
Fra: A / 00448 del 30/01/23. 
Honorarios y Suplidos Nixal
145,89€: Transferencia Caixa realizada el 24/02/23
-------------------------------------
268,78€: Aranguren y Guajardo-Fajardo CB.
Fra: P / 00460 del 15/07/22. 
Honorarios y Suplidos contrato Arrendamiento financiero
268,78€: Transferencia Caixa realizada el 24/02/23
------------------------------------
501,89€: Aranguren y Guajardo-Fajardo CB.
Fra: P / 00825 del 05/12/22. 
Honorarios y Suplidos Préstamos, créditos y descuentos con afianzamiento
501,89€: Transferencia Caixa realizada el 24/02/23</t>
        </r>
      </text>
    </comment>
    <comment ref="BR90" authorId="2" shapeId="0" xr:uid="{7EB5F671-621D-44E7-B97B-3590869B7166}">
      <text>
        <r>
          <rPr>
            <sz val="9"/>
            <color indexed="81"/>
            <rFont val="Tahoma"/>
            <family val="2"/>
          </rPr>
          <t>307,91€: Aranguren y Guajardo-Fajardo CB.
Fra: P / 00249 del 27/03/2023. 
Honorarios y Suplidos Préstamos, créditos y descuentos con afianzamiento
307,91€: Transferencia Caixa realizada el 30/03/23</t>
        </r>
      </text>
    </comment>
    <comment ref="BZ90" authorId="2" shapeId="0" xr:uid="{97CB2FA6-2929-434C-A752-F6061C6DBC60}">
      <text>
        <r>
          <rPr>
            <b/>
            <sz val="9"/>
            <color indexed="81"/>
            <rFont val="Tahoma"/>
            <family val="2"/>
          </rPr>
          <t xml:space="preserve">Fra Notario Aranguren del 03/07/23.
</t>
        </r>
        <r>
          <rPr>
            <sz val="9"/>
            <color indexed="81"/>
            <rFont val="Tahoma"/>
            <family val="2"/>
          </rPr>
          <t xml:space="preserve">Servicios: 135,59€. 
Transferencia realizada el 27/10/23.
--------------------------------
Fra Notario Arturo Otero López-Cubero del 27/09/23.
Servicios: 307,56€. 
Pagado VISA Alberto: 27/09/23 
-------------------
Fra Notario Arturo Otero López-Cubero del 27/09/23.
Servicios: 310,09€. 
Pagado VISA Alberto: 27/09/23
-----------------------
Fra Notario Arturo Otero López-Cubero del 27/09/23.
Servicios: 307,56€. 
Pagado VISA Alberto: 27/09/23 </t>
        </r>
      </text>
    </comment>
    <comment ref="CA90" authorId="0" shapeId="0" xr:uid="{86F9B8AE-FC3D-4202-B707-43EC9E20677C}">
      <text>
        <r>
          <rPr>
            <b/>
            <sz val="9"/>
            <color indexed="81"/>
            <rFont val="Tahoma"/>
            <family val="2"/>
          </rPr>
          <t>478,86€: Cargo liquidación Notarios 
Cargado Bankinter: 10/11/23</t>
        </r>
        <r>
          <rPr>
            <sz val="9"/>
            <color indexed="81"/>
            <rFont val="Tahoma"/>
            <family val="2"/>
          </rPr>
          <t xml:space="preserve">
Pndte solicitar docu al banco </t>
        </r>
      </text>
    </comment>
    <comment ref="CF90" authorId="2" shapeId="0" xr:uid="{7AC6679E-B838-4D84-984A-F12A15DB2455}">
      <text>
        <r>
          <rPr>
            <b/>
            <sz val="9"/>
            <color indexed="81"/>
            <rFont val="Tahoma"/>
            <family val="2"/>
          </rPr>
          <t>121€: LegalSur.</t>
        </r>
        <r>
          <rPr>
            <sz val="9"/>
            <color indexed="81"/>
            <rFont val="Tahoma"/>
            <family val="2"/>
          </rPr>
          <t xml:space="preserve">
Fra del 25/10/23. 
Honorarios por servicios de asesoramiento en relación a: 
Revisión de determinados documentos enviados por Bankinter 
121€: Pndte transferencia Caixa
-------------------------------------------
</t>
        </r>
      </text>
    </comment>
    <comment ref="CI90" authorId="2" shapeId="0" xr:uid="{DA1975D1-4FFC-4651-9AC6-318A072CA04A}">
      <text>
        <r>
          <rPr>
            <b/>
            <sz val="9"/>
            <color indexed="81"/>
            <rFont val="Tahoma"/>
            <family val="2"/>
          </rPr>
          <t>514,57€: Fco Javier López Cano.</t>
        </r>
        <r>
          <rPr>
            <sz val="9"/>
            <color indexed="81"/>
            <rFont val="Tahoma"/>
            <family val="2"/>
          </rPr>
          <t xml:space="preserve">
Fra del 05/12/23. 
Intervención notarial de póliza de 150k Eur prestados por Alberto a NixAl.
514,57€: Transf. Caixa realizada el 15/03/24
VENCIMIENTO EL 10/07/24.</t>
        </r>
      </text>
    </comment>
    <comment ref="B91" authorId="1" shapeId="0" xr:uid="{2A8A0FA4-D1FC-40BD-A700-269305F092FD}">
      <text>
        <r>
          <rPr>
            <b/>
            <sz val="9"/>
            <color indexed="81"/>
            <rFont val="Tahoma"/>
            <family val="2"/>
          </rPr>
          <t>alfonso:</t>
        </r>
        <r>
          <rPr>
            <sz val="9"/>
            <color indexed="81"/>
            <rFont val="Tahoma"/>
            <family val="2"/>
          </rPr>
          <t xml:space="preserve">
Certificado de sostenibilidad para comercializar con Alcohol sostenible.</t>
        </r>
      </text>
    </comment>
    <comment ref="AT91" authorId="1" shapeId="0" xr:uid="{7C952C95-F1D2-4351-8E19-7507AFEA3935}">
      <text>
        <r>
          <rPr>
            <b/>
            <sz val="9"/>
            <color indexed="81"/>
            <rFont val="Tahoma"/>
            <family val="2"/>
          </rPr>
          <t>alfonso:</t>
        </r>
        <r>
          <rPr>
            <sz val="9"/>
            <color indexed="81"/>
            <rFont val="Tahoma"/>
            <family val="2"/>
          </rPr>
          <t xml:space="preserve">
1800 + iva para formación del equipo
Fra C 21000286 (12/05/21) : 2178 EUR
Transferencia realizada el 12/05/21.</t>
        </r>
      </text>
    </comment>
    <comment ref="AU91" authorId="1" shapeId="0" xr:uid="{9E788422-96A0-4507-B533-FA9FAA373B76}">
      <text>
        <r>
          <rPr>
            <b/>
            <sz val="9"/>
            <color indexed="81"/>
            <rFont val="Tahoma"/>
            <family val="2"/>
          </rPr>
          <t>Prevision alfonso:</t>
        </r>
        <r>
          <rPr>
            <sz val="9"/>
            <color indexed="81"/>
            <rFont val="Tahoma"/>
            <family val="2"/>
          </rPr>
          <t xml:space="preserve">
2800 + iva de auditoría inicial más otra a los 6 meses (solo el primer año)
----------------------------------
Control Union
2783 Eur: Fra del 08/06/21.
Auditoria. 
Transferncia realizada el 08/06/21.</t>
        </r>
      </text>
    </comment>
    <comment ref="BB91" authorId="1" shapeId="0" xr:uid="{1AA3076F-F458-40E3-978C-0C9F0F59BEF9}">
      <text>
        <r>
          <rPr>
            <sz val="9"/>
            <color indexed="81"/>
            <rFont val="Tahoma"/>
            <family val="2"/>
          </rPr>
          <t>Control Union
500+IVA 21%= 605€: Fra del 14/12/21.
Auditoria semestral 2021. 
Realizar Transferencia: Antes del 13/01/22
Transferencia Caixa realizada el 30/12/21</t>
        </r>
      </text>
    </comment>
    <comment ref="BG91" authorId="1" shapeId="0" xr:uid="{F5F024E4-63C2-4379-B4A4-01DFFA833786}">
      <text>
        <r>
          <rPr>
            <b/>
            <sz val="9"/>
            <color indexed="81"/>
            <rFont val="Tahoma"/>
            <family val="2"/>
          </rPr>
          <t>alfonso:</t>
        </r>
        <r>
          <rPr>
            <sz val="9"/>
            <color indexed="81"/>
            <rFont val="Tahoma"/>
            <family val="2"/>
          </rPr>
          <t xml:space="preserve">
auditoría anual 1500+iva
---------------------------------
Control Union
2783€: Fra del 22/05/22
Auditoria. 
Vncmto: Transferencia a 30 días, antes del 21/06/22
Transferencia Caixa realizada el 26/05/22.</t>
        </r>
      </text>
    </comment>
    <comment ref="CD91" authorId="1" shapeId="0" xr:uid="{94067413-A868-4FD8-9571-715540107845}">
      <text>
        <r>
          <rPr>
            <b/>
            <sz val="9"/>
            <color indexed="81"/>
            <rFont val="Tahoma"/>
            <family val="2"/>
          </rPr>
          <t>alfonso:</t>
        </r>
        <r>
          <rPr>
            <sz val="9"/>
            <color indexed="81"/>
            <rFont val="Tahoma"/>
            <family val="2"/>
          </rPr>
          <t xml:space="preserve">
auditoría anual 1500+iva
+400€ Management Fees
+400€ Fees ISCC
----------------------
Control Union
2783€: Fra del 23/05/23
Auditoria. 
Vncmto: Preguntado si es transferencia a 30 días igual que el año pasado
RE Alberto: Esperar a 30 días ya que le mandan sólo a él la RE
02 y 15/06/23: Reclamado pago a Alberto
06/07/23: OK Alberto pagar el 17/07/23, confirmar antes de pagar con Alberto
Info Alberto 14/09/23: Pago previsto: 1º semana de octubre
2783 E: Transferencia realizada el 13/10/23.
VENCIMIENTO EL 07/02/24.
Cargado Caixa: 07/02/24</t>
        </r>
      </text>
    </comment>
    <comment ref="AM92" authorId="0" shapeId="0" xr:uid="{00000000-0006-0000-0100-0000DE000000}">
      <text>
        <r>
          <rPr>
            <b/>
            <sz val="9"/>
            <color indexed="81"/>
            <rFont val="Tahoma"/>
            <family val="2"/>
          </rPr>
          <t>rosa:</t>
        </r>
        <r>
          <rPr>
            <sz val="9"/>
            <color indexed="81"/>
            <rFont val="Tahoma"/>
            <family val="2"/>
          </rPr>
          <t xml:space="preserve">
ICE 3544 USD/año
Pagado a través de Ebury el 14/10/20 (DEL SALDO EN CUENTA DE EBURY EN DOLARES)</t>
        </r>
      </text>
    </comment>
    <comment ref="AZ92" authorId="0" shapeId="0" xr:uid="{0C4B9ADC-B14B-478F-B6C1-DBA604BB753F}">
      <text>
        <r>
          <rPr>
            <sz val="9"/>
            <color indexed="81"/>
            <rFont val="Tahoma"/>
            <family val="2"/>
          </rPr>
          <t>ICE 3738 USD/año
Pagado a través de VFX el 25/10/21
Tc: 1,1606</t>
        </r>
      </text>
    </comment>
    <comment ref="BM92" authorId="0" shapeId="0" xr:uid="{B07849EC-46E2-47F9-807B-14E612EFCF84}">
      <text>
        <r>
          <rPr>
            <sz val="9"/>
            <color indexed="81"/>
            <rFont val="Tahoma"/>
            <family val="2"/>
          </rPr>
          <t>ICE 3924 USD/año
Pagar a través de VFX el 25/10/22
Transferencia realizada desde VFX USD el 26/10/22
Tc: 0,9960</t>
        </r>
      </text>
    </comment>
    <comment ref="CA92" authorId="1" shapeId="0" xr:uid="{8550EF6E-F527-4004-AE24-07F2733477BD}">
      <text>
        <r>
          <rPr>
            <b/>
            <sz val="9"/>
            <color indexed="81"/>
            <rFont val="Tahoma"/>
            <family val="2"/>
          </rPr>
          <t>alfonso:</t>
        </r>
        <r>
          <rPr>
            <sz val="9"/>
            <color indexed="81"/>
            <rFont val="Tahoma"/>
            <family val="2"/>
          </rPr>
          <t xml:space="preserve">
ICE previsión 4000
Fra ICE (06/10/23): 4179 USD/año
Vcmto: 05/11/23
Ok Alberto pagar a través de VFX a vcmto
Transf. Realizada Cta VFX: 02/11/23
Tc: 1,0815</t>
        </r>
      </text>
    </comment>
    <comment ref="CN92" authorId="1" shapeId="0" xr:uid="{E94D81F8-D6EE-4976-9D5A-D90854151564}">
      <text>
        <r>
          <rPr>
            <b/>
            <sz val="9"/>
            <color indexed="81"/>
            <rFont val="Tahoma"/>
            <family val="2"/>
          </rPr>
          <t>alfonso:</t>
        </r>
        <r>
          <rPr>
            <sz val="9"/>
            <color indexed="81"/>
            <rFont val="Tahoma"/>
            <family val="2"/>
          </rPr>
          <t xml:space="preserve">
ICE previsión 4000</t>
        </r>
      </text>
    </comment>
    <comment ref="DA92" authorId="1" shapeId="0" xr:uid="{955B6A52-9A66-45F1-BB00-E245F16DF613}">
      <text>
        <r>
          <rPr>
            <b/>
            <sz val="9"/>
            <color indexed="81"/>
            <rFont val="Tahoma"/>
            <family val="2"/>
          </rPr>
          <t>alfonso:</t>
        </r>
        <r>
          <rPr>
            <sz val="9"/>
            <color indexed="81"/>
            <rFont val="Tahoma"/>
            <family val="2"/>
          </rPr>
          <t xml:space="preserve">
ICE previsión 4000</t>
        </r>
      </text>
    </comment>
    <comment ref="Q93" authorId="5" shapeId="0" xr:uid="{00000000-0006-0000-0100-0000DF000000}">
      <text>
        <r>
          <rPr>
            <b/>
            <sz val="9"/>
            <color indexed="81"/>
            <rFont val="Tahoma"/>
            <family val="2"/>
          </rPr>
          <t>Alberto:</t>
        </r>
        <r>
          <rPr>
            <sz val="9"/>
            <color indexed="81"/>
            <rFont val="Tahoma"/>
            <family val="2"/>
          </rPr>
          <t xml:space="preserve">
SCI</t>
        </r>
      </text>
    </comment>
    <comment ref="X93" authorId="3" shapeId="0" xr:uid="{00000000-0006-0000-0100-0000E0000000}">
      <text>
        <r>
          <rPr>
            <b/>
            <sz val="9"/>
            <color indexed="81"/>
            <rFont val="Tahoma"/>
            <family val="2"/>
          </rPr>
          <t>Alberto Carmona:</t>
        </r>
        <r>
          <rPr>
            <sz val="9"/>
            <color indexed="81"/>
            <rFont val="Tahoma"/>
            <family val="2"/>
          </rPr>
          <t xml:space="preserve">
OPIS (4260-610) USD = 3432,03 (exacto entrado en banco)
+TRS 1200 USD/año / 1,1= 1090,91
 (fras enviadas a sinver con agosto y pagada por alberto. Pago realizado a Alberto en sept y pasado con conta de sept.)</t>
        </r>
      </text>
    </comment>
    <comment ref="AA93" authorId="0" shapeId="0" xr:uid="{00000000-0006-0000-0100-0000E1000000}">
      <text>
        <r>
          <rPr>
            <b/>
            <sz val="9"/>
            <color indexed="81"/>
            <rFont val="Tahoma"/>
            <family val="2"/>
          </rPr>
          <t>rosa:</t>
        </r>
        <r>
          <rPr>
            <sz val="9"/>
            <color indexed="81"/>
            <rFont val="Tahoma"/>
            <family val="2"/>
          </rPr>
          <t xml:space="preserve">
SCI Pago Fra a través de E-Bury el 17/12/19</t>
        </r>
      </text>
    </comment>
    <comment ref="AH93" authorId="3" shapeId="0" xr:uid="{00000000-0006-0000-0100-0000E2000000}">
      <text>
        <r>
          <rPr>
            <b/>
            <sz val="9"/>
            <color indexed="81"/>
            <rFont val="Tahoma"/>
            <family val="2"/>
          </rPr>
          <t>Alberto Carmona:</t>
        </r>
        <r>
          <rPr>
            <sz val="9"/>
            <color indexed="81"/>
            <rFont val="Tahoma"/>
            <family val="2"/>
          </rPr>
          <t xml:space="preserve">
TRS 1200 USD/año
Pagado a través de Ebury el 04/06/20 (DEL SALDO EN CUENTA DE EBURY EN DOLARES)</t>
        </r>
      </text>
    </comment>
    <comment ref="AL93" authorId="3" shapeId="0" xr:uid="{00000000-0006-0000-0100-0000E3000000}">
      <text>
        <r>
          <rPr>
            <b/>
            <sz val="9"/>
            <color indexed="81"/>
            <rFont val="Tahoma"/>
            <family val="2"/>
          </rPr>
          <t>Alberto Carmona:</t>
        </r>
        <r>
          <rPr>
            <sz val="9"/>
            <color indexed="81"/>
            <rFont val="Tahoma"/>
            <family val="2"/>
          </rPr>
          <t xml:space="preserve">
Opis estimado: 3500 USD
OPIS 3650 USD/año
Pagado a través de Ebury el 17/09/20 (DEL SALDO EN CUENTA DE EBURY EN DOLARES)
1280 USD: SCI Informe adicional
Pago Fra a través de Ebury el 17/09/20 (DEL SALDO EN CUENTA DE EBURY EN DOLARES 350 USD y 930 USD comprado a Ebury desde Caixa= 794,64 E)</t>
        </r>
      </text>
    </comment>
    <comment ref="AO93" authorId="0" shapeId="0" xr:uid="{00000000-0006-0000-0100-0000E4000000}">
      <text>
        <r>
          <rPr>
            <b/>
            <sz val="9"/>
            <color indexed="81"/>
            <rFont val="Tahoma"/>
            <family val="2"/>
          </rPr>
          <t>rosa:</t>
        </r>
        <r>
          <rPr>
            <sz val="9"/>
            <color indexed="81"/>
            <rFont val="Tahoma"/>
            <family val="2"/>
          </rPr>
          <t xml:space="preserve">
SCI Pago Fra a través de Caixa el 04/12/20
1552,15€ (1830 USD/1,21180015+42€)
-Devolución del 50% de la comisión por transferencia a SCI: -13,50 E.
-Devolución de la comisión por SWIFT de la transferencia a SCI: -15 E.</t>
        </r>
      </text>
    </comment>
    <comment ref="AQ93" authorId="3" shapeId="0" xr:uid="{00000000-0006-0000-0100-0000E5000000}">
      <text>
        <r>
          <rPr>
            <b/>
            <sz val="9"/>
            <color indexed="81"/>
            <rFont val="Tahoma"/>
            <family val="2"/>
          </rPr>
          <t>Info Alberto Carmona 12/01/21:</t>
        </r>
        <r>
          <rPr>
            <sz val="9"/>
            <color indexed="81"/>
            <rFont val="Tahoma"/>
            <family val="2"/>
          </rPr>
          <t xml:space="preserve">
FO Licht: Suscripciones para febrero 8000 USD
Invoice No: 91272395 (13/01/21)
Pealizar pago: Antes del 12/02/21
6000 USD: Transf. Caixa Cta USD realizada el 03/02/21
+ 36 USD Comisión por transferencia (0,60%).
+18,03 USD: Comisión por SWIFT 
2000 USD: Transf. Caixa Cta Euros realizada el 03/02/21
1717,42 E: (2000 USD/1,1748+15)
-18,03 USD: Devolución Comisión por SWIFT 
Abonado Caixa USD: 09/02/21
-21 USD: Devolución Comisión 
Abonado Caixa USD: 09/02/21
</t>
        </r>
      </text>
    </comment>
    <comment ref="AU93" authorId="1" shapeId="0" xr:uid="{00000000-0006-0000-0100-0000E6000000}">
      <text>
        <r>
          <rPr>
            <b/>
            <sz val="9"/>
            <color indexed="81"/>
            <rFont val="Tahoma"/>
            <family val="2"/>
          </rPr>
          <t>Previsión alfonso:</t>
        </r>
        <r>
          <rPr>
            <sz val="9"/>
            <color indexed="81"/>
            <rFont val="Tahoma"/>
            <family val="2"/>
          </rPr>
          <t xml:space="preserve">
1200 USD TRS
--------------------------
TRS Tropicx Capital
Fra del 01/06/21 : 1.200 USD. 
Transferencia realizada desde caixa USD el 02/06/21. 
</t>
        </r>
      </text>
    </comment>
    <comment ref="AV93" authorId="2" shapeId="0" xr:uid="{BBFB1E7A-74F4-4CFB-A195-5908A486D1A4}">
      <text>
        <r>
          <rPr>
            <sz val="9"/>
            <color indexed="81"/>
            <rFont val="Tahoma"/>
            <family val="2"/>
          </rPr>
          <t xml:space="preserve">3.650 USD: Fra OPIS del 09/07/21.
Transferencia realizada el 13/07/21 mediante VFX. </t>
        </r>
      </text>
    </comment>
    <comment ref="AY93" authorId="2" shapeId="0" xr:uid="{7BE439A3-947C-45E3-8E3A-2654896CDCF3}">
      <text>
        <r>
          <rPr>
            <sz val="9"/>
            <color indexed="81"/>
            <rFont val="Tahoma"/>
            <family val="2"/>
          </rPr>
          <t>SCI Pago Fra a través de VFX el 23/09/21.
Markt intel: 3.410 USD
Tc: 1,1767</t>
        </r>
      </text>
    </comment>
    <comment ref="BD93" authorId="1" shapeId="0" xr:uid="{6E325B7A-EA3B-49E4-8FBA-78FBD5933CA0}">
      <text>
        <r>
          <rPr>
            <b/>
            <sz val="9"/>
            <color indexed="81"/>
            <rFont val="Tahoma"/>
            <family val="2"/>
          </rPr>
          <t>alfonso:</t>
        </r>
        <r>
          <rPr>
            <sz val="9"/>
            <color indexed="81"/>
            <rFont val="Tahoma"/>
            <family val="2"/>
          </rPr>
          <t xml:space="preserve">
FO Licht: Suscripciones para febrero 8000 USD
Invoice No: 91547818 (13/01/22)
Pealizar pago: Antes del 12/02/22
Transferencia realizada desde VFX el 08/02/22
Tc: 1,1385</t>
        </r>
      </text>
    </comment>
    <comment ref="BE93" authorId="1" shapeId="0" xr:uid="{034B6202-0235-4087-BB77-F053AE0ADCF0}">
      <text>
        <r>
          <rPr>
            <sz val="9"/>
            <color indexed="81"/>
            <rFont val="Tahoma"/>
            <family val="2"/>
          </rPr>
          <t xml:space="preserve">ISO: Suscripciones 2022 -International Sugar Organization 
Invoice No: 2022-484 (10/03/22)
Ok Alberto realizar pago
Transferencia Caixa realizada el 24/03/22
</t>
        </r>
      </text>
    </comment>
    <comment ref="BH93" authorId="1" shapeId="0" xr:uid="{ECFE18BA-DD0B-42C8-B4E1-9526A12AECCF}">
      <text>
        <r>
          <rPr>
            <b/>
            <sz val="9"/>
            <color indexed="81"/>
            <rFont val="Tahoma"/>
            <family val="2"/>
          </rPr>
          <t>Previsión alfonso:</t>
        </r>
        <r>
          <rPr>
            <sz val="9"/>
            <color indexed="81"/>
            <rFont val="Tahoma"/>
            <family val="2"/>
          </rPr>
          <t xml:space="preserve">
1200 USD TRS
--------------------------
TRS Tropicx Capital
Fra del 31/05/22 : 1.230 USD. 
Transferencia realizada desde VFX en USD el 02/06/22. 
Transferencia realizada desde VFX el 06/06/22
Tc: 1,0880
</t>
        </r>
      </text>
    </comment>
    <comment ref="BI93" authorId="2" shapeId="0" xr:uid="{DA4D8442-8264-4D65-8883-6FD99025802A}">
      <text>
        <r>
          <rPr>
            <sz val="9"/>
            <color indexed="81"/>
            <rFont val="Tahoma"/>
            <family val="2"/>
          </rPr>
          <t>3.650 USD OPIS 2021
----------------------------- 
16/03/22: Los datos de facturación y bancarios han cambiado, comprobar cuando llegue fra que está correcta.
3.780 USD: Fra OPIS del 28/06/22.
Vcmto: 28/07/22
Transferencia realizada desde VFX en USD el 21/07/22
Tc: 1,0192</t>
        </r>
      </text>
    </comment>
    <comment ref="BN93" authorId="1" shapeId="0" xr:uid="{A7ED106F-C108-4162-87AC-908A81538A7A}">
      <text>
        <r>
          <rPr>
            <b/>
            <sz val="9"/>
            <color indexed="81"/>
            <rFont val="Tahoma"/>
            <family val="2"/>
          </rPr>
          <t>alfonso:</t>
        </r>
        <r>
          <rPr>
            <sz val="9"/>
            <color indexed="81"/>
            <rFont val="Tahoma"/>
            <family val="2"/>
          </rPr>
          <t xml:space="preserve">
SCI: Previsión 1830 USD
---------------------------
SCI 
Markt intel: 3.410 USD
Fra del 03/11/22
3410 USD: Pago Fra a través de VFX el 04/11/22.
Tc: 0,9907
</t>
        </r>
      </text>
    </comment>
    <comment ref="BO93" authorId="1" shapeId="0" xr:uid="{9F6669DB-55E0-4EF9-B9E8-AF890047B3F9}">
      <text>
        <r>
          <rPr>
            <sz val="9"/>
            <color indexed="81"/>
            <rFont val="Tahoma"/>
            <family val="2"/>
          </rPr>
          <t>ISO: Suscripciones 2023 -International Sugar Organization 
Invoice No: 2023-484 (14/12/22)
Ok Alberto realizar pago
Transferencia VFX en € realizada el 19/12/22</t>
        </r>
      </text>
    </comment>
    <comment ref="BR93" authorId="1" shapeId="0" xr:uid="{B2266746-F564-4C1D-9EF0-6A7C29E1B653}">
      <text>
        <r>
          <rPr>
            <b/>
            <sz val="9"/>
            <color indexed="81"/>
            <rFont val="Tahoma"/>
            <family val="2"/>
          </rPr>
          <t>alfonso:</t>
        </r>
        <r>
          <rPr>
            <sz val="9"/>
            <color indexed="81"/>
            <rFont val="Tahoma"/>
            <family val="2"/>
          </rPr>
          <t xml:space="preserve">
FO Licht: Suscripciones para febrero 8720 USD
Invoice No: 91825961 (21/02/23)
Realizar pago: Antes del 23/03/23
Transferencia realizada desde VFX en USD el 15/03/23
Tc: 1,0760</t>
        </r>
      </text>
    </comment>
    <comment ref="BU93" authorId="2" shapeId="0" xr:uid="{F27E206B-ADDE-41A4-85DF-AA2F096427AD}">
      <text>
        <r>
          <rPr>
            <sz val="9"/>
            <color indexed="81"/>
            <rFont val="Tahoma"/>
            <family val="2"/>
          </rPr>
          <t>Previsión en junio de 3.780 USD OPIS 
Llega fra en junio por 7.200 USD, reclamado importe por Alberto
Info Alberto 09/10/23: No bajan el importe</t>
        </r>
      </text>
    </comment>
    <comment ref="BY93" authorId="2" shapeId="0" xr:uid="{54632EBE-A068-4955-9816-8FC2973FD394}">
      <text>
        <r>
          <rPr>
            <sz val="9"/>
            <color indexed="81"/>
            <rFont val="Tahoma"/>
            <family val="2"/>
          </rPr>
          <t>Previsión alfonso:
1200 USD TRS Tropic Capital
TRS Tropical Research Services
Fra del 29/05/23: 1.230 USD. 
Realizar Transferencia desde VFX en USD antes del 28/06/23
27/06/23: Info Alberto: Esperar a que nos la reclamen
08/08/23: Solicitada fra con VAT correcto, recibida
Ok Alberto: pagar en 2 semanas
Transferencia realizada desde VFX USD el 01/09/23
Tc: 1,2451
---------------------------------
ISO: Sugar Yearbook 2023 (Softcopy):
Invoice No: 2024-484 (19/09/23)
Ok Alberto realizar pago
Transferencia Cta VFX € realizada el 20/09/23</t>
        </r>
      </text>
    </comment>
    <comment ref="BZ93" authorId="1" shapeId="0" xr:uid="{D49E6E24-52BE-4139-84D6-890911FE5F47}">
      <text>
        <r>
          <rPr>
            <b/>
            <sz val="9"/>
            <color indexed="81"/>
            <rFont val="Tahoma"/>
            <family val="2"/>
          </rPr>
          <t>alfonso:</t>
        </r>
        <r>
          <rPr>
            <sz val="9"/>
            <color indexed="81"/>
            <rFont val="Tahoma"/>
            <family val="2"/>
          </rPr>
          <t xml:space="preserve">
SCI: Previsión Markt intel: 3.410 USD
18/10/23: No renovamos pq el precio sería de 34.100 USD</t>
        </r>
      </text>
    </comment>
    <comment ref="CF93" authorId="1" shapeId="0" xr:uid="{BE35217A-4F15-4834-90DA-3DFB314EBA8C}">
      <text>
        <r>
          <rPr>
            <sz val="9"/>
            <color indexed="81"/>
            <rFont val="Tahoma"/>
            <family val="2"/>
          </rPr>
          <t>FO Licht previsión suscripción 8720 USD
15/01/23: Llega fra por 10.464$, un 20% más que la fra del año pasado
Reclamada por Alberto
Vcmto: Antes del 12/02/24
---------------------------
Info Alberto 24/01/24: Suscripción ARA Storage por 17.892 USD
Esto lo vamos a repercutir a cuatro clientes a partes iguales de 4496 Eur cada uno (Vertex, Bioagra, Panonnia y Verbio)</t>
        </r>
      </text>
    </comment>
    <comment ref="CH93" authorId="1" shapeId="0" xr:uid="{BF204C62-C97A-4495-B5C2-3FC47F0E20B9}">
      <text>
        <r>
          <rPr>
            <b/>
            <sz val="9"/>
            <color indexed="81"/>
            <rFont val="Tahoma"/>
            <family val="2"/>
          </rPr>
          <t>Previsión alfonso:</t>
        </r>
        <r>
          <rPr>
            <sz val="9"/>
            <color indexed="81"/>
            <rFont val="Tahoma"/>
            <family val="2"/>
          </rPr>
          <t xml:space="preserve">
1200 USD TRS Tropicx Capital
</t>
        </r>
      </text>
    </comment>
    <comment ref="CI93" authorId="1" shapeId="0" xr:uid="{571A481D-3A07-4F72-B8D1-36EDB0E9E70A}">
      <text>
        <r>
          <rPr>
            <sz val="9"/>
            <color indexed="81"/>
            <rFont val="Tahoma"/>
            <family val="2"/>
          </rPr>
          <t xml:space="preserve">Previsión ISO: Suscripciones 2023 -International Sugar Organization 
</t>
        </r>
      </text>
    </comment>
    <comment ref="CO93" authorId="1" shapeId="0" xr:uid="{57E147BA-3C5D-4991-A3C4-6AFC4A97AD1C}">
      <text>
        <r>
          <rPr>
            <sz val="9"/>
            <color indexed="81"/>
            <rFont val="Tahoma"/>
            <family val="2"/>
          </rPr>
          <t xml:space="preserve">FO Licht: Previsión 1500
</t>
        </r>
      </text>
    </comment>
    <comment ref="CS93" authorId="1" shapeId="0" xr:uid="{F0395090-BAEC-49C2-8801-370C98960642}">
      <text>
        <r>
          <rPr>
            <b/>
            <sz val="9"/>
            <color indexed="81"/>
            <rFont val="Tahoma"/>
            <family val="2"/>
          </rPr>
          <t>alfonso:</t>
        </r>
        <r>
          <rPr>
            <sz val="9"/>
            <color indexed="81"/>
            <rFont val="Tahoma"/>
            <family val="2"/>
          </rPr>
          <t xml:space="preserve">
FO Licht previsión suscripción 8200</t>
        </r>
      </text>
    </comment>
    <comment ref="CV93" authorId="1" shapeId="0" xr:uid="{C79D0310-3C9D-4E83-BA61-036167B36385}">
      <text>
        <r>
          <rPr>
            <b/>
            <sz val="9"/>
            <color indexed="81"/>
            <rFont val="Tahoma"/>
            <family val="2"/>
          </rPr>
          <t>Previsión alfonso:</t>
        </r>
        <r>
          <rPr>
            <sz val="9"/>
            <color indexed="81"/>
            <rFont val="Tahoma"/>
            <family val="2"/>
          </rPr>
          <t xml:space="preserve">
1200 USD TRS Tropicx Capital
</t>
        </r>
      </text>
    </comment>
    <comment ref="AF94" authorId="0" shapeId="0" xr:uid="{00000000-0006-0000-0100-0000E9000000}">
      <text>
        <r>
          <rPr>
            <b/>
            <sz val="9"/>
            <color indexed="81"/>
            <rFont val="Tahoma"/>
            <family val="2"/>
          </rPr>
          <t>rosa:</t>
        </r>
        <r>
          <rPr>
            <sz val="9"/>
            <color indexed="81"/>
            <rFont val="Tahoma"/>
            <family val="2"/>
          </rPr>
          <t xml:space="preserve">
Movido aquí de feb
2000€: Transferencia realizada el 30/04/20</t>
        </r>
      </text>
    </comment>
    <comment ref="AN94" authorId="0" shapeId="0" xr:uid="{00000000-0006-0000-0100-0000EA000000}">
      <text>
        <r>
          <rPr>
            <b/>
            <sz val="9"/>
            <color indexed="81"/>
            <rFont val="Tahoma"/>
            <family val="2"/>
          </rPr>
          <t>rosa:</t>
        </r>
        <r>
          <rPr>
            <sz val="9"/>
            <color indexed="81"/>
            <rFont val="Tahoma"/>
            <family val="2"/>
          </rPr>
          <t xml:space="preserve">
Energy Census: Fra del 23/11/20:
1500 E: Suscripción de de información de mercado
Analítica: Market Intel
Realizar transferencia Caixa 
Transf. Caixa realizada el 27/11/20</t>
        </r>
      </text>
    </comment>
    <comment ref="AT94" authorId="2" shapeId="0" xr:uid="{6248F406-AC46-4B22-96D9-677534BEA3F1}">
      <text>
        <r>
          <rPr>
            <sz val="9"/>
            <color indexed="81"/>
            <rFont val="Tahoma"/>
            <family val="2"/>
          </rPr>
          <t xml:space="preserve">Agricensus
Fra del 29/04/21: 2.000€.
Suscripción de de información de mercado
Analítica: Market Intel.
Transferencia caixa realizada el 04/05/21. 
----------------------------------------------
Energycensus
Fra del 29/04/21: 1.500€.
Suscripción de de información de mercado
Analítica: Market Intel.
Transferencia caixa realizada el 04/05/21. 
</t>
        </r>
      </text>
    </comment>
    <comment ref="BC94" authorId="2" shapeId="0" xr:uid="{C61ACC81-5E47-4555-9260-0E48F7F1907C}">
      <text>
        <r>
          <rPr>
            <sz val="9"/>
            <color indexed="81"/>
            <rFont val="Tahoma"/>
            <family val="2"/>
          </rPr>
          <t xml:space="preserve">European Gas Hub
Fra del 14/12/21: 240€.
Suscripción del mercado de gas natural
Analítica: Market Intel.
Pagado con VISA: 14/12/21. 
</t>
        </r>
      </text>
    </comment>
    <comment ref="BG94" authorId="2" shapeId="0" xr:uid="{10E7AB50-9CDE-400A-9847-76F3E7BC544E}">
      <text>
        <r>
          <rPr>
            <sz val="9"/>
            <color indexed="81"/>
            <rFont val="Tahoma"/>
            <family val="2"/>
          </rPr>
          <t>Fastmarkets:
Fra del 20/04/22: 1.950€.
Suscripción de de información de mercado
975€: EnergyCensus
975€: AgriCensus
Analítica: Market Intel.
1950€: Realizar transferencia: Antes del 20/05/22
18/05/22: Realizado traspaso desde Caixa a VFX en € para poder pagar esta factura desde VFX
1950€: Transferencia realizada desde VFX en € el 19/05/22</t>
        </r>
      </text>
    </comment>
    <comment ref="BP94" authorId="2" shapeId="0" xr:uid="{DA1CA8A0-61A0-42DD-9DC7-A19392B6C409}">
      <text>
        <r>
          <rPr>
            <sz val="9"/>
            <color indexed="81"/>
            <rFont val="Tahoma"/>
            <family val="2"/>
          </rPr>
          <t xml:space="preserve">European Gas Hub
Fra Pndte: 240€.
Suscripción del mercado de gas natural
Analítica: Market Intel.
Pagado con VISA: 14/12/22. 
Cargado: 05/01/23
</t>
        </r>
      </text>
    </comment>
    <comment ref="BT94" authorId="2" shapeId="0" xr:uid="{F0A5799B-E37C-4634-BA84-A1ADCA7D036C}">
      <text>
        <r>
          <rPr>
            <sz val="9"/>
            <color indexed="81"/>
            <rFont val="Tahoma"/>
            <family val="2"/>
          </rPr>
          <t>Fastmarkets:
Fra del 25/04/23: 2.125,50€.
Suscripción de de información de mercado
1.062,75€: EnergyCensus
1.062,75€: AgriCensus
Analítica: Market Intel.
2.125,50€: Realizar transferencia: Antes del 25/05/23
2.125,50€: Transferencia realizada desde VFX en € el 22/05/23</t>
        </r>
      </text>
    </comment>
    <comment ref="CD94" authorId="2" shapeId="0" xr:uid="{AF89384B-C656-480C-BD04-ED954DB24015}">
      <text>
        <r>
          <rPr>
            <sz val="9"/>
            <color indexed="81"/>
            <rFont val="Tahoma"/>
            <family val="2"/>
          </rPr>
          <t>Quantum Commodity Intelligence;
Fra del 26/01/24: 2.000€.
2.000€: Quantum Biofuels Subscription and Data Licence (12 meses)
Analítica: Market Intel.
2.000€: Ok Alberto realizar transferencia: en la primera remesa de febrero
Transferencia Natwest realizada desde VFX en € el 06/02/24</t>
        </r>
      </text>
    </comment>
    <comment ref="CG94" authorId="2" shapeId="0" xr:uid="{A4680CEA-CEEC-4837-8324-A485A0CB8ACE}">
      <text>
        <r>
          <rPr>
            <sz val="9"/>
            <color indexed="81"/>
            <rFont val="Tahoma"/>
            <family val="2"/>
          </rPr>
          <t>Fastmarkets:
Fra del 25/04/23: 2.125,50€.
Suscripción de de información de mercado
1.062,75€: EnergyCensus
1.062,75€: AgriCensus
Analítica: Market Intel.
2.125,50€: Realizar transferencia: Antes del 25/05/23
2.125,50€: Transferencia realizada desde VFX en € el 22/05/23</t>
        </r>
      </text>
    </comment>
    <comment ref="X95" authorId="1" shapeId="0" xr:uid="{00000000-0006-0000-0100-0000EB000000}">
      <text>
        <r>
          <rPr>
            <sz val="8"/>
            <color indexed="81"/>
            <rFont val="Tahoma"/>
            <family val="2"/>
          </rPr>
          <t>2701,72 devolución IVA</t>
        </r>
      </text>
    </comment>
    <comment ref="Y95" authorId="3" shapeId="0" xr:uid="{00000000-0006-0000-0100-0000EC000000}">
      <text>
        <r>
          <rPr>
            <b/>
            <sz val="9"/>
            <color indexed="81"/>
            <rFont val="Tahoma"/>
            <family val="2"/>
          </rPr>
          <t xml:space="preserve">1503,4 devol hacienda IVA
</t>
        </r>
        <r>
          <rPr>
            <sz val="9"/>
            <color indexed="81"/>
            <rFont val="Tahoma"/>
            <family val="2"/>
          </rPr>
          <t xml:space="preserve">
</t>
        </r>
      </text>
    </comment>
    <comment ref="Z95" authorId="1" shapeId="0" xr:uid="{00000000-0006-0000-0100-0000ED000000}">
      <text>
        <r>
          <rPr>
            <b/>
            <sz val="8"/>
            <color indexed="81"/>
            <rFont val="Tahoma"/>
            <family val="2"/>
          </rPr>
          <t>alfonso:</t>
        </r>
        <r>
          <rPr>
            <sz val="8"/>
            <color indexed="81"/>
            <rFont val="Tahoma"/>
            <family val="2"/>
          </rPr>
          <t xml:space="preserve">
234,08€ Cargo IVA</t>
        </r>
      </text>
    </comment>
    <comment ref="AA95" authorId="3" shapeId="0" xr:uid="{00000000-0006-0000-0100-0000EE000000}">
      <text>
        <r>
          <rPr>
            <sz val="9"/>
            <color indexed="81"/>
            <rFont val="Tahoma"/>
            <family val="2"/>
          </rPr>
          <t>205,85 iva NOVIEMBRE
IVA ejercicio 2019,periodo 3:
1274,70+19,12 intereses demora= 1293,82 E
3007,48 devolución IVA
1133,47 devolución IVA</t>
        </r>
      </text>
    </comment>
    <comment ref="AF95" authorId="1" shapeId="0" xr:uid="{00000000-0006-0000-0100-0000EF000000}">
      <text>
        <r>
          <rPr>
            <b/>
            <sz val="9"/>
            <color indexed="81"/>
            <rFont val="Tahoma"/>
            <family val="2"/>
          </rPr>
          <t>alfonso:</t>
        </r>
        <r>
          <rPr>
            <sz val="9"/>
            <color indexed="81"/>
            <rFont val="Tahoma"/>
            <family val="2"/>
          </rPr>
          <t xml:space="preserve">
IVA enero a devolver confirmado por Sinver 1757,82
Abonado: 01/04/20
</t>
        </r>
      </text>
    </comment>
    <comment ref="AG95" authorId="1" shapeId="0" xr:uid="{00000000-0006-0000-0100-0000F0000000}">
      <text>
        <r>
          <rPr>
            <b/>
            <sz val="9"/>
            <color indexed="81"/>
            <rFont val="Tahoma"/>
            <family val="2"/>
          </rPr>
          <t>alfonso:</t>
        </r>
        <r>
          <rPr>
            <sz val="9"/>
            <color indexed="81"/>
            <rFont val="Tahoma"/>
            <family val="2"/>
          </rPr>
          <t xml:space="preserve">
IVA febrero a devolver confirmado por Sinver 6799,75 
Abonado: 14/05/20
</t>
        </r>
        <r>
          <rPr>
            <b/>
            <sz val="9"/>
            <color indexed="81"/>
            <rFont val="Tahoma"/>
            <family val="2"/>
          </rPr>
          <t xml:space="preserve">alfonso:
</t>
        </r>
        <r>
          <rPr>
            <sz val="9"/>
            <color indexed="81"/>
            <rFont val="Tahoma"/>
            <family val="2"/>
          </rPr>
          <t xml:space="preserve">IVA marzo a devolver confirmado por Sinver 2599,73 
Abonado: 14/05/20
</t>
        </r>
        <r>
          <rPr>
            <sz val="9"/>
            <color indexed="81"/>
            <rFont val="Tahoma"/>
            <family val="2"/>
          </rPr>
          <t>Movido aquí de abril por el caso especial COVID-19. a pagar el 20/5
Cargado: 20/05/20</t>
        </r>
      </text>
    </comment>
    <comment ref="AH95" authorId="1" shapeId="0" xr:uid="{00000000-0006-0000-0100-0000F1000000}">
      <text>
        <r>
          <rPr>
            <b/>
            <sz val="9"/>
            <color indexed="81"/>
            <rFont val="Tahoma"/>
            <family val="2"/>
          </rPr>
          <t xml:space="preserve">rosa:
</t>
        </r>
        <r>
          <rPr>
            <sz val="9"/>
            <color indexed="81"/>
            <rFont val="Tahoma"/>
            <family val="2"/>
          </rPr>
          <t xml:space="preserve">IVA mayo a devolver 149,04 
Abonado: 07/06/20
</t>
        </r>
      </text>
    </comment>
    <comment ref="AI95" authorId="1" shapeId="0" xr:uid="{00000000-0006-0000-0100-0000F2000000}">
      <text>
        <r>
          <rPr>
            <b/>
            <sz val="9"/>
            <color indexed="81"/>
            <rFont val="Tahoma"/>
            <family val="2"/>
          </rPr>
          <t>alfonso:</t>
        </r>
        <r>
          <rPr>
            <sz val="9"/>
            <color indexed="81"/>
            <rFont val="Tahoma"/>
            <family val="2"/>
          </rPr>
          <t xml:space="preserve">
IVA jun io confirmado por Sinver 5532,53 
Devolución IVA
2503,41 E</t>
        </r>
      </text>
    </comment>
    <comment ref="AL95" authorId="0" shapeId="0" xr:uid="{00000000-0006-0000-0100-0000F3000000}">
      <text>
        <r>
          <rPr>
            <b/>
            <sz val="9"/>
            <color indexed="81"/>
            <rFont val="Tahoma"/>
            <family val="2"/>
          </rPr>
          <t>rosa:</t>
        </r>
        <r>
          <rPr>
            <sz val="9"/>
            <color indexed="81"/>
            <rFont val="Tahoma"/>
            <family val="2"/>
          </rPr>
          <t xml:space="preserve">
Devolución IVA mayo
2820,73 E</t>
        </r>
      </text>
    </comment>
    <comment ref="AM95" authorId="1" shapeId="0" xr:uid="{00000000-0006-0000-0100-0000F4000000}">
      <text>
        <r>
          <rPr>
            <b/>
            <sz val="9"/>
            <color indexed="81"/>
            <rFont val="Tahoma"/>
            <family val="2"/>
          </rPr>
          <t>rosa:</t>
        </r>
        <r>
          <rPr>
            <sz val="9"/>
            <color indexed="81"/>
            <rFont val="Tahoma"/>
            <family val="2"/>
          </rPr>
          <t xml:space="preserve">
IVA septiembre confirmado por Sinver 10.560,38 E
Repercutido=30.059,14€ (Realmt pertenece a Tradeind: 30.059,14€) 
Soportado=19.498,76€ (Realmt pertenece a Tradeind: 17.045,47€)</t>
        </r>
      </text>
    </comment>
    <comment ref="AN95" authorId="0" shapeId="0" xr:uid="{00000000-0006-0000-0100-0000F5000000}">
      <text>
        <r>
          <rPr>
            <b/>
            <sz val="9"/>
            <color indexed="81"/>
            <rFont val="Tahoma"/>
            <family val="2"/>
          </rPr>
          <t>rosa:</t>
        </r>
        <r>
          <rPr>
            <sz val="9"/>
            <color indexed="81"/>
            <rFont val="Tahoma"/>
            <family val="2"/>
          </rPr>
          <t xml:space="preserve">
Devolución IVA julio
2793,64 E</t>
        </r>
      </text>
    </comment>
    <comment ref="AO95" authorId="0" shapeId="0" xr:uid="{00000000-0006-0000-0100-0000F6000000}">
      <text>
        <r>
          <rPr>
            <b/>
            <sz val="9"/>
            <color indexed="81"/>
            <rFont val="Tahoma"/>
            <family val="2"/>
          </rPr>
          <t>rosa:</t>
        </r>
        <r>
          <rPr>
            <sz val="9"/>
            <color indexed="81"/>
            <rFont val="Tahoma"/>
            <family val="2"/>
          </rPr>
          <t xml:space="preserve">
Devolución IVA agosto 2020
6970,42 E</t>
        </r>
      </text>
    </comment>
    <comment ref="AP95" authorId="0" shapeId="0" xr:uid="{00000000-0006-0000-0100-0000F7000000}">
      <text>
        <r>
          <rPr>
            <b/>
            <sz val="9"/>
            <color indexed="81"/>
            <rFont val="Tahoma"/>
            <family val="2"/>
          </rPr>
          <t>rosa:</t>
        </r>
        <r>
          <rPr>
            <sz val="9"/>
            <color indexed="81"/>
            <rFont val="Tahoma"/>
            <family val="2"/>
          </rPr>
          <t xml:space="preserve">
Devolución IVA
2563,85 E (IVA octubre -IVA nov. A pagar)</t>
        </r>
      </text>
    </comment>
    <comment ref="AQ95" authorId="2" shapeId="0" xr:uid="{00000000-0006-0000-0100-0000F8000000}">
      <text>
        <r>
          <rPr>
            <sz val="9"/>
            <color indexed="81"/>
            <rFont val="Tahoma"/>
            <family val="2"/>
          </rPr>
          <t>IVA 4T 9098,27 E.
Nota: El IVA del 4T 2020 de Nixal es de 9098,27 E, cargan en Caixa Nixal el importe de 918,07 E por lo que realizamos transferencia de Caixa Nixal a Caja Rural Molino por 8180,20 E en marzo</t>
        </r>
      </text>
    </comment>
    <comment ref="AR95" authorId="0" shapeId="0" xr:uid="{00000000-0006-0000-0100-0000F9000000}">
      <text>
        <r>
          <rPr>
            <sz val="9"/>
            <color indexed="81"/>
            <rFont val="Tahoma"/>
            <family val="2"/>
          </rPr>
          <t>IVA 4T 9098,27 E.
Nota: El IVA del 4T 2020 de Nixal es de 9098,27 E, cargan en Caixa Nixal el importe de 918,07 E por lo que realizamos transferencia de Caixa Nixal a Caja Rural Molino por 8180,20 E en marzo
8180,20€: Transferencia de Caixa Nixal a Caja Rural Molino el 10/03/21</t>
        </r>
      </text>
    </comment>
    <comment ref="AT95" authorId="2" shapeId="0" xr:uid="{D5B586D5-F9D0-466D-B123-F05C77D549DF}">
      <text>
        <r>
          <rPr>
            <b/>
            <sz val="9"/>
            <color indexed="81"/>
            <rFont val="Tahoma"/>
            <family val="2"/>
          </rPr>
          <t xml:space="preserve">IVA mes de abril Conjunto Nixal- Molino. </t>
        </r>
        <r>
          <rPr>
            <sz val="9"/>
            <color indexed="81"/>
            <rFont val="Tahoma"/>
            <family val="2"/>
          </rPr>
          <t xml:space="preserve">
2315,58 Eur: Cargado el 20/05/21.
IVA 04/2021 Nixal: 2368,30
IVA 04/2021 Molino: -52,72.
52,72€: Transferenia realizada el 28/05/21.
---------------------------------------------------
</t>
        </r>
      </text>
    </comment>
    <comment ref="AU95" authorId="2" shapeId="0" xr:uid="{2A709336-E55F-4546-AA6D-AEDDDEAA0A28}">
      <text>
        <r>
          <rPr>
            <sz val="9"/>
            <color indexed="81"/>
            <rFont val="Tahoma"/>
            <family val="2"/>
          </rPr>
          <t xml:space="preserve">-17.193,52 Eur: devolucion IVA enero y feb autoliquidación. 
Abonado el 05/06/21.
-------------------------------
2.754,41 Eur: </t>
        </r>
        <r>
          <rPr>
            <b/>
            <sz val="9"/>
            <color indexed="81"/>
            <rFont val="Tahoma"/>
            <family val="2"/>
          </rPr>
          <t>IVA mayo Conjunto.</t>
        </r>
        <r>
          <rPr>
            <sz val="9"/>
            <color indexed="81"/>
            <rFont val="Tahoma"/>
            <family val="2"/>
          </rPr>
          <t xml:space="preserve">
Conjunto Molino y Nixal. Pendiente separar lo que pertenece a cada uno. 
Cargado el 21/06/21.
---------------------------------
-282,76 Eur: devolucion IVA autoliquidación marzo. 
Abonado el 23/06/21.
</t>
        </r>
      </text>
    </comment>
    <comment ref="AV95" authorId="2" shapeId="0" xr:uid="{61D91005-085A-4A6B-9807-B484E3E7A3E9}">
      <text>
        <r>
          <rPr>
            <b/>
            <sz val="9"/>
            <color indexed="81"/>
            <rFont val="Tahoma"/>
            <family val="2"/>
          </rPr>
          <t xml:space="preserve">IVA MAYO Molino Nixal. 
</t>
        </r>
        <r>
          <rPr>
            <sz val="9"/>
            <color indexed="81"/>
            <rFont val="Tahoma"/>
            <family val="2"/>
          </rPr>
          <t xml:space="preserve">IVA Nixal: 11.901,1€ a pagar.
IVA Molino: -9.146,69 a devolver. 
9146,69€: Transferencia de Caixa Nixal a Caixa Molino realizada el 01/07/21
--------------------------------------------
</t>
        </r>
        <r>
          <rPr>
            <b/>
            <sz val="9"/>
            <color indexed="81"/>
            <rFont val="Tahoma"/>
            <family val="2"/>
          </rPr>
          <t>8.383,86 Eur: IVA Junio conjunto</t>
        </r>
        <r>
          <rPr>
            <sz val="9"/>
            <color indexed="81"/>
            <rFont val="Tahoma"/>
            <family val="2"/>
          </rPr>
          <t xml:space="preserve">
IVA NIXAL = 7.039,46
IVA MOLINO = 1.344,40.
Cargado el 20/07/21.</t>
        </r>
      </text>
    </comment>
    <comment ref="AW95" authorId="2" shapeId="0" xr:uid="{8ED573C8-33D2-4B5C-9446-39A9ECDEDDBF}">
      <text>
        <r>
          <rPr>
            <sz val="9"/>
            <color indexed="81"/>
            <rFont val="Tahoma"/>
            <family val="2"/>
          </rPr>
          <t xml:space="preserve">- 1.344,40 Eur: </t>
        </r>
        <r>
          <rPr>
            <b/>
            <sz val="9"/>
            <color indexed="81"/>
            <rFont val="Tahoma"/>
            <family val="2"/>
          </rPr>
          <t>IVA MOLINO Junio</t>
        </r>
        <r>
          <rPr>
            <sz val="9"/>
            <color indexed="81"/>
            <rFont val="Tahoma"/>
            <family val="2"/>
          </rPr>
          <t xml:space="preserve"> 
Transferencia de compensacion de gastos realizada el 31/08/21. 
-----------------------------------------------------------
6.610,91 Eur: </t>
        </r>
        <r>
          <rPr>
            <b/>
            <sz val="9"/>
            <color indexed="81"/>
            <rFont val="Tahoma"/>
            <family val="2"/>
          </rPr>
          <t>IVA Julio conjunto</t>
        </r>
        <r>
          <rPr>
            <sz val="9"/>
            <color indexed="81"/>
            <rFont val="Tahoma"/>
            <family val="2"/>
          </rPr>
          <t xml:space="preserve">
IVA NIXAL = 7.259,73 a pagar.
IVA MOLINO = - 648,82 a devolver.
Cargado: 20/08/21. </t>
        </r>
        <r>
          <rPr>
            <b/>
            <sz val="9"/>
            <color indexed="81"/>
            <rFont val="Tahoma"/>
            <family val="2"/>
          </rPr>
          <t xml:space="preserve">
</t>
        </r>
        <r>
          <rPr>
            <sz val="9"/>
            <color indexed="81"/>
            <rFont val="Tahoma"/>
            <family val="2"/>
          </rPr>
          <t xml:space="preserve">----------------------------------------------
648,82 Eur: </t>
        </r>
        <r>
          <rPr>
            <b/>
            <sz val="9"/>
            <color indexed="81"/>
            <rFont val="Tahoma"/>
            <family val="2"/>
          </rPr>
          <t xml:space="preserve">IVA MOLINO Julio </t>
        </r>
        <r>
          <rPr>
            <sz val="9"/>
            <color indexed="81"/>
            <rFont val="Tahoma"/>
            <family val="2"/>
          </rPr>
          <t xml:space="preserve">
Transferencia de compensacion de gastos realizada el 31/08/21.</t>
        </r>
      </text>
    </comment>
    <comment ref="BB95" authorId="2" shapeId="0" xr:uid="{3A696A45-B492-4DE2-9904-69B86000F49A}">
      <text>
        <r>
          <rPr>
            <sz val="9"/>
            <color indexed="81"/>
            <rFont val="Tahoma"/>
            <family val="2"/>
          </rPr>
          <t xml:space="preserve">-6806,60€: devolucion IVA agosto 2021 conjunto 
Abonado el 13/12/21.
3771,91€: Pertenece a Nixal
3034,69€: Pertenece a MDZ por lo que Nixal le debe a MDZ 3034,69€
-------------------------------
3034,69€: Pertenece a MDZ
Transferencia Caixa de compensacion de gastos por el total 4.793,42€ realizada el 28/12/21
</t>
        </r>
      </text>
    </comment>
    <comment ref="BC95" authorId="0" shapeId="0" xr:uid="{547AFFCF-9360-4E26-AE93-D00371C994EE}">
      <text>
        <r>
          <rPr>
            <sz val="9"/>
            <color indexed="81"/>
            <rFont val="Tahoma"/>
            <family val="2"/>
          </rPr>
          <t xml:space="preserve">Pndte devolución IVA sept:
Según mayor, 
5030,09€-2625€=2405,09€
2405,09€: IVA sept conjunto
IVA NIXAL = 170,96€ a pagar.
IVA MOLINO = -2576,05€ a devolver.
Ingresado el 05/01/2022
----------------------------------------------
</t>
        </r>
      </text>
    </comment>
    <comment ref="BD95" authorId="0" shapeId="0" xr:uid="{A6807035-0D88-4358-A849-47797B59D3FA}">
      <text>
        <r>
          <rPr>
            <sz val="9"/>
            <color indexed="81"/>
            <rFont val="Tahoma"/>
            <family val="2"/>
          </rPr>
          <t xml:space="preserve">4003,99€: Pndte devolución IVA Oct confirmado por Sinver:
Cuadra con el mayor: 5646,53€-1642,54€=4003,99€
-4003,99 Eur: IVA oct conjunto
IVA NIXAL =- 2761,20€ a devolver
IVA MOLINO = - 1242,79€ a devolver.
Ingresado en Caixa: 10/02/22
----------------------------------------------
-2576,05€ Eur: IVA MOLINO sept 21
Transferencia de compensacion de gastos por el total 4185,49€ realizada el 15/02/22
---------------------------------------------
-1242,79€ Eur: IVA MOLINO oct 21
Transferencia de compensacion de gastos por el total 4185,49€ realizada el 15/02/22
</t>
        </r>
      </text>
    </comment>
    <comment ref="BE95" authorId="0" shapeId="0" xr:uid="{D0C844D7-9C98-429A-B760-7E912C946100}">
      <text>
        <r>
          <rPr>
            <sz val="9"/>
            <color indexed="81"/>
            <rFont val="Tahoma"/>
            <family val="2"/>
          </rPr>
          <t>-237,37€: Devolución IVA noviembre confirmado por Sinver
Cuadra con el mayor: 8720,55€-8483,18€=237,37€
-237,37 Eur: IVA nov conjunto
IVA NIXAL =- 45,56€ a devolver
IVA MOLINO = - 191,81€ a devolver.
Ingresado en Caixa: 10/03/22</t>
        </r>
      </text>
    </comment>
    <comment ref="BF95" authorId="0" shapeId="0" xr:uid="{5EDC3B0A-F432-494F-BFCF-1711B80291DD}">
      <text>
        <r>
          <rPr>
            <sz val="9"/>
            <color indexed="81"/>
            <rFont val="Tahoma"/>
            <family val="2"/>
          </rPr>
          <t>-4582,61€: Devolución IVA enero confirmado por Sinver
Cuadra con el mayor: 346,74€-4929,35€=4582,61€
-4582,61 Eur: IVA ene conjunto
IVA NIXAL =-2406,93€ a devolver
IVA MOLINO = -2175,68€ a devolver.
Abonado Caixa: 27/04/22</t>
        </r>
      </text>
    </comment>
    <comment ref="BG95" authorId="0" shapeId="0" xr:uid="{A4F0B883-6449-4D96-A6B8-06745EFE27CB}">
      <text>
        <r>
          <rPr>
            <sz val="9"/>
            <color indexed="81"/>
            <rFont val="Tahoma"/>
            <family val="2"/>
          </rPr>
          <t>-4611,52€: Devolución IVA febrero confirmado por Sinver
Cuadra con el mayor: 287,58€-4899,10€=-4611,52€
-4611,52 Eur: IVA feb conjunto
IVA NIXAL =-2668,77€ a devolver
IVA MOLINO = -1942,75€ a devolver.
4611,52€: Abonado en Caixa: 13/05/22
--------------------------------------------
191,81€: IVA MOLINO nov 21
2175,68€ Eur: IVA MOLINO ene 22
1942,75€ Eur: IVA MOLINO feb 22
4310,24€: Transferencia Caixa de compensacion de gastos por el total 7370,14€ realizada el 24/05/22</t>
        </r>
      </text>
    </comment>
    <comment ref="BH95" authorId="0" shapeId="0" xr:uid="{174532F0-83BF-4C19-B0C2-05E2E979A790}">
      <text>
        <r>
          <rPr>
            <sz val="9"/>
            <color indexed="81"/>
            <rFont val="Tahoma"/>
            <family val="2"/>
          </rPr>
          <t>-103,60€: Devolución IVA marzo confirmado por Sinver
Cuadra con el mayor: -2516,67€+2413,07€=-103,60€
-103,60 Eur: IVA marz conjunto
IVA NIXAL =-2516,67€ a devolver
IVA MOLINO = 2413,07€ a pagar.
103,60€: Pndte abono en Caixa
Abonado Caixa: 21/06/22</t>
        </r>
      </text>
    </comment>
    <comment ref="BJ95" authorId="0" shapeId="0" xr:uid="{1E090091-9D36-488E-A37A-A998A6D3904A}">
      <text>
        <r>
          <rPr>
            <sz val="9"/>
            <color indexed="81"/>
            <rFont val="Tahoma"/>
            <family val="2"/>
          </rPr>
          <t xml:space="preserve">2413,07€: Devolución IVA </t>
        </r>
        <r>
          <rPr>
            <b/>
            <sz val="9"/>
            <color indexed="81"/>
            <rFont val="Tahoma"/>
            <family val="2"/>
          </rPr>
          <t>MARZO</t>
        </r>
        <r>
          <rPr>
            <sz val="9"/>
            <color indexed="81"/>
            <rFont val="Tahoma"/>
            <family val="2"/>
          </rPr>
          <t xml:space="preserve"> de Molino. 
2.413,07€: Transferencia Caixa de compensacion de gastos por el total 71,62€ realizada el 31/08/22.
</t>
        </r>
      </text>
    </comment>
    <comment ref="BL95" authorId="0" shapeId="0" xr:uid="{513FFCB5-7E72-4969-A6BB-F81CE4DCB8C1}">
      <text>
        <r>
          <rPr>
            <sz val="9"/>
            <color indexed="81"/>
            <rFont val="Tahoma"/>
            <family val="2"/>
          </rPr>
          <t xml:space="preserve">-9203,26€: Devolución IVA  </t>
        </r>
        <r>
          <rPr>
            <b/>
            <sz val="9"/>
            <color indexed="81"/>
            <rFont val="Tahoma"/>
            <family val="2"/>
          </rPr>
          <t>ABRIL</t>
        </r>
        <r>
          <rPr>
            <sz val="9"/>
            <color indexed="81"/>
            <rFont val="Tahoma"/>
            <family val="2"/>
          </rPr>
          <t xml:space="preserve"> confirmado por Sinver
Cuadra con el mayor: 
-13718,26€+4515€=--9203,26€
-9203,26 Eur: IVA abr conjunto
IVA NIXAL =-4425,05€ a devolver
IVA MOLINO = -4778,21€ a devolver.
9203,26€ Abonado en caixa el 02/09/22.
-------------------------------------------
-13942,94€: Devolución IVA </t>
        </r>
        <r>
          <rPr>
            <b/>
            <sz val="9"/>
            <color indexed="81"/>
            <rFont val="Tahoma"/>
            <family val="2"/>
          </rPr>
          <t xml:space="preserve">MAYO </t>
        </r>
        <r>
          <rPr>
            <sz val="9"/>
            <color indexed="81"/>
            <rFont val="Tahoma"/>
            <family val="2"/>
          </rPr>
          <t>confirmado por Sinver
Cuadra con el mayor: 
-13981,16€+38,22€=--13942,94€
-13942,94 Eur: IVA mayo conjunto
IVA NIXAL =-10275,41€ a devolver
IVA MOLINO = -3667,53€ a devolver.
13942,94€: Pndte abono en Caixa
Abonado Caixa: 08/09/22
------------------------------------------------
-12337,68€: Devolución IVA JUNIO confirmado por Sinver
Cuadra con el mayor: 
-21741,32€+9403,64€=-12337,68€
-12337,68 Eur: IVA junio conjunto
IVA NIXAL =-9909,41€ a devolver
IVA MOLINO = -2428,27€ a devolver.
12337,68€: Pndte abono en Caixa
Abonado Caixa: 16/09/22</t>
        </r>
      </text>
    </comment>
    <comment ref="BN95" authorId="0" shapeId="0" xr:uid="{7D0CCEF0-6017-4F29-A423-A07B15ACE39A}">
      <text>
        <r>
          <rPr>
            <sz val="9"/>
            <color indexed="81"/>
            <rFont val="Tahoma"/>
            <family val="2"/>
          </rPr>
          <t>4778,21€: IVA MOLINO Abril 22
Pndte realizar transferencia 
3667,53€: IVA MOLINO Mayo 22
Pndte realizar transferencia 
2428,27€: IVA MOLINO Junio 22
Pndte realizar transferencia 
10874,01€: Transferencia Caixa de compensacion de gastos por el total 7106,56€ realizada el 04/11/22
----------------------------------------------
-11946€: Devolución IVA DICIEMBRE 21 confirmado por Sinver
Cuadra con el mayor: 
1344,59€-13290,59€=-11946€
-11946 Eur: IVA dic conjunto
IVA NIXAL =- 4717,89€ a devolver
IVA MOLINO = -7228,11€ a devolver.
05/07/22: Comunicado por SINVER que no pueden justificar el importe de 4293€ de IVA de MDZ
-7312,80€: Devolución IVA diciembre sin incliur ese IVA de MDZ
IVA NIXAL =- 4377,69€ a devolver
IVA MOLINO = -2935,11€ a devolver.
-60,11€: Intereses (Pdte comunicado Sinver)
Pndte ingreso en Caixa
-7372,91€: Ingresado en Caixa: 08/11/22
------------------------------------------------------
-9.926,25€: Devolución IVA JULIO confirmado por Sinver
Cuadra con el mayor: 
52,43-9.978,68=-9.926,25€
IVA NIXAL =-3.774,00€ a devolver
IVA MOLINO = -6.152,25€ a devolver.
-9.926,25€: Pndte abono en Caixa
Abonado en Caixa: 19/11/22
--------------------------------------------
-10.125,68€: Devolución IVA AGOSTO confirmado por Sinver
IVA NIXAL =-3.170,80€ a devolver
IVA MOLINO = -6.954,88€ a devolver.
-10.125,68€: Abonado el 25/11/22.</t>
        </r>
      </text>
    </comment>
    <comment ref="BO95" authorId="0" shapeId="0" xr:uid="{C04E30B8-1640-4F6A-9E63-66C64FEEF0CF}">
      <text>
        <r>
          <rPr>
            <sz val="9"/>
            <color indexed="81"/>
            <rFont val="Tahoma"/>
            <family val="2"/>
          </rPr>
          <t>-11.339,06€: Devolución IVA Septiembre confirmado por Sinver
IVA NIXAL =-5002,89€ a devolver
IVA MOLINO = -6336,17€ a devolver.
-11.339,06€: Pndte abono en Caixa
Abonado en Caixa el 14/12/22.
----------------------------------------------
2935,11€: IVA MOLINO dic 21
Pndte realizar transferencia 
---------------------------------------------
6.152,25€: IVA MOLINO Julio 22
Pndte realizar transferencia 
---------------------------------------------
6954,88€: IVA MOLINO Agosto 22
Pndte realizar transferencia 
--------------------------------------
6336,17€: IVA MOLINO Septiembre 22
Pndte realizar transferencia 
--------------------------------------
22378,41€: Transferencia Caixa de compensacion de gastos por el total 24291,85€ realizada el 21/12/22.</t>
        </r>
      </text>
    </comment>
    <comment ref="BP95" authorId="0" shapeId="0" xr:uid="{DDA27F39-A98D-439E-9054-571E9BAD8F9F}">
      <text>
        <r>
          <rPr>
            <sz val="9"/>
            <color indexed="81"/>
            <rFont val="Tahoma"/>
            <family val="2"/>
          </rPr>
          <t>-9497,58€: Devolución IVA Noviembre confirmado por Sinver
IVA NIXAL =-5.791,22€ a devolver
IVA MOLINO = -3.706,36€ a devolver.
-9.497,58€: Pndte abono en Caixa
Abonado Caixa: 17/01/23</t>
        </r>
      </text>
    </comment>
    <comment ref="BQ95" authorId="0" shapeId="0" xr:uid="{880AE3D4-EDE3-4281-A7A5-F5D993E760CF}">
      <text>
        <r>
          <rPr>
            <sz val="9"/>
            <color indexed="81"/>
            <rFont val="Tahoma"/>
            <family val="2"/>
          </rPr>
          <t>-14.834,80€: Devolución IVA Octubre confirmado por Sinver
IVA NIXAL =-11.980,17€ a devolver
IVA MOLINO = -2.854,63€ a devolver.
-14.834,80€: Pndte abono en Caixa
Abonado Caixa: 15/02/23
-----------------------------------------
3706,36€: IVA MOLINO Noviembre 22
Pndte realizar transferencia 
--------------------------------------
2.854,63€: IVA MOLINO Octubre 22
Pndte realizar transferencia 
----------------------------
6560,99€: Transferencia Caixa de compensacion de gastos por el total 6345,37€ realizada el 23/02/23.</t>
        </r>
      </text>
    </comment>
    <comment ref="BR95" authorId="0" shapeId="0" xr:uid="{D6B9501D-2E52-465D-8249-F5E079403BF0}">
      <text>
        <r>
          <rPr>
            <sz val="9"/>
            <color indexed="81"/>
            <rFont val="Tahoma"/>
            <family val="2"/>
          </rPr>
          <t xml:space="preserve">-15.472,99€: Devolución IVA Diciembre confirmado por Sinver
IVA NIXAL =-6.513,32€ a devolver
IVA MOLINO = -8.959,67€ a devolver.
-15.472,99€: Pndte abono en Caixa
Abonado Caixa: 09/03/23
</t>
        </r>
      </text>
    </comment>
    <comment ref="BT95" authorId="0" shapeId="0" xr:uid="{5B520D33-9ABB-4713-98BB-9A74C74E7EBD}">
      <text>
        <r>
          <rPr>
            <sz val="9"/>
            <color indexed="81"/>
            <rFont val="Tahoma"/>
            <family val="2"/>
          </rPr>
          <t xml:space="preserve">-19.049,98€: Devolución IVA Enero confirmado por Sinver aunque realmente ingresan 167,66€ menos (preguntado a Sinver)
IVA NIXAL =-9669,82€ a devolver
IVA MOLINO = -9212,50€ a devolver.
-18.882,32€: Abonado en Caixa: 24/05/23
</t>
        </r>
      </text>
    </comment>
    <comment ref="BU95" authorId="0" shapeId="0" xr:uid="{94AD076C-405E-4BD5-AF57-CD0BB2E89CD2}">
      <text>
        <r>
          <rPr>
            <sz val="9"/>
            <color indexed="81"/>
            <rFont val="Tahoma"/>
            <family val="2"/>
          </rPr>
          <t xml:space="preserve">-5113,31€: Devolución IVA Febrero confirmado por Sinver
IVA NIXAL =-4.505,59€ a devolver
IVA MOLINO = -607,72€ a devolver.
-5113,31€: Pndte abono en Caixa
Abonado Caixa: 01/06/23
---------------------------------
-34410,49€: Devolución IVA Marzo confirmado por Sinver
IVA NIXAL =-18007,01€ a devolver
IVA MOLINO = -16403,48€ a devolver.
-34410,49€: Pndte abono en Caixa
Compensan el IS con la devolución de este IVA 
-4295,63€: Abonado Caixa: 23/06/23
</t>
        </r>
      </text>
    </comment>
    <comment ref="BV95" authorId="0" shapeId="0" xr:uid="{93DB6642-BB6E-4E82-9EE0-12C907BA57CB}">
      <text>
        <r>
          <rPr>
            <sz val="9"/>
            <color indexed="81"/>
            <rFont val="Tahoma"/>
            <family val="2"/>
          </rPr>
          <t>-5799,90€: Devolución IVA Abril confirmado por Sinver
IVA NIXAL =-2.811,16€ a devolver
IVA MOLINO = -2.988,74€ a devolver.
-5799,90€: Pndte abono en Caixa
Abonado Caixa: 26/07/23
-----------------------------------------
8.959,67€: IVA MOLINO Diciembre 22
Pndte realizar transferencia 
--------------------------------------
9.212,50€: IVA MOLINO Enero 23
Pndte realizar transferencia 
-----------------------------------------
607,72€: IVA MOLINO Febrero 23
Pndte realizar transferencia 
----------------------------------------
2988,74€: IVA MOLINO Abril 23
Pndte realizar transferencia 
----------------------------------------
21.768,63€: Transferencia Caixa de compensacion de gastos por el total 23.322,22€ desglosado en:  
5.000€: Cargado en Caixa el 14/07/23.
3.000€: Cargado en Caixa el 19/07/23.
6.000€: Cargado en Caixa el 19/07/23
9.322,22€: Cargado en Caixa el 26/07/23</t>
        </r>
      </text>
    </comment>
    <comment ref="BW95" authorId="0" shapeId="0" xr:uid="{9E4CF173-FA20-4671-8D73-6D6499EAA8B4}">
      <text>
        <r>
          <rPr>
            <sz val="9"/>
            <color indexed="81"/>
            <rFont val="Tahoma"/>
            <family val="2"/>
          </rPr>
          <t>-31631,49€: Devolución IVA Mayo confirmado por Sinver
IVA NIXAL =-10.109,18€ a devolver
IVA MOLINO = -21.522,31€ a devolver.
-31.631,49€: Pndte abono en Caixa
Abonado: 26/08/23.
------------------------------------
16403,48€: IVA MOLINO Marzo 23
16.403,48€: Compensacion de gastos por el total 18.830,46€ desglosado en:
1.000€: prestamo nixal el 16/08/23.
8.930€: Prestamo nixal-molino el 25/08/23.
3.000€: Prestamo nixal-molino el 25/08/23.
5.900,46€: Prestamo nixal-molino el 29/08/23 por el total 6.000€.
--------------------------------------</t>
        </r>
      </text>
    </comment>
    <comment ref="BZ95" authorId="0" shapeId="0" xr:uid="{A03FBD28-E744-4543-8002-0F0CDAEF2B9E}">
      <text>
        <r>
          <rPr>
            <sz val="9"/>
            <color indexed="81"/>
            <rFont val="Tahoma"/>
            <family val="2"/>
          </rPr>
          <t xml:space="preserve">-10.540,54€: Devolución IVA Junio confirmado por Sinver
IVA NIXAL =-4.847,57€ a devolver
IVA MOLINO = -5.692,97€ a devolver.
-10.540,54€: Pndte abono en Caixa
Abonado Caixa: 11/10/23
</t>
        </r>
      </text>
    </comment>
    <comment ref="CA95" authorId="0" shapeId="0" xr:uid="{56824E83-773F-4901-A766-1DEA0FF337F4}">
      <text>
        <r>
          <rPr>
            <sz val="9"/>
            <color indexed="81"/>
            <rFont val="Tahoma"/>
            <family val="2"/>
          </rPr>
          <t>-5.016,39€: Devolución IVA Julio confirmado por Sinver
IVA NIXAL =-2.791,34€ a devolver
IVA MOLINO = -2.225,05€ a devolver.
-5.016,39€: Pndte abono en Caixa
Abonado Caixa: 07/11/23
----------------------------------------
-4.659,34€: Devolución IVA Agosto confirmado por Sinver
+61,33€: IVA fra Comercial Guiralsa a nombre de Alf
-4.598,01€: Pndte abono en Caixa
Abonado Caixa: 25/11/23</t>
        </r>
      </text>
    </comment>
    <comment ref="CB95" authorId="0" shapeId="0" xr:uid="{88D12584-6692-4196-BF82-71DE70BC4123}">
      <text>
        <r>
          <rPr>
            <sz val="9"/>
            <color indexed="81"/>
            <rFont val="Tahoma"/>
            <family val="2"/>
          </rPr>
          <t>-3.628,38 E: Devolución IVA Septiembre confirmado por Sinver
-3.628,38 E: Pndte abono en Caixa
Abonado en Caixa: 16/12/23</t>
        </r>
      </text>
    </comment>
    <comment ref="CC95" authorId="0" shapeId="0" xr:uid="{96A871CF-4C4D-4AE2-ADA5-2C49EB5C93DB}">
      <text>
        <r>
          <rPr>
            <sz val="9"/>
            <color indexed="81"/>
            <rFont val="Tahoma"/>
            <family val="2"/>
          </rPr>
          <t>-8.805,44€: Devolución IVA Octubre confirmado por Sinver
-8.805,44€: Pndte abono en Caixa
Abonado Caixa: 06/01/24</t>
        </r>
      </text>
    </comment>
    <comment ref="CE95" authorId="0" shapeId="0" xr:uid="{2FE868F5-05A2-451B-8BBB-131F802EE448}">
      <text>
        <r>
          <rPr>
            <sz val="9"/>
            <color indexed="81"/>
            <rFont val="Tahoma"/>
            <family val="2"/>
          </rPr>
          <t>-5.831,05€: Devolución IVA Noviembre confirmado por Sinver
-5.831,05€: Pndte abono en Caixa
Abonado Caixa: 07/03/24</t>
        </r>
      </text>
    </comment>
    <comment ref="CF95" authorId="0" shapeId="0" xr:uid="{B7329E9C-A332-4891-92CA-60D47087E6AE}">
      <text>
        <r>
          <rPr>
            <sz val="9"/>
            <color indexed="81"/>
            <rFont val="Tahoma"/>
            <family val="2"/>
          </rPr>
          <t>-4.256,50€: Devolución IVA Diciembre confirmado por Sinver
-4.256,50€: Pndte abono en Caixa</t>
        </r>
      </text>
    </comment>
    <comment ref="CG95" authorId="0" shapeId="0" xr:uid="{8B930B36-43C2-41E5-91D4-0B36ED1A6C00}">
      <text>
        <r>
          <rPr>
            <sz val="9"/>
            <color indexed="81"/>
            <rFont val="Tahoma"/>
            <family val="2"/>
          </rPr>
          <t>-7.846,44€: Devolución IVA Enero confirmado por Sinver
-7.846,44€: Pndte abono en Caixa</t>
        </r>
      </text>
    </comment>
    <comment ref="CH95" authorId="0" shapeId="0" xr:uid="{9BC39C6C-60C4-4CF8-988D-B90B44BF33D2}">
      <text>
        <r>
          <rPr>
            <sz val="9"/>
            <color indexed="81"/>
            <rFont val="Tahoma"/>
            <family val="2"/>
          </rPr>
          <t>-4.243,13€: Devolución IVA Febrero confirmado por Sinver
-4.243,13€: Pndte abono en Caixa</t>
        </r>
      </text>
    </comment>
    <comment ref="Y96" authorId="3" shapeId="0" xr:uid="{00000000-0006-0000-0100-0000FA000000}">
      <text>
        <r>
          <rPr>
            <b/>
            <sz val="9"/>
            <color indexed="81"/>
            <rFont val="Tahoma"/>
            <family val="2"/>
          </rPr>
          <t xml:space="preserve">6053,41 IRPF 3T 
</t>
        </r>
        <r>
          <rPr>
            <sz val="9"/>
            <color indexed="81"/>
            <rFont val="Tahoma"/>
            <family val="2"/>
          </rPr>
          <t>(1650 irpf mensual ACB/139,5 irpf mensual JP)</t>
        </r>
        <r>
          <rPr>
            <b/>
            <sz val="9"/>
            <color indexed="81"/>
            <rFont val="Tahoma"/>
            <family val="2"/>
          </rPr>
          <t xml:space="preserve">
</t>
        </r>
        <r>
          <rPr>
            <sz val="9"/>
            <color indexed="81"/>
            <rFont val="Tahoma"/>
            <family val="2"/>
          </rPr>
          <t xml:space="preserve">
</t>
        </r>
      </text>
    </comment>
    <comment ref="AC96" authorId="3" shapeId="0" xr:uid="{00000000-0006-0000-0100-0000FB000000}">
      <text>
        <r>
          <rPr>
            <b/>
            <sz val="9"/>
            <color indexed="81"/>
            <rFont val="Tahoma"/>
            <family val="2"/>
          </rPr>
          <t xml:space="preserve">IRPF 4T 6893,49
</t>
        </r>
        <r>
          <rPr>
            <sz val="9"/>
            <color indexed="81"/>
            <rFont val="Tahoma"/>
            <family val="2"/>
          </rPr>
          <t>mensual x3
1650 ACB
500 ALF (aprox)
139,5 JP</t>
        </r>
        <r>
          <rPr>
            <b/>
            <sz val="9"/>
            <color indexed="81"/>
            <rFont val="Tahoma"/>
            <family val="2"/>
          </rPr>
          <t xml:space="preserve">
</t>
        </r>
      </text>
    </comment>
    <comment ref="AG96" authorId="1" shapeId="0" xr:uid="{00000000-0006-0000-0100-0000FC000000}">
      <text>
        <r>
          <rPr>
            <b/>
            <sz val="9"/>
            <color indexed="81"/>
            <rFont val="Tahoma"/>
            <family val="2"/>
          </rPr>
          <t>alfonso:</t>
        </r>
        <r>
          <rPr>
            <sz val="9"/>
            <color indexed="81"/>
            <rFont val="Tahoma"/>
            <family val="2"/>
          </rPr>
          <t xml:space="preserve">
IRPF 1T 
mensual aprox
1650 ACB
500 ALF (aprox)
139,5 JP
7065,63 por salario mayor Alberto Enero, confirmado por Sinver
Movido aquí de abril por el caso especial COVID-19. a pagar el 20/5
Cargado: 20/05/20</t>
        </r>
      </text>
    </comment>
    <comment ref="AI96" authorId="3" shapeId="0" xr:uid="{00000000-0006-0000-0100-0000FD000000}">
      <text>
        <r>
          <rPr>
            <sz val="9"/>
            <color indexed="81"/>
            <rFont val="Tahoma"/>
            <family val="2"/>
          </rPr>
          <t>IRPF 2T 
mensual
1650 ACB
500 ALF (aprox)
139,5 JP</t>
        </r>
      </text>
    </comment>
    <comment ref="AM96" authorId="3" shapeId="0" xr:uid="{00000000-0006-0000-0100-0000FE000000}">
      <text>
        <r>
          <rPr>
            <b/>
            <sz val="9"/>
            <color indexed="81"/>
            <rFont val="Tahoma"/>
            <family val="2"/>
          </rPr>
          <t xml:space="preserve">IRPF 3T 
</t>
        </r>
        <r>
          <rPr>
            <sz val="9"/>
            <color indexed="81"/>
            <rFont val="Tahoma"/>
            <family val="2"/>
          </rPr>
          <t>mensual
1650 ACB
500 ALF (aprox)
139,5 JP</t>
        </r>
        <r>
          <rPr>
            <b/>
            <sz val="9"/>
            <color indexed="81"/>
            <rFont val="Tahoma"/>
            <family val="2"/>
          </rPr>
          <t xml:space="preserve">
Modelo 111 confirmado por Sinver 7143,48 E</t>
        </r>
      </text>
    </comment>
    <comment ref="AP96" authorId="0" shapeId="0" xr:uid="{00000000-0006-0000-0100-0000FF000000}">
      <text>
        <r>
          <rPr>
            <b/>
            <sz val="9"/>
            <color indexed="81"/>
            <rFont val="Tahoma"/>
            <family val="2"/>
          </rPr>
          <t xml:space="preserve">IRPF 4T 
</t>
        </r>
        <r>
          <rPr>
            <sz val="9"/>
            <color indexed="81"/>
            <rFont val="Tahoma"/>
            <family val="2"/>
          </rPr>
          <t>Modelo 111 confirmado por Sinver 5826,81 E
---------------------
Previsión Alfonso: 6893,49 E</t>
        </r>
      </text>
    </comment>
    <comment ref="AR96" authorId="0" shapeId="0" xr:uid="{00000000-0006-0000-0100-000000010000}">
      <text>
        <r>
          <rPr>
            <b/>
            <sz val="9"/>
            <color indexed="81"/>
            <rFont val="Tahoma"/>
            <family val="2"/>
          </rPr>
          <t xml:space="preserve">
</t>
        </r>
        <r>
          <rPr>
            <sz val="9"/>
            <color indexed="81"/>
            <rFont val="Tahoma"/>
            <family val="2"/>
          </rPr>
          <t>IRPF 4T 2020: 8429,64 E
5826,81 E: Cargado Caixa Nixal: 20/01/21 
Conjunto Nixal-Molino
devolucion de Nixal a Molino lo correspondiente a cada uno. 
APROX. PENDIENTE CALCULARLOS
Realmente pertenece a Molino de IRPF 4T 2020: 581,71 E por lo que transferimos 2602,83 E de Caixa Nixal a Caixa Molino el 10/03/21
2602,83 E: Cargado Caixa Nixal: 10/03/21
---------------</t>
        </r>
      </text>
    </comment>
    <comment ref="AS96" authorId="2" shapeId="0" xr:uid="{3BA240FF-8108-4A5D-BA64-7E337A1890AF}">
      <text>
        <r>
          <rPr>
            <sz val="9"/>
            <color indexed="81"/>
            <rFont val="Tahoma"/>
            <family val="2"/>
          </rPr>
          <t xml:space="preserve">
IRPF 1T 2021 CONJUNTO Nixal-Molino: 9854,30 Eur
Transferencia realizada en caixa el 16/04/21.
Realmente pertenece a Nixal de IRPF 1T 2021: 9151,84 E 
Y a molino pertenece 703,46 E. 
Transferncia realizada por importe de 703,46, abonado en caixa el 26/04/21.</t>
        </r>
      </text>
    </comment>
    <comment ref="AV96" authorId="2" shapeId="0" xr:uid="{62103B9B-2BBB-4F89-8C23-75AB9C12A8B7}">
      <text>
        <r>
          <rPr>
            <b/>
            <sz val="9"/>
            <color indexed="81"/>
            <rFont val="Tahoma"/>
            <family val="2"/>
          </rPr>
          <t xml:space="preserve">IRPF 2ºT Molino Nixal. 
</t>
        </r>
        <r>
          <rPr>
            <sz val="9"/>
            <color indexed="81"/>
            <rFont val="Tahoma"/>
            <family val="2"/>
          </rPr>
          <t>Molino = 823,92
Nixal = 9.430,22
Cargado el 21/07/21.
Pendiente de recibir transferncia a Nixal.</t>
        </r>
      </text>
    </comment>
    <comment ref="AW96" authorId="2" shapeId="0" xr:uid="{3309F0E2-B692-4EB1-8A36-37F6926724C0}">
      <text>
        <r>
          <rPr>
            <sz val="9"/>
            <color indexed="81"/>
            <rFont val="Tahoma"/>
            <family val="2"/>
          </rPr>
          <t xml:space="preserve">823,92: </t>
        </r>
        <r>
          <rPr>
            <b/>
            <sz val="9"/>
            <color indexed="81"/>
            <rFont val="Tahoma"/>
            <family val="2"/>
          </rPr>
          <t xml:space="preserve">IRPF 2ºT Molino </t>
        </r>
        <r>
          <rPr>
            <sz val="9"/>
            <color indexed="81"/>
            <rFont val="Tahoma"/>
            <family val="2"/>
          </rPr>
          <t xml:space="preserve">
Transferencia de compensacion de gastos realizada el 31/08/21.</t>
        </r>
      </text>
    </comment>
    <comment ref="AZ96" authorId="2" shapeId="0" xr:uid="{6E758D63-1481-4083-BDDD-E2449D6C04A7}">
      <text>
        <r>
          <rPr>
            <b/>
            <sz val="9"/>
            <color indexed="81"/>
            <rFont val="Tahoma"/>
            <family val="2"/>
          </rPr>
          <t>IRPF 3ºT Molino Nixal. 
Cargado el prox 20/10/21. 
Cargado caixa: 20/10/21
9801,79€: Pertenece a Nixal
237,59€: Pertenece a MDZ pndte transferir este importe a Nixal</t>
        </r>
      </text>
    </comment>
    <comment ref="BB96" authorId="2" shapeId="0" xr:uid="{06335A80-EEE9-4010-BB23-23A60C760F0F}">
      <text>
        <r>
          <rPr>
            <sz val="9"/>
            <color indexed="81"/>
            <rFont val="Tahoma"/>
            <family val="2"/>
          </rPr>
          <t>237,59€: IRPF 3ºT Molino 
Transferencia de compensacion de gastos a realizar en dic
237,59€: Pertenece a MDZ
Transferencia Caixa de compensacion de gastos por el total 4.793,42€ realizada el 28/12/21</t>
        </r>
      </text>
    </comment>
    <comment ref="BC96" authorId="2" shapeId="0" xr:uid="{C568AB23-161F-4043-852A-F1BB0E896D48}">
      <text>
        <r>
          <rPr>
            <b/>
            <sz val="9"/>
            <color indexed="81"/>
            <rFont val="Tahoma"/>
            <family val="2"/>
          </rPr>
          <t>IRPF 4ºT Molino Nixal. 
Cargado el prox 20/01/22. 
10792,67€: Cargado caixa: 20/01/22
9454,14€: Pertenece a Nixal
1338,53€: Pertenece a MDZ pndte transferir este importe a Nixal</t>
        </r>
      </text>
    </comment>
    <comment ref="BD96" authorId="2" shapeId="0" xr:uid="{1E67B31E-D112-462E-A202-EB15349A552D}">
      <text>
        <r>
          <rPr>
            <sz val="9"/>
            <color indexed="81"/>
            <rFont val="Tahoma"/>
            <family val="2"/>
          </rPr>
          <t>1338,53€: IRPF 4ºT Molino 
Transferencia de compensacion de gastos a realizar en febrero
1338,53€: Pertenece a MDZ
Transferencia Caixa de compensacion de gastos por el total 4.185,49€ realizada el 15/02/22</t>
        </r>
      </text>
    </comment>
    <comment ref="BF96" authorId="2" shapeId="0" xr:uid="{E8715A56-1D05-484B-93AF-4F473B6599CD}">
      <text>
        <r>
          <rPr>
            <b/>
            <sz val="9"/>
            <color indexed="81"/>
            <rFont val="Tahoma"/>
            <family val="2"/>
          </rPr>
          <t xml:space="preserve">IRPF 1ºT Molino Nixal. 
Cargado el prox 20/04/22. 
10200,62€: Cargado caixa: 20/04/22
</t>
        </r>
        <r>
          <rPr>
            <sz val="9"/>
            <color indexed="81"/>
            <rFont val="Tahoma"/>
            <family val="2"/>
          </rPr>
          <t>9410,82€: Pertenece a Nixal
789,80€: Pertenece a MDZ pndte transferir este importe a Nixal</t>
        </r>
      </text>
    </comment>
    <comment ref="BG96" authorId="2" shapeId="0" xr:uid="{6A0BEFA4-670E-40A5-8B1E-DE0FCF216D93}">
      <text>
        <r>
          <rPr>
            <sz val="9"/>
            <color indexed="81"/>
            <rFont val="Tahoma"/>
            <family val="2"/>
          </rPr>
          <t>789,80€: IRPF 1ºT Molino 
Transferencia de compensacion de gastos a realizar en mayo
789,80€: Pertenece a MDZ
789,80€: Transferencia Caixa de compensacion de gastos por el total 7370,14€ realizada el 24/05/22</t>
        </r>
      </text>
    </comment>
    <comment ref="BI96" authorId="2" shapeId="0" xr:uid="{FD775F62-6B1F-4CB6-854E-404B3D71E523}">
      <text>
        <r>
          <rPr>
            <b/>
            <sz val="9"/>
            <color indexed="81"/>
            <rFont val="Tahoma"/>
            <family val="2"/>
          </rPr>
          <t xml:space="preserve">IRPF 2ºT Molino Nixal. 
Cargado el prox 20/07/22. 
12531,59€: Cargado caixa: 20/07/22
</t>
        </r>
        <r>
          <rPr>
            <sz val="9"/>
            <color indexed="81"/>
            <rFont val="Tahoma"/>
            <family val="2"/>
          </rPr>
          <t>12146,12€: Pertenece a Nixal
385,47€: Pertenece a MDZ pndte transferir este importe a Nixal</t>
        </r>
      </text>
    </comment>
    <comment ref="BJ96" authorId="2" shapeId="0" xr:uid="{3FCA13FC-B11A-457E-BC47-925A53834490}">
      <text>
        <r>
          <rPr>
            <sz val="9"/>
            <color indexed="81"/>
            <rFont val="Tahoma"/>
            <family val="2"/>
          </rPr>
          <t xml:space="preserve">385,47€: IRPF 2ºT Molino 
385,47€: Transferencia Caixa de compensacion de gastos por el total 71,62€ realizada el 31/08/22.
</t>
        </r>
      </text>
    </comment>
    <comment ref="BM96" authorId="2" shapeId="0" xr:uid="{D977BCA9-0F68-4D10-AC7D-622B02BBA773}">
      <text>
        <r>
          <rPr>
            <b/>
            <sz val="9"/>
            <color indexed="81"/>
            <rFont val="Tahoma"/>
            <family val="2"/>
          </rPr>
          <t xml:space="preserve">IRPF 3ºT Molino Nixal. 
Cargado el prox 20/10/22. 
18046,59€: Cargado caixa: 20/10/22
</t>
        </r>
        <r>
          <rPr>
            <sz val="9"/>
            <color indexed="81"/>
            <rFont val="Tahoma"/>
            <family val="2"/>
          </rPr>
          <t>12365,70€: Pertenece a Nixal
5680,89€: Pertenece a MDZ pndte transferir este importe a Nixal</t>
        </r>
      </text>
    </comment>
    <comment ref="BN96" authorId="2" shapeId="0" xr:uid="{BD2117E2-464E-412D-915D-E18F477D93BF}">
      <text>
        <r>
          <rPr>
            <sz val="9"/>
            <color indexed="81"/>
            <rFont val="Tahoma"/>
            <family val="2"/>
          </rPr>
          <t xml:space="preserve">5680,89€: IRPF 3ºT Molino 
5680,89€: Realizar Transferencia Caixa de compensacion de gastos 
5680,89€: Transferencia Caixa de compensacion de gastos por el total 7106,56€ realizada el 04/11/22.
</t>
        </r>
      </text>
    </comment>
    <comment ref="BP96" authorId="2" shapeId="0" xr:uid="{4DF7A48B-AF9C-4514-BFAF-A4FC0A67FADA}">
      <text>
        <r>
          <rPr>
            <b/>
            <sz val="9"/>
            <color indexed="81"/>
            <rFont val="Tahoma"/>
            <family val="2"/>
          </rPr>
          <t xml:space="preserve">IRPF 4ºT Molino Nixal. 
Cargado el prox 20/01/23. 
11632,67€: Cargado caixa: 20/01/23
</t>
        </r>
        <r>
          <rPr>
            <sz val="9"/>
            <color indexed="81"/>
            <rFont val="Tahoma"/>
            <family val="2"/>
          </rPr>
          <t xml:space="preserve">
9617,10€: Pertenece a Nixal
2015,57€: Pertenece a MDZ pndte transferir este importe a Nixal</t>
        </r>
      </text>
    </comment>
    <comment ref="BQ96" authorId="2" shapeId="0" xr:uid="{90F0F6B3-7254-4036-AB20-F1C68818FBD0}">
      <text>
        <r>
          <rPr>
            <b/>
            <sz val="9"/>
            <color indexed="81"/>
            <rFont val="Tahoma"/>
            <family val="2"/>
          </rPr>
          <t xml:space="preserve">Complementario IRPF 4ºT Molino Nixal. 175,21€: Transf. Caixa realizada el 16/02/23
</t>
        </r>
        <r>
          <rPr>
            <sz val="9"/>
            <color indexed="81"/>
            <rFont val="Tahoma"/>
            <family val="2"/>
          </rPr>
          <t xml:space="preserve">
175,21€: Pertenece a MDZ pndte transferir este importe a Nixal
--------------------------------
2015,57€: IRPF 4ºT Molino
175,21€: Complentario IRPF 4º T Molino
2190,78€: Realizar Transferencia Caixa de compensacion de gastos 
2190,78€: Transferencia Caixa de compensacion de gastos por el total 6345,37€ realizada el 23/02/23.</t>
        </r>
      </text>
    </comment>
    <comment ref="BS96" authorId="2" shapeId="0" xr:uid="{FD328B5E-2281-4812-BFFA-E4CECC73289A}">
      <text>
        <r>
          <rPr>
            <sz val="9"/>
            <color indexed="81"/>
            <rFont val="Tahoma"/>
            <family val="2"/>
          </rPr>
          <t>IRPF 1º TRIM 2023: 11.074,04€
IRPF 1ºT 2023 Molino Nixal. 
Cargado el prox 20/04/23. 
12.102,52€: Cargado caixa: 20/04/23 
11074,04€: Pertenece a Nixal
1028,48€: Pertenece a MDZ pndte transferir este importe a Nixal</t>
        </r>
      </text>
    </comment>
    <comment ref="BV96" authorId="2" shapeId="0" xr:uid="{A5132677-6D4F-44AB-9119-994474EB9EE1}">
      <text>
        <r>
          <rPr>
            <sz val="9"/>
            <color indexed="81"/>
            <rFont val="Tahoma"/>
            <family val="2"/>
          </rPr>
          <t>IRPF 1ºT 2023 Molino Nixal: 12.102,52€ 
Cargado el prox 20/04/23. 
12.102,52€: Cargado caixa: 20/04/23 
11074,04€: Pertenece a Nixal
1028,48€: Pertenece a MDZ pndte transferir este importe a Nixal
-------------------------
IRPF 2º TRIM 2023:
13.140,02€
11.246,47€: Pertenece a Nixal
1.893,55€: Pertenece a MDZ pndte transferir este importe a Nixal
 Cargado caixa: 20/07/23 
-----------------------------
2.922,03€: Transferencia Caixa de compensacion de gastos por el total 23.322,22€ desglosado en:  
5.000€: Cargado en Caixa el 14/07/23.
3.000€: Cargado en Caixa el 19/07/23.
6.000€: Cargado en Caixa el 19/07/23
9.322,22€: Cargado en Caixa el 26/07/23</t>
        </r>
      </text>
    </comment>
    <comment ref="BZ96" authorId="1" shapeId="0" xr:uid="{D5B51B99-333D-4266-8EE3-5ED984D5B851}">
      <text>
        <r>
          <rPr>
            <sz val="9"/>
            <color indexed="81"/>
            <rFont val="Tahoma"/>
            <family val="2"/>
          </rPr>
          <t>IRPF 3º TRIM 2023:
11.833,83 E: Lo cargarán en caixa: 20/10/23 
Cargado Caixa: 20/10/23</t>
        </r>
      </text>
    </comment>
    <comment ref="CC96" authorId="1" shapeId="0" xr:uid="{51D67577-41F0-4DC5-9166-A526A32D750C}">
      <text>
        <r>
          <rPr>
            <b/>
            <sz val="9"/>
            <color indexed="81"/>
            <rFont val="Tahoma"/>
            <family val="2"/>
          </rPr>
          <t>IRPF mensual cobrado cada trimestre:</t>
        </r>
        <r>
          <rPr>
            <sz val="9"/>
            <color indexed="81"/>
            <rFont val="Tahoma"/>
            <family val="2"/>
          </rPr>
          <t xml:space="preserve">
1650 Alberto
2165 Alfonso, María y Rosa
IRPF 4º TRIM 2023:
12.418,39€: Lo cargarán en caixa: 20/01/24 
Cargado Caixa: 22/01/24
Incluye 1,56€ de IRPF noviembre y 24€ de IRPF diciembre 2023 de Federico</t>
        </r>
      </text>
    </comment>
    <comment ref="CE96" authorId="2" shapeId="0" xr:uid="{6DCF6AFE-41DE-40FB-9FE5-15F624361C6D}">
      <text>
        <r>
          <rPr>
            <b/>
            <sz val="9"/>
            <color indexed="81"/>
            <rFont val="Tahoma"/>
            <family val="2"/>
          </rPr>
          <t xml:space="preserve">Complementario IRPF 4ºT 2023. 
</t>
        </r>
        <r>
          <rPr>
            <sz val="9"/>
            <color indexed="81"/>
            <rFont val="Tahoma"/>
            <family val="2"/>
          </rPr>
          <t>206,64€: Transf. Caixa realizada el 20/03/24</t>
        </r>
        <r>
          <rPr>
            <b/>
            <sz val="9"/>
            <color indexed="81"/>
            <rFont val="Tahoma"/>
            <family val="2"/>
          </rPr>
          <t xml:space="preserve">
</t>
        </r>
        <r>
          <rPr>
            <sz val="9"/>
            <color indexed="81"/>
            <rFont val="Tahoma"/>
            <family val="2"/>
          </rPr>
          <t xml:space="preserve">
</t>
        </r>
      </text>
    </comment>
    <comment ref="CF96" authorId="1" shapeId="0" xr:uid="{2E066B06-0EA1-4367-ACDC-44C189CC4D92}">
      <text>
        <r>
          <rPr>
            <b/>
            <sz val="9"/>
            <color indexed="81"/>
            <rFont val="Tahoma"/>
            <family val="2"/>
          </rPr>
          <t>IRPF mensual cobrado cada trimestre:</t>
        </r>
        <r>
          <rPr>
            <sz val="9"/>
            <color indexed="81"/>
            <rFont val="Tahoma"/>
            <family val="2"/>
          </rPr>
          <t xml:space="preserve">
1650 Alberto
2165 Alfonso, María y Rosa</t>
        </r>
      </text>
    </comment>
    <comment ref="CI96" authorId="1" shapeId="0" xr:uid="{B132377E-7AE7-4B0A-B1D7-37A3AC642453}">
      <text>
        <r>
          <rPr>
            <b/>
            <sz val="9"/>
            <color indexed="81"/>
            <rFont val="Tahoma"/>
            <family val="2"/>
          </rPr>
          <t>IRPF mensual cobrado cada trimestre:</t>
        </r>
        <r>
          <rPr>
            <sz val="9"/>
            <color indexed="81"/>
            <rFont val="Tahoma"/>
            <family val="2"/>
          </rPr>
          <t xml:space="preserve">
1650 Alberto
2165 Alfonso, María y Rosa</t>
        </r>
      </text>
    </comment>
    <comment ref="CN96" authorId="1" shapeId="0" xr:uid="{03BE678B-8033-40E8-942B-882082469B60}">
      <text>
        <r>
          <rPr>
            <b/>
            <sz val="9"/>
            <color indexed="81"/>
            <rFont val="Tahoma"/>
            <family val="2"/>
          </rPr>
          <t>IRPF mensual cobrado cada trimestre:</t>
        </r>
        <r>
          <rPr>
            <sz val="9"/>
            <color indexed="81"/>
            <rFont val="Tahoma"/>
            <family val="2"/>
          </rPr>
          <t xml:space="preserve">
1650 Alberto
2165 Alfonso, María y Rosa</t>
        </r>
      </text>
    </comment>
    <comment ref="CQ96" authorId="1" shapeId="0" xr:uid="{7B747F69-1879-4A9C-80F0-0F18D2BCEDCF}">
      <text>
        <r>
          <rPr>
            <b/>
            <sz val="9"/>
            <color indexed="81"/>
            <rFont val="Tahoma"/>
            <family val="2"/>
          </rPr>
          <t>IRPF mensual cobrado cada trimestre:</t>
        </r>
        <r>
          <rPr>
            <sz val="9"/>
            <color indexed="81"/>
            <rFont val="Tahoma"/>
            <family val="2"/>
          </rPr>
          <t xml:space="preserve">
1650 Alberto
2165 Alfonso, María y Rosa</t>
        </r>
      </text>
    </comment>
    <comment ref="CT96" authorId="1" shapeId="0" xr:uid="{62419280-464F-4D5A-96D2-4E8312C06F4C}">
      <text>
        <r>
          <rPr>
            <b/>
            <sz val="9"/>
            <color indexed="81"/>
            <rFont val="Tahoma"/>
            <family val="2"/>
          </rPr>
          <t>IRPF mensual cobrado cada trimestre:</t>
        </r>
        <r>
          <rPr>
            <sz val="9"/>
            <color indexed="81"/>
            <rFont val="Tahoma"/>
            <family val="2"/>
          </rPr>
          <t xml:space="preserve">
1650 Alberto
2165 Alfonso, María y Rosa</t>
        </r>
      </text>
    </comment>
    <comment ref="CW96" authorId="1" shapeId="0" xr:uid="{57132F6D-CF05-49CF-8FDD-686713313435}">
      <text>
        <r>
          <rPr>
            <b/>
            <sz val="9"/>
            <color indexed="81"/>
            <rFont val="Tahoma"/>
            <family val="2"/>
          </rPr>
          <t>IRPF mensual cobrado cada trimestre:</t>
        </r>
        <r>
          <rPr>
            <sz val="9"/>
            <color indexed="81"/>
            <rFont val="Tahoma"/>
            <family val="2"/>
          </rPr>
          <t xml:space="preserve">
1650 Alberto
2165 Alfonso, María y Rosa</t>
        </r>
      </text>
    </comment>
    <comment ref="DA96" authorId="1" shapeId="0" xr:uid="{054982B7-F624-4154-BA9C-C02EB5AE5FE9}">
      <text>
        <r>
          <rPr>
            <b/>
            <sz val="9"/>
            <color indexed="81"/>
            <rFont val="Tahoma"/>
            <family val="2"/>
          </rPr>
          <t>IRPF mensual cobrado cada trimestre:</t>
        </r>
        <r>
          <rPr>
            <sz val="9"/>
            <color indexed="81"/>
            <rFont val="Tahoma"/>
            <family val="2"/>
          </rPr>
          <t xml:space="preserve">
1650 Alberto
2165 Alfonso, María y Rosa</t>
        </r>
      </text>
    </comment>
    <comment ref="DD96" authorId="1" shapeId="0" xr:uid="{4A704FA2-3CD0-4D99-9D1A-C5B094A69003}">
      <text>
        <r>
          <rPr>
            <b/>
            <sz val="9"/>
            <color indexed="81"/>
            <rFont val="Tahoma"/>
            <family val="2"/>
          </rPr>
          <t>IRPF mensual cobrado cada trimestre:</t>
        </r>
        <r>
          <rPr>
            <sz val="9"/>
            <color indexed="81"/>
            <rFont val="Tahoma"/>
            <family val="2"/>
          </rPr>
          <t xml:space="preserve">
1650 Alberto
2165 Alfonso, María y Rosa</t>
        </r>
      </text>
    </comment>
    <comment ref="DG96" authorId="1" shapeId="0" xr:uid="{050C2C88-E30D-4C3D-8634-ACC631D92C6C}">
      <text>
        <r>
          <rPr>
            <b/>
            <sz val="9"/>
            <color indexed="81"/>
            <rFont val="Tahoma"/>
            <family val="2"/>
          </rPr>
          <t>IRPF mensual cobrado cada trimestre:</t>
        </r>
        <r>
          <rPr>
            <sz val="9"/>
            <color indexed="81"/>
            <rFont val="Tahoma"/>
            <family val="2"/>
          </rPr>
          <t xml:space="preserve">
1650 Alberto
2165 Alfonso, María y Rosa</t>
        </r>
      </text>
    </comment>
    <comment ref="DJ96" authorId="1" shapeId="0" xr:uid="{7350C1AC-D608-4F77-BBCB-175AA7C42F2F}">
      <text>
        <r>
          <rPr>
            <b/>
            <sz val="9"/>
            <color indexed="81"/>
            <rFont val="Tahoma"/>
            <family val="2"/>
          </rPr>
          <t>IRPF mensual cobrado cada trimestre:</t>
        </r>
        <r>
          <rPr>
            <sz val="9"/>
            <color indexed="81"/>
            <rFont val="Tahoma"/>
            <family val="2"/>
          </rPr>
          <t xml:space="preserve">
1650 Alberto
2165 Alfonso, María y Rosa</t>
        </r>
      </text>
    </comment>
    <comment ref="V97" authorId="5" shapeId="0" xr:uid="{00000000-0006-0000-0100-000001010000}">
      <text>
        <r>
          <rPr>
            <b/>
            <sz val="9"/>
            <color indexed="81"/>
            <rFont val="Tahoma"/>
            <family val="2"/>
          </rPr>
          <t xml:space="preserve">Alberto:
</t>
        </r>
        <r>
          <rPr>
            <sz val="9"/>
            <color indexed="81"/>
            <rFont val="Tahoma"/>
            <family val="2"/>
          </rPr>
          <t xml:space="preserve"> 3095 IS 2018</t>
        </r>
      </text>
    </comment>
    <comment ref="AA97" authorId="3" shapeId="0" xr:uid="{00000000-0006-0000-0100-000002010000}">
      <text>
        <r>
          <rPr>
            <sz val="9"/>
            <color indexed="81"/>
            <rFont val="Tahoma"/>
            <family val="2"/>
          </rPr>
          <t xml:space="preserve">IS pago a cuenta (2T y 3T): 557,19
Lo cargan el 20/12. El 2T lo mete aquí la gestoría por error, pq se le pasó. Si viene multa la cubran ellos (email veronica 12/12)
</t>
        </r>
      </text>
    </comment>
    <comment ref="AG97" authorId="1" shapeId="0" xr:uid="{00000000-0006-0000-0100-000003010000}">
      <text>
        <r>
          <rPr>
            <b/>
            <sz val="9"/>
            <color indexed="81"/>
            <rFont val="Tahoma"/>
            <family val="2"/>
          </rPr>
          <t xml:space="preserve">alfonso:
</t>
        </r>
        <r>
          <rPr>
            <sz val="9"/>
            <color indexed="81"/>
            <rFont val="Tahoma"/>
            <family val="2"/>
          </rPr>
          <t>557,19 a cuenta del IS 2019, basado en resultados de 2018
Movido aquí de abril por el caso especial COVID-19. a pagar el 20/5
Cargado: 20/05/20</t>
        </r>
      </text>
    </comment>
    <comment ref="AI97" authorId="0" shapeId="0" xr:uid="{00000000-0006-0000-0100-000004010000}">
      <text>
        <r>
          <rPr>
            <b/>
            <sz val="9"/>
            <color indexed="81"/>
            <rFont val="Tahoma"/>
            <family val="2"/>
          </rPr>
          <t>rosa:</t>
        </r>
        <r>
          <rPr>
            <sz val="9"/>
            <color indexed="81"/>
            <rFont val="Tahoma"/>
            <family val="2"/>
          </rPr>
          <t xml:space="preserve">
Anotado: 14780 E
Cargado: 14219,73 E</t>
        </r>
      </text>
    </comment>
    <comment ref="AM97" authorId="1" shapeId="0" xr:uid="{00000000-0006-0000-0100-000005010000}">
      <text>
        <r>
          <rPr>
            <b/>
            <sz val="9"/>
            <color indexed="81"/>
            <rFont val="Tahoma"/>
            <family val="2"/>
          </rPr>
          <t>rosa:</t>
        </r>
        <r>
          <rPr>
            <sz val="9"/>
            <color indexed="81"/>
            <rFont val="Tahoma"/>
            <family val="2"/>
          </rPr>
          <t xml:space="preserve">
Modelo 202 confirmado por Sinver 2,760,14 E
</t>
        </r>
      </text>
    </comment>
    <comment ref="AO97" authorId="0" shapeId="0" xr:uid="{00000000-0006-0000-0100-000006010000}">
      <text>
        <r>
          <rPr>
            <sz val="9"/>
            <color indexed="81"/>
            <rFont val="Tahoma"/>
            <family val="2"/>
          </rPr>
          <t>modelo 202 pago a  IS por importe 2.760,14 €
Se cargará en cuenta el día 20/12.
Confirmado por Sinver: 01/12/20</t>
        </r>
        <r>
          <rPr>
            <b/>
            <sz val="9"/>
            <color indexed="81"/>
            <rFont val="Tahoma"/>
            <family val="2"/>
          </rPr>
          <t xml:space="preserve">
</t>
        </r>
        <r>
          <rPr>
            <sz val="9"/>
            <color indexed="81"/>
            <rFont val="Tahoma"/>
            <family val="2"/>
          </rPr>
          <t>Cargado Caixa: 21/12/20</t>
        </r>
      </text>
    </comment>
    <comment ref="AS97" authorId="2" shapeId="0" xr:uid="{4C78AFB4-DBB6-4CAB-9F82-FD2061D57780}">
      <text>
        <r>
          <rPr>
            <b/>
            <sz val="9"/>
            <color indexed="81"/>
            <rFont val="Tahoma"/>
            <family val="2"/>
          </rPr>
          <t>Devolución IS.</t>
        </r>
        <r>
          <rPr>
            <sz val="9"/>
            <color indexed="81"/>
            <rFont val="Tahoma"/>
            <family val="2"/>
          </rPr>
          <t xml:space="preserve"> 
Ingresado en caixa el 28/04/21.
</t>
        </r>
      </text>
    </comment>
    <comment ref="BE97" authorId="3" shapeId="0" xr:uid="{6A842534-B124-4C49-9BB3-73A4DC729154}">
      <text>
        <r>
          <rPr>
            <sz val="9"/>
            <color indexed="81"/>
            <rFont val="Tahoma"/>
            <family val="2"/>
          </rPr>
          <t>ACA BIO:
6375 USD (8500*0,75)
Fra del 09/11/20
Abonado: 18/12/20
637,50 USD: Comprobar que se ha deducido esta cantidad en el IS
-------------------------------
 ACA-Rosadani 3500 cbm x 2 usd/cbm
Info de alberto 31/03/21: El precio se modifica a 0,75 usd/cbm.
Fra del 05/04/21
Abonado 2.362,50 USD: 31/05/21.
262,5 USD: Comprobar que se ha deducido esta cantidad en el IS
--------------------------------------------------
24/03/22: Confirmado por Sinver: 26805,81€
Aplicada deducción por las retenciones de Argentina (900$=734,65€) y pagos fraccionados del 20/10 y 20/12/20 por un total de 5520,28€
26805,81€: Cargado BBVA: 25/03/22</t>
        </r>
      </text>
    </comment>
    <comment ref="BF97" authorId="1" shapeId="0" xr:uid="{05962602-30BB-4A79-B0AA-43FA1AA6DF9A}">
      <text>
        <r>
          <rPr>
            <sz val="9"/>
            <color indexed="81"/>
            <rFont val="Tahoma"/>
            <family val="2"/>
          </rPr>
          <t xml:space="preserve">
Modelo 222 confirmado por Sinver 5818,70€
Lo cargarán el 20/04/22
Cargado Caixa: 20/04/22
</t>
        </r>
      </text>
    </comment>
    <comment ref="BM97" authorId="0" shapeId="0" xr:uid="{594E80F4-E041-46FC-A67C-8D0299EE63CA}">
      <text>
        <r>
          <rPr>
            <b/>
            <sz val="9"/>
            <color indexed="81"/>
            <rFont val="Tahoma"/>
            <family val="2"/>
          </rPr>
          <t xml:space="preserve">Pagos a cuenta IS
</t>
        </r>
        <r>
          <rPr>
            <sz val="9"/>
            <color indexed="81"/>
            <rFont val="Tahoma"/>
            <family val="2"/>
          </rPr>
          <t>Modelo 222 confirmado por Sinver 5818,70€</t>
        </r>
        <r>
          <rPr>
            <b/>
            <sz val="9"/>
            <color indexed="81"/>
            <rFont val="Tahoma"/>
            <family val="2"/>
          </rPr>
          <t xml:space="preserve">
</t>
        </r>
        <r>
          <rPr>
            <sz val="9"/>
            <color indexed="81"/>
            <rFont val="Tahoma"/>
            <family val="2"/>
          </rPr>
          <t>Lo cargarán el 20/10/22</t>
        </r>
      </text>
    </comment>
    <comment ref="BO97" authorId="0" shapeId="0" xr:uid="{D6570E49-7467-4093-8297-22AFCB45B996}">
      <text>
        <r>
          <rPr>
            <b/>
            <sz val="9"/>
            <color indexed="81"/>
            <rFont val="Tahoma"/>
            <family val="2"/>
          </rPr>
          <t xml:space="preserve">Pagos a cuenta IS
</t>
        </r>
        <r>
          <rPr>
            <sz val="9"/>
            <color indexed="81"/>
            <rFont val="Tahoma"/>
            <family val="2"/>
          </rPr>
          <t>Modelo 222 confirmado por Sinver 5818,70€</t>
        </r>
        <r>
          <rPr>
            <b/>
            <sz val="9"/>
            <color indexed="81"/>
            <rFont val="Tahoma"/>
            <family val="2"/>
          </rPr>
          <t xml:space="preserve">
</t>
        </r>
        <r>
          <rPr>
            <sz val="9"/>
            <color indexed="81"/>
            <rFont val="Tahoma"/>
            <family val="2"/>
          </rPr>
          <t>Cargado el 20/12/22</t>
        </r>
      </text>
    </comment>
    <comment ref="BQ97" authorId="3" shapeId="0" xr:uid="{C86FB74B-A68A-42AB-8A41-52F15F0D86CA}">
      <text>
        <r>
          <rPr>
            <sz val="9"/>
            <color indexed="81"/>
            <rFont val="Tahoma"/>
            <family val="2"/>
          </rPr>
          <t xml:space="preserve">
IS
26805,81€: Cargado BBVA: 25/03/22
04/04/22: Info Alf, pndte reponer en la Cta BBVA desde Caixa</t>
        </r>
      </text>
    </comment>
    <comment ref="BR97" authorId="2" shapeId="0" xr:uid="{9EF22077-CE5D-48EB-AC14-51DE9DCA844D}">
      <text>
        <r>
          <rPr>
            <b/>
            <sz val="9"/>
            <color indexed="81"/>
            <rFont val="Tahoma"/>
            <family val="2"/>
          </rPr>
          <t xml:space="preserve">ACA BIO:
</t>
        </r>
        <r>
          <rPr>
            <sz val="9"/>
            <color indexed="81"/>
            <rFont val="Tahoma"/>
            <family val="2"/>
          </rPr>
          <t>9.804,98 cbm ACA-Cremer x 0,75 USD/cbm 1H Aug loading.  
Emitir factura en Octubre
Fra del 20/10/21
Cobro Fra Cta VFX: 02/12/21
Tc aplicado: 1,128664
Ingresan 10% menos: Es una retención, este importe se podrá deducir en la declaración del Impuesto de Sociedades en España.
Solicitado a David el 03/12/21
735,37 USD: Comprobar que se ha deducido esta cantidad en el IS
Ok aplicado: 651,54€
-----------------------------------------------------------
20/03/23: Confirmado por Sinver: 227.071,42€
Aplicada deducción por las retenciones de Argentina (735,37$=651,54€) y pago fraccionado del 20/04/22 por un total de 5.818,70€
197.100€: Lo cargarán en BBVA el 25/03/23
197100€: Cargado BBVA: 23/03/23
El resto 29.971,42€ + 3,75%</t>
        </r>
      </text>
    </comment>
    <comment ref="BS97" authorId="0" shapeId="0" xr:uid="{5BEA5EC4-D151-4D37-8DF3-80A02F10D3FA}">
      <text>
        <r>
          <rPr>
            <b/>
            <sz val="9"/>
            <color indexed="81"/>
            <rFont val="Tahoma"/>
            <family val="2"/>
          </rPr>
          <t xml:space="preserve">Pagos a cuenta IS
</t>
        </r>
        <r>
          <rPr>
            <sz val="9"/>
            <color indexed="81"/>
            <rFont val="Tahoma"/>
            <family val="2"/>
          </rPr>
          <t>Modelo 222 confirmado por Sinver 1008€
Resto pndte reclamación de hacienda</t>
        </r>
        <r>
          <rPr>
            <b/>
            <sz val="9"/>
            <color indexed="81"/>
            <rFont val="Tahoma"/>
            <family val="2"/>
          </rPr>
          <t xml:space="preserve">
</t>
        </r>
        <r>
          <rPr>
            <sz val="9"/>
            <color indexed="81"/>
            <rFont val="Tahoma"/>
            <family val="2"/>
          </rPr>
          <t xml:space="preserve">1008€: Cargado en BBVA el 20/04/23 </t>
        </r>
      </text>
    </comment>
    <comment ref="BU97" authorId="2" shapeId="0" xr:uid="{7B707065-F2DE-4BF2-B009-6B4F974B8C3D}">
      <text>
        <r>
          <rPr>
            <sz val="9"/>
            <color indexed="81"/>
            <rFont val="Tahoma"/>
            <family val="2"/>
          </rPr>
          <t xml:space="preserve">20/03/23: Confirmado por Sinver: 227.071,42€
Aplicada deducción por las retenciones de Argentina (735,37$=651,54€) y pago fraccionado del 20/04/22 por un total de 5.818,70€
197.100€: Lo cargarán en BBVA el 25/03/23
El resto 29.971,42€ + 283,55€ interes estimados: 30.254,97€ lo cargarán en BBVA el 20/06/23
Finalmente cargan 143,44€ 
Compensan el IS con la devolución de IVA del mes de marzo
-4295,63€: Abonado Caixa: 23/06/23
----------------------------------------
</t>
        </r>
      </text>
    </comment>
    <comment ref="BZ97" authorId="0" shapeId="0" xr:uid="{D85F5EDB-08D8-46EF-B6AC-93E13279201C}">
      <text>
        <r>
          <rPr>
            <b/>
            <sz val="9"/>
            <color indexed="81"/>
            <rFont val="Tahoma"/>
            <family val="2"/>
          </rPr>
          <t xml:space="preserve">Pagos a cuenta IS
</t>
        </r>
        <r>
          <rPr>
            <sz val="9"/>
            <color indexed="81"/>
            <rFont val="Tahoma"/>
            <family val="2"/>
          </rPr>
          <t>Modelo 222 confirmado por Sinver 1008€
Resto pndte reclamación de hacienda</t>
        </r>
        <r>
          <rPr>
            <b/>
            <sz val="9"/>
            <color indexed="81"/>
            <rFont val="Tahoma"/>
            <family val="2"/>
          </rPr>
          <t xml:space="preserve">
</t>
        </r>
        <r>
          <rPr>
            <sz val="9"/>
            <color indexed="81"/>
            <rFont val="Tahoma"/>
            <family val="2"/>
          </rPr>
          <t xml:space="preserve">1008€: Cargado en BBVA el 20/10/23 </t>
        </r>
      </text>
    </comment>
    <comment ref="CB97" authorId="0" shapeId="0" xr:uid="{1121EF3B-ED8E-4EB5-AD3B-D169C922EED2}">
      <text>
        <r>
          <rPr>
            <b/>
            <sz val="9"/>
            <color indexed="81"/>
            <rFont val="Tahoma"/>
            <family val="2"/>
          </rPr>
          <t xml:space="preserve">Pagos a cuenta IS
</t>
        </r>
        <r>
          <rPr>
            <sz val="9"/>
            <color indexed="81"/>
            <rFont val="Tahoma"/>
            <family val="2"/>
          </rPr>
          <t>Modelo 222 confirmado por Sinver 1008€
Resto pndte reclamación de hacienda</t>
        </r>
        <r>
          <rPr>
            <b/>
            <sz val="9"/>
            <color indexed="81"/>
            <rFont val="Tahoma"/>
            <family val="2"/>
          </rPr>
          <t xml:space="preserve">
</t>
        </r>
        <r>
          <rPr>
            <sz val="9"/>
            <color indexed="81"/>
            <rFont val="Tahoma"/>
            <family val="2"/>
          </rPr>
          <t xml:space="preserve">1008€: Cargado en BBVA el 20/12/23 </t>
        </r>
      </text>
    </comment>
    <comment ref="CF97" authorId="2" shapeId="0" xr:uid="{DDF4B0F8-5240-4DBB-83BF-8EA2652DD331}">
      <text>
        <r>
          <rPr>
            <sz val="9"/>
            <color indexed="81"/>
            <rFont val="Tahoma"/>
            <family val="2"/>
          </rPr>
          <t xml:space="preserve">
Descontar del IS los pagos a cuenta de octubre y diciembre 2022 y de abril 2023
21/03/24: Confirmado por Sinver: 10.499,12€ a devolver
IS: 17.192,30€ (25% 4.298,08€ a pagar)
Aplicada deducción por las retenciones de Argentina (2000$=2.151,80€) y pagos fraccionados de octubre y diciembre 2022 y de abril 2023 por un total de 12.645,40€
10.499,12€: Pndte ingreso en Caixa
</t>
        </r>
      </text>
    </comment>
    <comment ref="CG97" authorId="0" shapeId="0" xr:uid="{CF5F4BCE-02FF-4B40-A959-51347A79E86D}">
      <text>
        <r>
          <rPr>
            <b/>
            <sz val="9"/>
            <color indexed="81"/>
            <rFont val="Tahoma"/>
            <family val="2"/>
          </rPr>
          <t>Debe estar anotado en abril
1º pago a cuenta</t>
        </r>
      </text>
    </comment>
    <comment ref="CH97" authorId="0" shapeId="0" xr:uid="{C0E264C4-BC45-476C-98C5-0D5EFD5A464C}">
      <text>
        <r>
          <rPr>
            <b/>
            <sz val="9"/>
            <color indexed="81"/>
            <rFont val="Tahoma"/>
            <family val="2"/>
          </rPr>
          <t xml:space="preserve">Pagos a cuenta IS
</t>
        </r>
        <r>
          <rPr>
            <sz val="9"/>
            <color indexed="81"/>
            <rFont val="Tahoma"/>
            <family val="2"/>
          </rPr>
          <t>Modelo 222 confirmado por Sinver 1008€
Resto pndte reclamación de hacienda</t>
        </r>
        <r>
          <rPr>
            <b/>
            <sz val="9"/>
            <color indexed="81"/>
            <rFont val="Tahoma"/>
            <family val="2"/>
          </rPr>
          <t xml:space="preserve">
</t>
        </r>
        <r>
          <rPr>
            <sz val="9"/>
            <color indexed="81"/>
            <rFont val="Tahoma"/>
            <family val="2"/>
          </rPr>
          <t xml:space="preserve">1008€: Cargado en BBVA el 20/04/23 
Pndte reclamación hacienda para pagar el resto
-------------------------
</t>
        </r>
        <r>
          <rPr>
            <b/>
            <sz val="9"/>
            <color indexed="81"/>
            <rFont val="Tahoma"/>
            <family val="2"/>
          </rPr>
          <t>Pagos a cuenta IS</t>
        </r>
        <r>
          <rPr>
            <sz val="9"/>
            <color indexed="81"/>
            <rFont val="Tahoma"/>
            <family val="2"/>
          </rPr>
          <t xml:space="preserve">
Modelo 222 confirmado por Sinver 1008€
Resto pndte reclamación de hacienda
1008€: Cargado en BBVA el 20/10/23 
Pndte reclamación hacienda para pagar el resto
---------------------------------
</t>
        </r>
        <r>
          <rPr>
            <b/>
            <sz val="9"/>
            <color indexed="81"/>
            <rFont val="Tahoma"/>
            <family val="2"/>
          </rPr>
          <t>Pagos a cuenta IS</t>
        </r>
        <r>
          <rPr>
            <sz val="9"/>
            <color indexed="81"/>
            <rFont val="Tahoma"/>
            <family val="2"/>
          </rPr>
          <t xml:space="preserve">
Modelo 222 confirmado por Sinver 1008€
Resto pndte reclamación de hacienda
1008€: Cargado en BBVA el 20/12/23 </t>
        </r>
      </text>
    </comment>
    <comment ref="CS97" authorId="2" shapeId="0" xr:uid="{E580A905-23F8-4787-8495-D3345A4D3656}">
      <text>
        <r>
          <rPr>
            <sz val="9"/>
            <color indexed="81"/>
            <rFont val="Tahoma"/>
            <family val="2"/>
          </rPr>
          <t xml:space="preserve">
Descontar del IS los pagos a cuenta de octubre y diciembre 2023 y de abril 2024</t>
        </r>
      </text>
    </comment>
    <comment ref="DF97" authorId="2" shapeId="0" xr:uid="{32662C63-8711-4C9D-91D4-046EFCE13D03}">
      <text>
        <r>
          <rPr>
            <sz val="9"/>
            <color indexed="81"/>
            <rFont val="Tahoma"/>
            <family val="2"/>
          </rPr>
          <t xml:space="preserve">
Descontar del IS los pagos a cuenta de octubre y diciembre 2023 y de abril 2024</t>
        </r>
      </text>
    </comment>
    <comment ref="X98" authorId="1" shapeId="0" xr:uid="{00000000-0006-0000-0100-000007010000}">
      <text>
        <r>
          <rPr>
            <b/>
            <sz val="8"/>
            <color indexed="81"/>
            <rFont val="Tahoma"/>
            <family val="2"/>
          </rPr>
          <t>alfonso:</t>
        </r>
        <r>
          <rPr>
            <sz val="8"/>
            <color indexed="81"/>
            <rFont val="Tahoma"/>
            <family val="2"/>
          </rPr>
          <t xml:space="preserve">
40,80 pago multa por presentar tarde declaracion facturas. Pasado a sinver con agosto y pagado en sept.</t>
        </r>
      </text>
    </comment>
    <comment ref="AH98" authorId="0" shapeId="0" xr:uid="{00000000-0006-0000-0100-000008010000}">
      <text>
        <r>
          <rPr>
            <b/>
            <sz val="9"/>
            <color indexed="81"/>
            <rFont val="Tahoma"/>
            <family val="2"/>
          </rPr>
          <t>rosa:</t>
        </r>
        <r>
          <rPr>
            <sz val="9"/>
            <color indexed="81"/>
            <rFont val="Tahoma"/>
            <family val="2"/>
          </rPr>
          <t xml:space="preserve">
Bundeskasse Trier: Devoluciión de IVA pagado en algún viaje a  Alemania, Ingreso extrao.
Abonado Caixa: 05/06/20</t>
        </r>
      </text>
    </comment>
    <comment ref="AQ98" authorId="0" shapeId="0" xr:uid="{00000000-0006-0000-0100-000009010000}">
      <text>
        <r>
          <rPr>
            <sz val="9"/>
            <color indexed="81"/>
            <rFont val="Tahoma"/>
            <family val="2"/>
          </rPr>
          <t>modelo 600  Imp. de Transmisiones patrimoniales de Molino por importe de 4,60 E.</t>
        </r>
        <r>
          <rPr>
            <b/>
            <sz val="9"/>
            <color indexed="81"/>
            <rFont val="Tahoma"/>
            <family val="2"/>
          </rPr>
          <t xml:space="preserve">
</t>
        </r>
        <r>
          <rPr>
            <sz val="9"/>
            <color indexed="81"/>
            <rFont val="Tahoma"/>
            <family val="2"/>
          </rPr>
          <t>Cargado Caixa: 03/02/21
----------------------
25 E: Pago sanción  IS 2018 Molino. 
Facilitada Cta Nixal por ALF a Sinver
Cargado: 18/02/21.</t>
        </r>
      </text>
    </comment>
    <comment ref="BI98" authorId="0" shapeId="0" xr:uid="{D2BA69E2-DD3B-417D-AA66-8455B6F3A2DC}">
      <text>
        <r>
          <rPr>
            <sz val="9"/>
            <color indexed="81"/>
            <rFont val="Tahoma"/>
            <family val="2"/>
          </rPr>
          <t>Recibo IBI Inmueble República Argentina
del 01/01 al 30/06/22
645,94€+ 32,30€ recargo= 678,24€
Cargado Caixa: 19/07/22</t>
        </r>
      </text>
    </comment>
    <comment ref="BN98" authorId="0" shapeId="0" xr:uid="{AD4904A9-C891-4807-B6AE-690CE02F9D58}">
      <text>
        <r>
          <rPr>
            <sz val="9"/>
            <color indexed="81"/>
            <rFont val="Tahoma"/>
            <family val="2"/>
          </rPr>
          <t>Recibo IBI Inmueble República Argentina
del 01/07 al 31/12/22
613,64€
Cargado Caixa: 04/11/22</t>
        </r>
      </text>
    </comment>
    <comment ref="BO98" authorId="0" shapeId="0" xr:uid="{73024586-8B1E-4F21-B13F-BDE73560C76F}">
      <text>
        <r>
          <rPr>
            <sz val="9"/>
            <color indexed="81"/>
            <rFont val="Tahoma"/>
            <family val="2"/>
          </rPr>
          <t>Modelo 031: Derechos de Importación e Impuestos Indirectos por importe de 15,75€.
Cargado Caixa: 22/12/22</t>
        </r>
      </text>
    </comment>
    <comment ref="BT98" authorId="2" shapeId="0" xr:uid="{D7B74A31-4976-44E4-BA8F-BE48DEC6449F}">
      <text>
        <r>
          <rPr>
            <sz val="9"/>
            <color indexed="81"/>
            <rFont val="Tahoma"/>
            <family val="2"/>
          </rPr>
          <t>Impuesto sobre vehiculo - Coche Land Rover Defender 3577LNJ. 
132,99€ Realizar transferencia y domiciliar en caixa Nixal antes del 30/05/23
Cargado Caixa: 15/05/23</t>
        </r>
      </text>
    </comment>
    <comment ref="BU98" authorId="0" shapeId="0" xr:uid="{239192D4-E255-4171-BAF6-E3D9FFAC44C7}">
      <text>
        <r>
          <rPr>
            <sz val="9"/>
            <color indexed="81"/>
            <rFont val="Tahoma"/>
            <family val="2"/>
          </rPr>
          <t>Recibo IBI Inmueble República Argentina
del 01/01 al 30/06/23
613,64€
Cargado Caixa: 02/06/23</t>
        </r>
      </text>
    </comment>
    <comment ref="BZ98" authorId="2" shapeId="0" xr:uid="{92B9BB32-6C8C-474E-9FEB-B4B874F007E8}">
      <text>
        <r>
          <rPr>
            <sz val="9"/>
            <color indexed="81"/>
            <rFont val="Tahoma"/>
            <family val="2"/>
          </rPr>
          <t>Pago IAE ejercicio 2022 con recargo: 978,00€. 
Cargado: 02/10/23
-------------------------
Pago IAE ejercicio 2023: 931,43€
Cargado: 02/10/23</t>
        </r>
      </text>
    </comment>
    <comment ref="CA98" authorId="0" shapeId="0" xr:uid="{3FC076D1-2156-407E-B544-E024746052B9}">
      <text>
        <r>
          <rPr>
            <sz val="9"/>
            <color indexed="81"/>
            <rFont val="Tahoma"/>
            <family val="2"/>
          </rPr>
          <t>Recibo IBI Inmueble República Argentina
del 01/07 al 31/12/23
613,64€
Cargado Caixa: 02/11/23</t>
        </r>
      </text>
    </comment>
    <comment ref="CO98" authorId="0" shapeId="0" xr:uid="{AEEBD2BA-9EC0-45F9-B2B7-CF1C0042BD0F}">
      <text>
        <r>
          <rPr>
            <sz val="9"/>
            <color indexed="81"/>
            <rFont val="Tahoma"/>
            <family val="2"/>
          </rPr>
          <t>Recibo IBI Inmueble República Argentina
del 01/07 al 31/12/22
613,64€
Cargado Caixa: 04/11/22</t>
        </r>
      </text>
    </comment>
    <comment ref="X99" authorId="1" shapeId="0" xr:uid="{00000000-0006-0000-0100-00000A010000}">
      <text>
        <r>
          <rPr>
            <b/>
            <sz val="8"/>
            <color indexed="81"/>
            <rFont val="Tahoma"/>
            <family val="2"/>
          </rPr>
          <t>alfonso:</t>
        </r>
        <r>
          <rPr>
            <sz val="8"/>
            <color indexed="81"/>
            <rFont val="Tahoma"/>
            <family val="2"/>
          </rPr>
          <t xml:space="preserve">
Servicios bancarios recepción transferecias:
CREMER 87,56
Devolucion de otras:
43,78+7,5+10,89</t>
        </r>
      </text>
    </comment>
    <comment ref="AC99" authorId="1" shapeId="0" xr:uid="{00000000-0006-0000-0100-00000B010000}">
      <text>
        <r>
          <rPr>
            <b/>
            <sz val="9"/>
            <color indexed="81"/>
            <rFont val="Tahoma"/>
            <family val="2"/>
          </rPr>
          <t>alfonso:</t>
        </r>
        <r>
          <rPr>
            <sz val="9"/>
            <color indexed="81"/>
            <rFont val="Tahoma"/>
            <family val="2"/>
          </rPr>
          <t xml:space="preserve">
1 eu de comision bancaria cobro guidepoint
25 comision cobro roquette
7,50 comision cobro guidepoint</t>
        </r>
      </text>
    </comment>
    <comment ref="AD99" authorId="1" shapeId="0" xr:uid="{00000000-0006-0000-0100-00000C010000}">
      <text>
        <r>
          <rPr>
            <b/>
            <sz val="9"/>
            <color indexed="81"/>
            <rFont val="Tahoma"/>
            <family val="2"/>
          </rPr>
          <t>alfonso:</t>
        </r>
        <r>
          <rPr>
            <sz val="9"/>
            <color indexed="81"/>
            <rFont val="Tahoma"/>
            <family val="2"/>
          </rPr>
          <t xml:space="preserve">
80 de cobro 40,000 bioagra
1 de cobro Marquis</t>
        </r>
      </text>
    </comment>
    <comment ref="AE99" authorId="1" shapeId="0" xr:uid="{00000000-0006-0000-0100-00000D010000}">
      <text>
        <r>
          <rPr>
            <b/>
            <sz val="9"/>
            <color indexed="81"/>
            <rFont val="Tahoma"/>
            <family val="2"/>
          </rPr>
          <t>alfonso:</t>
        </r>
        <r>
          <rPr>
            <sz val="9"/>
            <color indexed="81"/>
            <rFont val="Tahoma"/>
            <family val="2"/>
          </rPr>
          <t xml:space="preserve">
39000 eu entran en banco
78 eu comision bancaria cobro verivio de 39000 este mes
</t>
        </r>
      </text>
    </comment>
    <comment ref="AF99" authorId="0" shapeId="0" xr:uid="{00000000-0006-0000-0100-00000E010000}">
      <text>
        <r>
          <rPr>
            <b/>
            <sz val="9"/>
            <color indexed="81"/>
            <rFont val="Tahoma"/>
            <family val="2"/>
          </rPr>
          <t>rosa:</t>
        </r>
        <r>
          <rPr>
            <sz val="9"/>
            <color indexed="81"/>
            <rFont val="Tahoma"/>
            <family val="2"/>
          </rPr>
          <t xml:space="preserve">
250€: Constitución cuenta de crédito
Cargado: 07/04/20
20 USD: Comisión por ingreso de 86791,12 USD en Cta Paragon el 02/04/2020
165,80 USD: Comisiones y gastos apertura en Cta Paragon del  02 al 14/04/2020</t>
        </r>
      </text>
    </comment>
    <comment ref="AG99" authorId="0" shapeId="0" xr:uid="{00000000-0006-0000-0100-00000F010000}">
      <text>
        <r>
          <rPr>
            <b/>
            <sz val="9"/>
            <color indexed="81"/>
            <rFont val="Tahoma"/>
            <family val="2"/>
          </rPr>
          <t>rosa:</t>
        </r>
        <r>
          <rPr>
            <sz val="9"/>
            <color indexed="81"/>
            <rFont val="Tahoma"/>
            <family val="2"/>
          </rPr>
          <t xml:space="preserve">
77,6 comision bancaria cobro Shell de este mes: 14/05/20
1 E: Comisión cobro fra Guidepoint 
72,90 USD: Comisiones y gastos apertura en Cta Paragon del  01/05/2020
20,61 USD: Comisiones y gastos cierre en Cta Paragon del  29/05/2020</t>
        </r>
      </text>
    </comment>
    <comment ref="AH99" authorId="0" shapeId="0" xr:uid="{00000000-0006-0000-0100-000010010000}">
      <text>
        <r>
          <rPr>
            <b/>
            <sz val="9"/>
            <color indexed="81"/>
            <rFont val="Tahoma"/>
            <family val="2"/>
          </rPr>
          <t>rosa:</t>
        </r>
        <r>
          <rPr>
            <sz val="9"/>
            <color indexed="81"/>
            <rFont val="Tahoma"/>
            <family val="2"/>
          </rPr>
          <t xml:space="preserve">
0,30 E: C. servicio Paygold
Cargado: 02/06/20
52,29 USD: Comisiones y gastos cierre en Cta Paragon del  02/06/2020
145,80 USD: Comisiones y gastos cierre en Cta Paragon del 19/06/2020
</t>
        </r>
      </text>
    </comment>
    <comment ref="AI99" authorId="0" shapeId="0" xr:uid="{00000000-0006-0000-0100-000011010000}">
      <text>
        <r>
          <rPr>
            <b/>
            <sz val="9"/>
            <color indexed="81"/>
            <rFont val="Tahoma"/>
            <family val="2"/>
          </rPr>
          <t>rosa:</t>
        </r>
        <r>
          <rPr>
            <sz val="9"/>
            <color indexed="81"/>
            <rFont val="Tahoma"/>
            <family val="2"/>
          </rPr>
          <t xml:space="preserve">
41,67 E: Liquidación cuenta de crédito
Cargado: 01/07/20
80 E: Cuota mantenimiento tarjeta
Lo cargan en VISA el 05/07/20
123,75 E: Intereses del préstamo del 07/06 al 06/07/20
Cargado: 07/07/20
20 USD: Comisión por ingreso de 15800 USD en Cta Paragon el 17/07/2020</t>
        </r>
      </text>
    </comment>
    <comment ref="AJ99" authorId="0" shapeId="0" xr:uid="{00000000-0006-0000-0100-000012010000}">
      <text>
        <r>
          <rPr>
            <b/>
            <sz val="9"/>
            <color indexed="81"/>
            <rFont val="Tahoma"/>
            <family val="2"/>
          </rPr>
          <t>rosa:</t>
        </r>
        <r>
          <rPr>
            <sz val="9"/>
            <color indexed="81"/>
            <rFont val="Tahoma"/>
            <family val="2"/>
          </rPr>
          <t xml:space="preserve">
145,01 E: Gastos por realizar transferencia cargado por error
Cargado: 31/08/20</t>
        </r>
      </text>
    </comment>
    <comment ref="AL99" authorId="0" shapeId="0" xr:uid="{00000000-0006-0000-0100-000013010000}">
      <text>
        <r>
          <rPr>
            <b/>
            <sz val="9"/>
            <color indexed="81"/>
            <rFont val="Tahoma"/>
            <family val="2"/>
          </rPr>
          <t>rosa:</t>
        </r>
        <r>
          <rPr>
            <sz val="9"/>
            <color indexed="81"/>
            <rFont val="Tahoma"/>
            <family val="2"/>
          </rPr>
          <t xml:space="preserve">
145,01 E: Devolución de gastos por realizar transferencia cargado por error el 31/08
Abonado: 02/09/20
7 E: Gastos por talonario pagarés
Cargado: 21/09</t>
        </r>
      </text>
    </comment>
    <comment ref="AM99" authorId="0" shapeId="0" xr:uid="{00000000-0006-0000-0100-000014010000}">
      <text>
        <r>
          <rPr>
            <b/>
            <sz val="9"/>
            <color indexed="81"/>
            <rFont val="Tahoma"/>
            <family val="2"/>
          </rPr>
          <t>rosa:</t>
        </r>
        <r>
          <rPr>
            <sz val="9"/>
            <color indexed="81"/>
            <rFont val="Tahoma"/>
            <family val="2"/>
          </rPr>
          <t xml:space="preserve">
4,78 E: Coste por consulta y  verificación de información en Caixa el 03/10/20
Cargado: 07/10/20
1200 E: Comisión apertura línea descuento pagarés
Cargado Cta Tradeind: 28/10/20
20 USD: Comisión por ingreso de 28440,72 USD en Cta Paragon el 16/10/2020</t>
        </r>
      </text>
    </comment>
    <comment ref="AO99" authorId="1" shapeId="0" xr:uid="{00000000-0006-0000-0100-000016010000}">
      <text>
        <r>
          <rPr>
            <sz val="9"/>
            <color indexed="81"/>
            <rFont val="Tahoma"/>
            <family val="2"/>
          </rPr>
          <t xml:space="preserve">----------------------------------
269,25 E: Cargo por Timbre el 30/12/20 por ingreso de pagaré de Ladercos
14/01/21: Solicitada devolución a Caixa
-----------------------------------
</t>
        </r>
      </text>
    </comment>
    <comment ref="AP99" authorId="1" shapeId="0" xr:uid="{00000000-0006-0000-0100-000017010000}">
      <text>
        <r>
          <rPr>
            <sz val="9"/>
            <color indexed="81"/>
            <rFont val="Tahoma"/>
            <family val="2"/>
          </rPr>
          <t xml:space="preserve">
80 eu comision bancaria del cobro de 40000 de bioagra
------------------
100 E: Comisión por devolución de transferencias
Cargado Caixa: 11/01/21
---------------------------
220 USD: Comisión por ingreso aportación de socios de 55000 USD el 08/01/21
-------------------------
403,18 USD: Comisión por traspaso de 55000 USD de la Cta Caixa USD a la Cta Paragon el 27/01/21
-------------------------
145,80 USD: Comisiones y gastos apertura en Cta Paragon del 22/01/2021
-------------------------</t>
        </r>
      </text>
    </comment>
    <comment ref="AQ99" authorId="0" shapeId="0" xr:uid="{00000000-0006-0000-0100-000018010000}">
      <text>
        <r>
          <rPr>
            <sz val="9"/>
            <color indexed="81"/>
            <rFont val="Tahoma"/>
            <family val="2"/>
          </rPr>
          <t xml:space="preserve">-214 USD: Devolución comisión por ingreso aportación de socios de 55000 USD el 08/01/21
Abonado Caixa USD: 06/02/21
-------------------------
-192,50 USD: Devolución comisión por traspaso de 55000 USD de la Cta Caixa USD a la Cta Paragon el 27/01/21
Abonado Caixa USD: 06/02/21
-18,18 USD: Devolución comisión por SWIFT x traspaso de 55000 USD de la Cta Caixa USD a la Cta Paragon el 27/01/21
Abonado Caixa USD: 09/02/21
------------------------------------------
- 80E Devolución por comision bancaria del cobro de 40000 de bioagra el 06/02/21.
------------------------------------------
-12,5*4=-50 E: Devolución comisión por devolución de transferencias
Cargado Caixa: 06/02/21
</t>
        </r>
      </text>
    </comment>
    <comment ref="AR99" authorId="2" shapeId="0" xr:uid="{C06726C5-DFBC-4624-8B5B-8A3391434A73}">
      <text>
        <r>
          <rPr>
            <sz val="9"/>
            <color indexed="81"/>
            <rFont val="Tahoma"/>
            <family val="2"/>
          </rPr>
          <t>-------------
274,80 USD : Comisiones y Exchange fees en cuenta Paragon a 01/03/21.</t>
        </r>
      </text>
    </comment>
    <comment ref="AS99" authorId="0" shapeId="0" xr:uid="{00000000-0006-0000-0100-000019010000}">
      <text>
        <r>
          <rPr>
            <sz val="9"/>
            <color indexed="81"/>
            <rFont val="Tahoma"/>
            <family val="2"/>
          </rPr>
          <t>14,40 USD: comisión de mantenimiento.
Tc: 1,2240
cargado Caixa USD: 01/04/21.
---------------------------------------------------
7,39 USD: Comision caixa por transfer recibida del cobro de Seaboard.
Tc: 1,2018.
Cargado en caixa USD: 21/04/21.
------------------------------------------------------
1,39 E: Liquidación cuenta de crédito
Cargado: 02/04/21.
------------------------------------------------------
14,85 E: Gasto descuento por ingresar pagaré De Ruy con antelación. Cargado el 07/04/21 en Caja rural. 
----------------------------------------------------------
68,7 USD comisión y exchange fees caragado en cuenta Paragon el 12/04/21.</t>
        </r>
      </text>
    </comment>
    <comment ref="AT99" authorId="0" shapeId="0" xr:uid="{4FD93A11-B11D-40F4-854E-E58F68740046}">
      <text>
        <r>
          <rPr>
            <sz val="9"/>
            <color indexed="81"/>
            <rFont val="Tahoma"/>
            <family val="2"/>
          </rPr>
          <t xml:space="preserve">15 Eur: Comisión emision transferencia internacional. Pago factura Agricensus.
Caragado el 04/05/21.
------------------------------------------------------
15 Eur: Comisión emision transferencia internacional. Pago factura Energycensus.
Caragado el 04/05/21.
----------------------------------------------------
7,41 USD: Comision caixa por transfer recibida del cobro de SCA.
Tc: 1,2039.
Cargado en caixa USD: 07/05/21.
--------------------------------------------------------
7,49 USD: Comision caixa por transfer recibida del cobro de ACA bio.
Tc: 1,20499.
Cargado en caixa USD: 31/05/21.
------------------------------------------------------
7,5 Eur: Devolución comisión emision transferencia internacional. factura Agricensus.
Caragado el 30/05/21.
---------------------------------------------------
7,5 Eur: Devolución comisión emision transferencia internacional. factura Energycensus.
Caragado el 30/05/21.
-------------------------------------------------
5.517,46 USD: Paragon: Commission + exchange fees + NFA fees + Option premium.
Cargado del 10 al 13/05/21.
 </t>
        </r>
      </text>
    </comment>
    <comment ref="AU99" authorId="2" shapeId="0" xr:uid="{3406FB5C-9E74-4E97-A9E1-850B9FA7F093}">
      <text>
        <r>
          <rPr>
            <sz val="9"/>
            <color indexed="81"/>
            <rFont val="Tahoma"/>
            <family val="2"/>
          </rPr>
          <t xml:space="preserve">
1 Eur: comisión cobro greenenergy. 
Cargado: 25/06/21.
-------------------------------------------------
2 Eur: comision business bank en caixa Trade ind. 
Cargado: 22/06/21.
---------------------------------------------------
18,27 USD : comisión pago factura Tropix capital. Cargado: 02/06/21. 
---------------------------------------------------
65,57 USD: Comision transferencia a VFX financial. 
Cargado: 08/06/21.
--------------------------------------------------
556,38 USD: Paragon: Commission + exchange fees + NFA fees.
Cargado del 11 al 25/06/21.
--------------------------------------------------
30 USD: Comisión traspaso paragon-vfx. 
Cargado: 25/06/21.
---------------------------------------------------
30 Eur: Comisión traspaso paragon-vfx. 
Cargado: 25/06/21.
---------------------------------------------------- 
55 USD: Dolares que se pierden en la transacción. No llegó la totalidad desde Caixa a VFX. Tc= 1,2050
---------------------------------------------------</t>
        </r>
      </text>
    </comment>
    <comment ref="AV99" authorId="2" shapeId="0" xr:uid="{F01DC056-90F5-4CDD-8121-4FEA19D943F0}">
      <text>
        <r>
          <rPr>
            <sz val="9"/>
            <color indexed="81"/>
            <rFont val="Tahoma"/>
            <family val="2"/>
          </rPr>
          <t>1€: Comisión cobro vivergo.
---------------------------------------------------
178,97 Eur: Intereses descuento pagarés ladercos y DE RUY. 
Cargado el 19/07/21.
-------------------------------------------------
2,43€: comision mantenimiento cuenta trade ind. 
-------------------------------------------------
1.200 Eur: gastos y comisiones compra inmueble. 
Cargado en BBVA el 22/07/21. 
------------------------------------------------
148,84 Eur: Comisiones Paragon: 171,75 USD al Tc: 1,1539</t>
        </r>
      </text>
    </comment>
    <comment ref="AW99" authorId="2" shapeId="0" xr:uid="{CEDA5E91-8EBE-4CFF-A8E6-3E6AC464ED42}">
      <text>
        <r>
          <rPr>
            <sz val="9"/>
            <color indexed="81"/>
            <rFont val="Tahoma"/>
            <family val="2"/>
          </rPr>
          <t xml:space="preserve">10,34€: comision mantenimiento Cuenta Caixa USD. 
(12,14/1,1736)
---------------------------------
29,77€: Comisiones paragon cargadas el 05/08/21
34,35usd al T.C=1,1539
</t>
        </r>
      </text>
    </comment>
    <comment ref="AY99" authorId="2" shapeId="0" xr:uid="{EF0D1B5F-106F-4C52-9A48-4FA4781AEEA0}">
      <text>
        <r>
          <rPr>
            <sz val="9"/>
            <color indexed="81"/>
            <rFont val="Tahoma"/>
            <family val="2"/>
          </rPr>
          <t>3€: comision por devolución domiciliación Safinco cargada el 02/09/21 
Cargado: 21/09/21
---------------------------------
3€: comision por devolución domiciliación Safinco cargada el 14/09/21 
Cargado: 21/09/21
-------------------------------
1199,44€: Comisiones paragon cargadas entre el 7 y 29/09/21
716,07 usd al T.C=1,1539
673,17 usd al T.C=1,1629
----------------------------------
78,30€: Comisiones paragon cargadas el 20/09/21
-----------------------------------
120€: Comisión por recepción transferencia de Alberto de 60000€, reclamada a Jesús el 07/10/21
Cargada: 25/09/21
----------------------------------------</t>
        </r>
      </text>
    </comment>
    <comment ref="AZ99" authorId="0" shapeId="0" xr:uid="{1960574B-1FCF-4556-A112-34F25CD6648D}">
      <text>
        <r>
          <rPr>
            <sz val="9"/>
            <color indexed="81"/>
            <rFont val="Tahoma"/>
            <family val="2"/>
          </rPr>
          <t>7,12 USD: comision por ingreso de Castleton en Caixa USD. 
Cargado Caixa USD: 02/10/21
Tc: 1,1637
---------------------------------
-120€: Devolución Comisión por recepción transferencia de Alberto de 60000€
Abonada: 07/10/21
---------------------------------
24,88 Eur: Intereses descuento pagarés DE RUY. 
Cargado el 06/10/21.
------------------------------------
12,13€: comision mantenimiento Cuenta Caixa USD. 
(14,23/1,1736)
Cargado Cta Caixa USD: 01/10/21
----------------------------------
31,33 USD: Comision Caixa por transferencia a VFX financial. 
Cargado: 05/10/21.
Tc: 1,1637</t>
        </r>
      </text>
    </comment>
    <comment ref="BB99" authorId="0" shapeId="0" xr:uid="{D5A5E927-D19A-49EA-859C-ECCB1376DDF3}">
      <text>
        <r>
          <rPr>
            <sz val="9"/>
            <color indexed="81"/>
            <rFont val="Tahoma"/>
            <family val="2"/>
          </rPr>
          <t>70€: Comisión por recepción transferencia de Herederos de 35000€, reclamada a Jesús el 27/12/21
Cargada: 24/12/21
---------------------------------
-70€: Devolución Comisión por recepción transferencia de Herederos de 35000€
Abonada Caixa: 28/12/21
---------------------------------
3€: comision por devolución domiciliación Safinco cargada el 16/11/21 
Cargado: 01/12/21
----------------------------
78,30€: Comisiones operaciones Paragon en €.
-----------------------------------------------------------
504,47€: Comisiones operaciones Paragon (585,54 usd).</t>
        </r>
      </text>
    </comment>
    <comment ref="BC99" authorId="0" shapeId="0" xr:uid="{C613C8FC-EDF0-4C37-A3F4-D8CC8F08A4AE}">
      <text>
        <r>
          <rPr>
            <sz val="9"/>
            <color indexed="81"/>
            <rFont val="Tahoma"/>
            <family val="2"/>
          </rPr>
          <t>12,28€: comision mantenimiento Cuenta Caixa USD. 
(13,97$/1,1374)
Cargado Cta Caixa USD: 01/01/22
----------------------------------
30,45 USD: Comision Caixa por transferencia a VFX financial. 
Cargado: 26/01/22
Tc: 1,1374</t>
        </r>
      </text>
    </comment>
    <comment ref="BD99" authorId="0" shapeId="0" xr:uid="{264DD2E8-B7CF-4057-83F7-11199E16196B}">
      <text>
        <r>
          <rPr>
            <sz val="9"/>
            <color indexed="81"/>
            <rFont val="Tahoma"/>
            <family val="2"/>
          </rPr>
          <t>1€: Comisión por recepción transferencia de Trafigura
Cargada: 16/02/22
-----------------------------------------------------------
88,78€: Comisiones operaciones Paragon (103,05 usd).</t>
        </r>
      </text>
    </comment>
    <comment ref="BE99" authorId="0" shapeId="0" xr:uid="{E17F24F0-B9F0-447F-88DE-3B7526F72BBE}">
      <text>
        <r>
          <rPr>
            <sz val="9"/>
            <color indexed="81"/>
            <rFont val="Tahoma"/>
            <family val="2"/>
          </rPr>
          <t>1€: Comisión por recepción transferencia de Greenergy
Cargada: 25/03/22
-----------------------------------------------------------
4,43€: Comisión por transferencia a ISO
Cargada: 24/03/22
-----------------------------------------------------------
88,92€: Comisiones operaciones Paragon (103,05 usd).</t>
        </r>
      </text>
    </comment>
    <comment ref="BF99" authorId="0" shapeId="0" xr:uid="{9E7BCECF-9018-45C5-9866-75D3BFF0CF27}">
      <text>
        <r>
          <rPr>
            <sz val="9"/>
            <color indexed="81"/>
            <rFont val="Tahoma"/>
            <family val="2"/>
          </rPr>
          <t>12,29€: comision mantenimiento Cuenta Caixa USD. 
(13,59$/1,1055)
Cargado Cta Caixa USD: 01/04/22
----------------------------------
59,28€: Comisiones operaciones Paragon (68,70 usd).
----------------------------------
832,30€: Comisión por ingreso de Total Energies en BBVA el 22/04/22 (pndte devoluc)
-----------------------------------
173,64€: Comisión por ingreso de Total Energies en BBVA el 25/04/22 (pndte devoluc)
------------------------------------</t>
        </r>
      </text>
    </comment>
    <comment ref="BG99" authorId="0" shapeId="0" xr:uid="{0F2E5DE4-7627-4FFB-98CB-3E3492741CF2}">
      <text>
        <r>
          <rPr>
            <sz val="9"/>
            <color indexed="81"/>
            <rFont val="Tahoma"/>
            <family val="2"/>
          </rPr>
          <t>238,84€: Comisiones operaciones Paragon (270,55 usd).
-------------------------------------------
1,63€: Comisiones por servicios telemáticos
Cargado BBVA: 03/05/22</t>
        </r>
      </text>
    </comment>
    <comment ref="BH99" authorId="0" shapeId="0" xr:uid="{902E8871-D976-4F49-A996-932C12B2D52D}">
      <text>
        <r>
          <rPr>
            <sz val="9"/>
            <color indexed="81"/>
            <rFont val="Tahoma"/>
            <family val="2"/>
          </rPr>
          <t>-752,30€: Devolución parte de la comisión por ingreso de Total Energies en BBVA el 22/04/22 
Abonado BBVA: 23/06/22
-----------------------------------
-143,64€: Devolución parte de la comisión por ingreso de Total Energies en BBVA el 25/04/22 
Abonado BBVA: 23/06/22
-------------------------------------
225,51€: Comisiones operaciones Paragon (255,45 usd).
----------------------------------------
15€: Comisión traspaso 60000€ a Alberto
Cargado Caixa: 29/06/22
--------------------------------------- 
0,91€: Comisiones por servicios telemáticos
Cargado BBVA: 01/06/22
---------------------------------------
28,85 USD: Comision Caixa por transferencia a VFX financial. 
Cargado: 02/06/22
Tc: 1,0784</t>
        </r>
      </text>
    </comment>
    <comment ref="BI99" authorId="0" shapeId="0" xr:uid="{F250B58B-734B-4FFF-AE01-1DCEB439C969}">
      <text>
        <r>
          <rPr>
            <sz val="9"/>
            <color indexed="81"/>
            <rFont val="Tahoma"/>
            <family val="2"/>
          </rPr>
          <t>292,78€: Comisiones operaciones Paragon (331,65 usd).
----------------------------------------
11,93€: comision mantenimiento Cuenta Caixa USD. 
(12,87$/1,0784)
Cargado Cta Caixa USD: 12/07/22
----------------------------------
6,13€: comision cobro Redwood
(6,21$/1,0129)
Cargado Cta Caixa USD: 26/07/22
------------------------------
0,36€: Comisiones por servicios telemáticos
Cargado BBVA: 01/07/22
---------------------------------
12€: Comisiones y gastos
Cargado BBVA: 18/07/22</t>
        </r>
      </text>
    </comment>
    <comment ref="BJ99" authorId="0" shapeId="0" xr:uid="{2B42C23D-8162-4580-8C57-2C699665C663}">
      <text>
        <r>
          <rPr>
            <sz val="9"/>
            <color indexed="81"/>
            <rFont val="Tahoma"/>
            <family val="2"/>
          </rPr>
          <t>12€: Comisiones y gastos
Cargado BBVA: 16/08/22
------------------------------------
782,17€: Comisiones operaciones Paragon (855,01 usd).
----------------------------------------</t>
        </r>
      </text>
    </comment>
    <comment ref="BL99" authorId="0" shapeId="0" xr:uid="{84CF536F-DB69-4487-9911-B545A785C15C}">
      <text>
        <r>
          <rPr>
            <sz val="9"/>
            <color indexed="81"/>
            <rFont val="Tahoma"/>
            <family val="2"/>
          </rPr>
          <t>-287,24€: Abono Comisiones operaciones Paragon (-270,45 usd).
----------------------------------------
1,09€: Comisiones por servicios telemáticos
Cargado BBVA: 01/09/22
---------------------------------
12€: Comisiones y gastos
Cargado BBVA: 19/09/22</t>
        </r>
      </text>
    </comment>
    <comment ref="BM99" authorId="0" shapeId="0" xr:uid="{8A7D0203-2DFB-4619-9A23-AD5FE05B9CE2}">
      <text>
        <r>
          <rPr>
            <sz val="9"/>
            <color indexed="81"/>
            <rFont val="Tahoma"/>
            <family val="2"/>
          </rPr>
          <t>16,53€: Comisiones operaciones Paragon (18,06 usd al Tc 1,0927).
----------------------------------------
11,89€: comision mantenimiento Cuenta Caixa USD. 
(12,04$/1,0129)
Cargado Cta Caixa USD: 01/10/22
----------------------------------
26,77€: comision traspaso a VFX $
(26,64$/0,9950)
Cargado Cta Caixa USD: 25/10/22
---------------------------------
12€: Comisiones y gastos
Cargado BBVA: 17/10/22</t>
        </r>
      </text>
    </comment>
    <comment ref="BN99" authorId="0" shapeId="0" xr:uid="{FE066A45-606A-41C3-9ED0-881115BBAEBC}">
      <text>
        <r>
          <rPr>
            <sz val="9"/>
            <color indexed="81"/>
            <rFont val="Tahoma"/>
            <family val="2"/>
          </rPr>
          <t>660,50€: Comisiones operaciones Paragon (721,73 usd al Tc 1,0927).
----------------------------------------
12€: Comisiones y gastos
Cargado BBVA: 16/11/22
----------------------------------------
0,54€: Comisiones por servicios telemáticos
Cargado BBVA: 02/11/22</t>
        </r>
      </text>
    </comment>
    <comment ref="BO99" authorId="0" shapeId="0" xr:uid="{BCB9CB68-55E2-4376-A331-D6F4ADF6F809}">
      <text>
        <r>
          <rPr>
            <sz val="9"/>
            <color indexed="81"/>
            <rFont val="Tahoma"/>
            <family val="2"/>
          </rPr>
          <t>112,21€: Comisiones operaciones Paragon (121,12 usd al Tc 1,0794).
----------------------------------------
27,91€: Comisiones traspaso fondos a VFX (30 usd al Tc 1,0750).
-------------------------------------
12€: Comisiones y gastos
Cargado BBVA: 19/12/22
----------------------------------------
0,36€: Comisiones por servicios telemáticos
Cargado BBVA: 01/12/22</t>
        </r>
      </text>
    </comment>
    <comment ref="BP99" authorId="0" shapeId="0" xr:uid="{E771EF1A-C828-4055-8B80-F75145DEFBC3}">
      <text>
        <r>
          <rPr>
            <sz val="9"/>
            <color indexed="81"/>
            <rFont val="Tahoma"/>
            <family val="2"/>
          </rPr>
          <t>4,05€: Comisión por transferencia urgente a Alberto Bello
Cargado Caixa: 09/01/23
---------------------------------
13,22€: comision mantenimiento Cuenta Caixa USD. 
(13,15$/0,9950)
Cargado Cta Caixa USD: 01/01/23
----------------------------------
12€: Comisiones y gastos
Cargado BBVA: 16/01/23
----------------------------------------
0,18€: Comisiones por servicios telemáticos
Cargado BBVA: 03/01/23</t>
        </r>
      </text>
    </comment>
    <comment ref="BQ99" authorId="0" shapeId="0" xr:uid="{4FED6E3E-0DEE-4206-AEA3-B558B359DB53}">
      <text>
        <r>
          <rPr>
            <b/>
            <sz val="9"/>
            <color indexed="81"/>
            <rFont val="Tahoma"/>
            <family val="2"/>
          </rPr>
          <t>12€: Comisiones y gastos
Cargado BBVA: 16/02/23
---------------------------
1,09€: Comisiones por servicios telemáticos
Cargado BBVA: 01/02/23</t>
        </r>
      </text>
    </comment>
    <comment ref="BR99" authorId="0" shapeId="0" xr:uid="{E579C263-2C2C-47F9-B494-9FC89EF7DB38}">
      <text>
        <r>
          <rPr>
            <sz val="9"/>
            <color indexed="81"/>
            <rFont val="Tahoma"/>
            <family val="2"/>
          </rPr>
          <t>26,61€: comision traspaso a VFX $
(28,46$/1,0696)
Cargado Cta Caixa USD: 15/03/23
---------------------------------
12€: Comisiones y gastos
Cargado BBVA: 15/03/23
----------------------------------
708,86€: Comisiones operaciones Paragon (762 usd al Tc 1,0750).
----------------------------------------
719,16€: Comisiones operaciones Paragon (762 usd al Tc 1,0596).
-------------------------</t>
        </r>
      </text>
    </comment>
    <comment ref="BS99" authorId="0" shapeId="0" xr:uid="{79E3D683-79AD-428E-BE44-CA3F9C0A9B9C}">
      <text>
        <r>
          <rPr>
            <sz val="9"/>
            <color indexed="81"/>
            <rFont val="Tahoma"/>
            <family val="2"/>
          </rPr>
          <t>0,73€: Comisiones por servicios telemáticos
Cargado BBVA: 03/04/23
---------------------------
-0,73€: Devolución comisiones por servicios telemáticos
Abonado BBVA: 14/04/23
-------------------------
-1,09€: Devolución comisiones</t>
        </r>
        <r>
          <rPr>
            <b/>
            <sz val="9"/>
            <color indexed="81"/>
            <rFont val="Tahoma"/>
            <family val="2"/>
          </rPr>
          <t xml:space="preserve"> </t>
        </r>
        <r>
          <rPr>
            <sz val="9"/>
            <color indexed="81"/>
            <rFont val="Tahoma"/>
            <family val="2"/>
          </rPr>
          <t>por servicios telemáticos
Abonado BBVA: 14/04/23
-------------------------
-0,18€: Devolución comisiones por servicios telemáticos
Abonado BBVA: 14/04/23
-------------------------
-0,36€: Devolución comisiones por servicios telemáticos
Abonado BBVA: 14/04/23
-------------------------
-0,54€: Devolución comisiones por servicios telemáticos
Abonado BBVA: 14/04/23
-------------------------
12€: Comisiones y gastos
Cargado BBVA: 17/04/23
-------------------------------------
92,41€: Comisiones recepción transferencia VFX USD (100 usd al Tc 1,0821).
-------------------------</t>
        </r>
      </text>
    </comment>
    <comment ref="BT99" authorId="0" shapeId="0" xr:uid="{5593BEA3-913F-4CC4-811B-7FF97265ED62}">
      <text>
        <r>
          <rPr>
            <sz val="9"/>
            <color indexed="81"/>
            <rFont val="Tahoma"/>
            <family val="2"/>
          </rPr>
          <t xml:space="preserve">12€: Comisiones y gastos
Cargado BBVA: 16/05/23
-------------------------------------
</t>
        </r>
      </text>
    </comment>
    <comment ref="BU99" authorId="0" shapeId="0" xr:uid="{28534AAF-E3FC-45A3-8F6C-0A4B174022D0}">
      <text>
        <r>
          <rPr>
            <sz val="9"/>
            <color indexed="81"/>
            <rFont val="Tahoma"/>
            <family val="2"/>
          </rPr>
          <t>27,72€: Comisiones traspaso fondos a VFX (30 usd al Tc 1,0821).
-------------------------------------
12€: Comisiones y gastos
Cargado BBVA: 19/06/23
-------------------------------------</t>
        </r>
      </text>
    </comment>
    <comment ref="BV99" authorId="0" shapeId="0" xr:uid="{6413D28E-4175-4357-9C90-862D6B679514}">
      <text>
        <r>
          <rPr>
            <sz val="9"/>
            <color indexed="81"/>
            <rFont val="Tahoma"/>
            <family val="2"/>
          </rPr>
          <t>18,73€: Comisión por emisión y mantenimiento tarjeta crédito
Cargado BBVA: 26/07/23
-------------------------------------
18,73€: Comisión por emisión y mantenimiento tarjeta crédito
Cargado BBVA: 26/07/23
-------------------------------------
12€: Comisiones y gastos
Cargado BBVA: 17/07/23
-------------------------------------</t>
        </r>
      </text>
    </comment>
    <comment ref="BW99" authorId="0" shapeId="0" xr:uid="{462E9214-D5D3-4687-9992-BA857F2AC98D}">
      <text>
        <r>
          <rPr>
            <sz val="9"/>
            <color indexed="81"/>
            <rFont val="Tahoma"/>
            <family val="2"/>
          </rPr>
          <t>12€: Comisiones y gastos
Cargado BBVA: 16/08/23
-------------------------------------
63,26€: comision por ingreso del IVA. 
Cargado: 26/08/23.
-63,26€: Devolución comision por ingreso del IVA. 
Abonado: 30/08/23.</t>
        </r>
      </text>
    </comment>
    <comment ref="BY99" authorId="0" shapeId="0" xr:uid="{AF93BEAC-07B7-4EF0-BE67-6E57AC5B8D2E}">
      <text>
        <r>
          <rPr>
            <sz val="9"/>
            <color indexed="81"/>
            <rFont val="Tahoma"/>
            <family val="2"/>
          </rPr>
          <t xml:space="preserve">12€: Comisiones y gastos
Cargado BBVA: 18/09/23
-------------------------------------
</t>
        </r>
      </text>
    </comment>
    <comment ref="BZ99" authorId="0" shapeId="0" xr:uid="{6C04F53C-5D63-447D-9591-0F695B914ED9}">
      <text>
        <r>
          <rPr>
            <sz val="9"/>
            <color indexed="81"/>
            <rFont val="Tahoma"/>
            <family val="2"/>
          </rPr>
          <t>12€: Comisiones y gastos
Cargado BBVA: 16/10/23
-------------------------------------
48,59 E: Intereses financiacion pago proveedores.
Cargado: 13/10/23
-----------------------------
349,54 E: Intereses financiacion pago proveedores.
Cargado: 25/10/23
-----------------------------
95,95 E: Intereses financiacion pago proveedores.
Cargado: 25/10/23
-------------------------------
52,82 E: Intereses financiacion pago proveedores.
Cargado: 26/10/23
----------------------------
48,43 E: Intereses financiacion pago proveedores.
Cargado: 26/10/23
-----------------------------
68,38€: Comisiones operaciones Paragon (73,95 usd al Tc 1,0815).</t>
        </r>
      </text>
    </comment>
    <comment ref="CA99" authorId="0" shapeId="0" xr:uid="{B97B9C48-B3B2-4579-80E8-913E7F07E578}">
      <text>
        <r>
          <rPr>
            <sz val="9"/>
            <color indexed="81"/>
            <rFont val="Tahoma"/>
            <family val="2"/>
          </rPr>
          <t>15,08 E: Intereses financiacion pago proveedores.
Cargado: 14/11/23
-----------------------------
972,68€: Comisiones operaciones Paragon (1.051,80 usd al Tc 1,0813).
---------------------------
12€: Comisiones y gastos
Cargado BBVA: 15/11/23</t>
        </r>
      </text>
    </comment>
    <comment ref="CB99" authorId="0" shapeId="0" xr:uid="{4E8DC5CF-2389-48D7-ADED-B60BC329304D}">
      <text>
        <r>
          <rPr>
            <sz val="9"/>
            <color indexed="81"/>
            <rFont val="Tahoma"/>
            <family val="2"/>
          </rPr>
          <t>12€: Comisiones y gastos
Cargado BBVA: 18/12/23</t>
        </r>
      </text>
    </comment>
    <comment ref="CC99" authorId="0" shapeId="0" xr:uid="{95A6445C-F591-4789-B5E2-E3D9393E03B8}">
      <text>
        <r>
          <rPr>
            <sz val="9"/>
            <color indexed="81"/>
            <rFont val="Tahoma"/>
            <family val="2"/>
          </rPr>
          <t>12€: Comisiones y gastos
Cargado BBVA: 16/01/24
-----------------------------
40€: Comisiones y emisión tarjeta crédito
Cargado BBVA: 15/01/24
-----------------------------
40€: Comisiones y emisión tarjeta crédito
Cargado BBVA: 15/01/24
-----------------------------
527,20€: Comisiones operaciones Paragon (572,86 usd al Tc 1,0866).
---------------------------</t>
        </r>
      </text>
    </comment>
    <comment ref="CD99" authorId="0" shapeId="0" xr:uid="{E14AEA4C-7F6F-467F-835F-E75F9ECEF2ED}">
      <text>
        <r>
          <rPr>
            <sz val="9"/>
            <color indexed="81"/>
            <rFont val="Tahoma"/>
            <family val="2"/>
          </rPr>
          <t>12€: Comisiones y gastos
Cargado BBVA: 16/02/24
-----------------------------
90,34€: Intereses financiacion pago proveedores.
Cargado: 20/02/24</t>
        </r>
        <r>
          <rPr>
            <b/>
            <sz val="9"/>
            <color indexed="81"/>
            <rFont val="Tahoma"/>
            <family val="2"/>
          </rPr>
          <t xml:space="preserve">
---------------------------
</t>
        </r>
        <r>
          <rPr>
            <sz val="9"/>
            <color indexed="81"/>
            <rFont val="Tahoma"/>
            <family val="2"/>
          </rPr>
          <t>66,31€: Intereses financiacion pago proveedores.
Cargado: 21/02/24
---------------------------</t>
        </r>
      </text>
    </comment>
    <comment ref="CE99" authorId="0" shapeId="0" xr:uid="{883ADA58-407C-472A-B4C8-50E04AF38C3E}">
      <text>
        <r>
          <rPr>
            <sz val="9"/>
            <color indexed="81"/>
            <rFont val="Tahoma"/>
            <family val="2"/>
          </rPr>
          <t>89,68€: Intereses financiacion pago proveedores.
Cargado: 15/03/24
---------------------------
12€: Comisiones y gastos
Cargado BBVA: 18/03/24
-----------------------------</t>
        </r>
      </text>
    </comment>
    <comment ref="CG99" authorId="0" shapeId="0" xr:uid="{062ACB0C-A682-475F-BFE2-C4263A2E4700}">
      <text>
        <r>
          <rPr>
            <sz val="9"/>
            <color indexed="81"/>
            <rFont val="Tahoma"/>
            <family val="2"/>
          </rPr>
          <t>-269,25 E: Pendiente devolución del cargo por Timbre el 30/12/20 por ingreso de pagaré de Ladercos
14/01/21: Solicitada devolución a Caixa.
13/10/21: Reclamado a Sinver
01/06/22: Reclamado a Sinver
21/09/23: Reclamado a Sinver
-------------------------------------</t>
        </r>
      </text>
    </comment>
    <comment ref="AG100" authorId="0" shapeId="0" xr:uid="{97BF55E8-A7CE-439D-82DC-53A5ED005452}">
      <text>
        <r>
          <rPr>
            <b/>
            <sz val="9"/>
            <color indexed="81"/>
            <rFont val="Tahoma"/>
            <family val="2"/>
          </rPr>
          <t>rosa:</t>
        </r>
        <r>
          <rPr>
            <sz val="9"/>
            <color indexed="81"/>
            <rFont val="Tahoma"/>
            <family val="2"/>
          </rPr>
          <t xml:space="preserve">
36,52 E: Intereses del préstamo del 28/04 al 06/05/20
Cargado: 07/05/20
</t>
        </r>
      </text>
    </comment>
    <comment ref="AH100" authorId="0" shapeId="0" xr:uid="{36657996-7F34-40CF-A1AA-7C5D6112E10D}">
      <text>
        <r>
          <rPr>
            <b/>
            <sz val="9"/>
            <color indexed="81"/>
            <rFont val="Tahoma"/>
            <family val="2"/>
          </rPr>
          <t>rosa:</t>
        </r>
        <r>
          <rPr>
            <sz val="9"/>
            <color indexed="81"/>
            <rFont val="Tahoma"/>
            <family val="2"/>
          </rPr>
          <t xml:space="preserve">
123,75 E: Intereses del préstamo del 07/05 al 06/06/20
Cargado: 07/06/20
</t>
        </r>
      </text>
    </comment>
    <comment ref="AI100" authorId="0" shapeId="0" xr:uid="{66672D99-F1BF-4F2B-AD1D-E7EC7BC63EE8}">
      <text>
        <r>
          <rPr>
            <b/>
            <sz val="9"/>
            <color indexed="81"/>
            <rFont val="Tahoma"/>
            <family val="2"/>
          </rPr>
          <t>rosa:</t>
        </r>
        <r>
          <rPr>
            <sz val="9"/>
            <color indexed="81"/>
            <rFont val="Tahoma"/>
            <family val="2"/>
          </rPr>
          <t xml:space="preserve">
123,75 E: Intereses del préstamo del 07/06 al 06/07/20
Cargado: 07/07/20
</t>
        </r>
      </text>
    </comment>
    <comment ref="AJ100" authorId="0" shapeId="0" xr:uid="{32F4AD08-8805-414D-8002-2583E1692532}">
      <text>
        <r>
          <rPr>
            <b/>
            <sz val="9"/>
            <color indexed="81"/>
            <rFont val="Tahoma"/>
            <family val="2"/>
          </rPr>
          <t>rosa:</t>
        </r>
        <r>
          <rPr>
            <sz val="9"/>
            <color indexed="81"/>
            <rFont val="Tahoma"/>
            <family val="2"/>
          </rPr>
          <t xml:space="preserve">
123,75 E: Intereses del préstamo del 07/07 al 06/08/20
Cargado: 07/08/20
</t>
        </r>
      </text>
    </comment>
    <comment ref="AL100" authorId="0" shapeId="0" xr:uid="{C3DD18D1-C39F-41BF-BCD4-1A85D85BAC1C}">
      <text>
        <r>
          <rPr>
            <sz val="9"/>
            <color indexed="81"/>
            <rFont val="Tahoma"/>
            <family val="2"/>
          </rPr>
          <t xml:space="preserve">123,75 E: Intereses del préstamo del 07/08 al 06/09/20
Cargado: 07/09/20
</t>
        </r>
      </text>
    </comment>
    <comment ref="AM100" authorId="0" shapeId="0" xr:uid="{C6A68B2C-8097-4A80-A704-55A2CFB2D659}">
      <text>
        <r>
          <rPr>
            <b/>
            <sz val="9"/>
            <color indexed="81"/>
            <rFont val="Tahoma"/>
            <family val="2"/>
          </rPr>
          <t>rosa:</t>
        </r>
        <r>
          <rPr>
            <sz val="9"/>
            <color indexed="81"/>
            <rFont val="Tahoma"/>
            <family val="2"/>
          </rPr>
          <t xml:space="preserve">
123,75 E: Intereses del préstamo del 07/09 al 06/10/20
Cargado: 07/10/20
</t>
        </r>
      </text>
    </comment>
    <comment ref="AN100" authorId="0" shapeId="0" xr:uid="{BB61D70B-F04A-49B7-8DDB-2DDC84238E3D}">
      <text>
        <r>
          <rPr>
            <sz val="9"/>
            <color indexed="81"/>
            <rFont val="Tahoma"/>
            <family val="2"/>
          </rPr>
          <t xml:space="preserve">
123,75 E: Intereses del préstamo del 07/10 al 06/11/20
Cargado: 07/11/20
</t>
        </r>
      </text>
    </comment>
    <comment ref="AO100" authorId="1" shapeId="0" xr:uid="{8F83424A-99AE-4890-A4BF-1419F949AAB6}">
      <text>
        <r>
          <rPr>
            <sz val="9"/>
            <color indexed="81"/>
            <rFont val="Tahoma"/>
            <family val="2"/>
          </rPr>
          <t xml:space="preserve">-----------------------------------
123,75 E: Intereses del préstamo del 07/11 al 06/12/20
Cargado: 07/12/20
</t>
        </r>
      </text>
    </comment>
    <comment ref="AP100" authorId="1" shapeId="0" xr:uid="{1CFDC83E-DDF0-4866-BD22-E5B69A534EC4}">
      <text>
        <r>
          <rPr>
            <sz val="9"/>
            <color indexed="81"/>
            <rFont val="Tahoma"/>
            <family val="2"/>
          </rPr>
          <t xml:space="preserve">123,75 E: Intereses del préstamo del 07/12 al 06/01/21
Cargado: 07/01/21
</t>
        </r>
      </text>
    </comment>
    <comment ref="AQ100" authorId="0" shapeId="0" xr:uid="{C6E29AF8-4BC1-4FC1-8914-2608C466918A}">
      <text>
        <r>
          <rPr>
            <sz val="9"/>
            <color indexed="81"/>
            <rFont val="Tahoma"/>
            <family val="2"/>
          </rPr>
          <t xml:space="preserve">
123,75 E: Intereses del préstamo del 07/01 al 06/02/21
Cargado: 07/02/21
</t>
        </r>
      </text>
    </comment>
    <comment ref="AR100" authorId="2" shapeId="0" xr:uid="{86F37239-0B6A-4867-BA50-8B26E90D8EAB}">
      <text>
        <r>
          <rPr>
            <sz val="9"/>
            <color indexed="81"/>
            <rFont val="Tahoma"/>
            <family val="2"/>
          </rPr>
          <t xml:space="preserve">123,75 E: Intereses del préstamo del 07/02 al 06/03/21
Cargado: 07/03/21
</t>
        </r>
      </text>
    </comment>
    <comment ref="AS100" authorId="0" shapeId="0" xr:uid="{6CE587D5-6ED9-4734-B258-4FB99EEC537A}">
      <text>
        <r>
          <rPr>
            <sz val="9"/>
            <color indexed="81"/>
            <rFont val="Tahoma"/>
            <family val="2"/>
          </rPr>
          <t xml:space="preserve">123,75 E: Intereses del préstamo del 07/03 al 06/04/21
Cargado: 09/04/21
</t>
        </r>
      </text>
    </comment>
    <comment ref="AT100" authorId="0" shapeId="0" xr:uid="{C286668A-2B5F-4964-ABF2-95ED065AA7C1}">
      <text>
        <r>
          <rPr>
            <sz val="9"/>
            <color indexed="81"/>
            <rFont val="Tahoma"/>
            <family val="2"/>
          </rPr>
          <t xml:space="preserve">123,75 E: Intereses del préstamo del 07/04 al 06/05/21
Cargado: 07/05/21.
</t>
        </r>
      </text>
    </comment>
    <comment ref="AU100" authorId="2" shapeId="0" xr:uid="{C283719A-5066-4EA9-A451-4C1FA909A114}">
      <text>
        <r>
          <rPr>
            <sz val="9"/>
            <color indexed="81"/>
            <rFont val="Tahoma"/>
            <family val="2"/>
          </rPr>
          <t xml:space="preserve">123,75 E: Intereses del préstamo del 07/05 al 06/06/21
Cargado: 07/06/21.
</t>
        </r>
      </text>
    </comment>
    <comment ref="AV100" authorId="2" shapeId="0" xr:uid="{024B41C6-A999-4D96-846B-41B91342CDA5}">
      <text>
        <r>
          <rPr>
            <b/>
            <sz val="9"/>
            <color indexed="81"/>
            <rFont val="Tahoma"/>
            <family val="2"/>
          </rPr>
          <t xml:space="preserve">Cargado el 07/07/21. </t>
        </r>
      </text>
    </comment>
    <comment ref="AW100" authorId="2" shapeId="0" xr:uid="{E21EB5CA-68FC-4D18-9F4E-8DE00BCADAB6}">
      <text>
        <r>
          <rPr>
            <b/>
            <sz val="9"/>
            <color indexed="81"/>
            <rFont val="Tahoma"/>
            <family val="2"/>
          </rPr>
          <t xml:space="preserve">Cargado: 07/08/21.
</t>
        </r>
      </text>
    </comment>
    <comment ref="AY100" authorId="2" shapeId="0" xr:uid="{B84AF9C3-062B-4484-87FF-29D4BC386345}">
      <text>
        <r>
          <rPr>
            <b/>
            <sz val="9"/>
            <color indexed="81"/>
            <rFont val="Tahoma"/>
            <family val="2"/>
          </rPr>
          <t xml:space="preserve">Cargado: 07/09/21.
</t>
        </r>
      </text>
    </comment>
    <comment ref="AZ100" authorId="2" shapeId="0" xr:uid="{180A5F95-A12D-45CF-BC73-60E09FB12858}">
      <text>
        <r>
          <rPr>
            <b/>
            <sz val="9"/>
            <color indexed="81"/>
            <rFont val="Tahoma"/>
            <family val="2"/>
          </rPr>
          <t xml:space="preserve">Cargado: 07/10/21.
</t>
        </r>
      </text>
    </comment>
    <comment ref="BA100" authorId="2" shapeId="0" xr:uid="{4A1E6CA6-9F2E-4106-9527-ADD640EB217D}">
      <text>
        <r>
          <rPr>
            <b/>
            <sz val="9"/>
            <color indexed="81"/>
            <rFont val="Tahoma"/>
            <family val="2"/>
          </rPr>
          <t xml:space="preserve">Cargado: 07/11/21.
</t>
        </r>
      </text>
    </comment>
    <comment ref="BB100" authorId="2" shapeId="0" xr:uid="{C0388CFC-F11C-4F0F-A407-D43CED158221}">
      <text>
        <r>
          <rPr>
            <b/>
            <sz val="9"/>
            <color indexed="81"/>
            <rFont val="Tahoma"/>
            <family val="2"/>
          </rPr>
          <t xml:space="preserve">Cargado: 07/12/21.
</t>
        </r>
      </text>
    </comment>
    <comment ref="BC100" authorId="2" shapeId="0" xr:uid="{76B017F6-302B-47FC-9895-8B5F74F6A4BC}">
      <text>
        <r>
          <rPr>
            <b/>
            <sz val="9"/>
            <color indexed="81"/>
            <rFont val="Tahoma"/>
            <family val="2"/>
          </rPr>
          <t xml:space="preserve">Cargado: 07/01/22.
</t>
        </r>
      </text>
    </comment>
    <comment ref="BD100" authorId="2" shapeId="0" xr:uid="{937CF943-85D4-4727-85AF-982B9BD72DAD}">
      <text>
        <r>
          <rPr>
            <b/>
            <sz val="9"/>
            <color indexed="81"/>
            <rFont val="Tahoma"/>
            <family val="2"/>
          </rPr>
          <t xml:space="preserve">Cargado: 07/02/22.
</t>
        </r>
      </text>
    </comment>
    <comment ref="BE100" authorId="2" shapeId="0" xr:uid="{FBD3E36C-6D5B-424B-98B0-FFE2B428ECBD}">
      <text>
        <r>
          <rPr>
            <b/>
            <sz val="9"/>
            <color indexed="81"/>
            <rFont val="Tahoma"/>
            <family val="2"/>
          </rPr>
          <t xml:space="preserve">Cargado: 07/03/22.
</t>
        </r>
      </text>
    </comment>
    <comment ref="BF100" authorId="2" shapeId="0" xr:uid="{9F4710B4-9D48-464C-8CE5-18E9026DC603}">
      <text>
        <r>
          <rPr>
            <b/>
            <sz val="9"/>
            <color indexed="81"/>
            <rFont val="Tahoma"/>
            <family val="2"/>
          </rPr>
          <t xml:space="preserve">Cargado: 07/04/22.
</t>
        </r>
      </text>
    </comment>
    <comment ref="BG100" authorId="2" shapeId="0" xr:uid="{88F79ECD-080D-427C-B54B-6EC99527B1E3}">
      <text>
        <r>
          <rPr>
            <b/>
            <sz val="9"/>
            <color indexed="81"/>
            <rFont val="Tahoma"/>
            <family val="2"/>
          </rPr>
          <t xml:space="preserve">Cargado: 07/05/22.
</t>
        </r>
      </text>
    </comment>
    <comment ref="AG101" authorId="0" shapeId="0" xr:uid="{56513423-570D-43E5-94F9-33611DD6B416}">
      <text>
        <r>
          <rPr>
            <b/>
            <sz val="9"/>
            <color indexed="81"/>
            <rFont val="Tahoma"/>
            <family val="2"/>
          </rPr>
          <t>rosa:</t>
        </r>
        <r>
          <rPr>
            <sz val="9"/>
            <color indexed="81"/>
            <rFont val="Tahoma"/>
            <family val="2"/>
          </rPr>
          <t xml:space="preserve">
33,33 E: Liquidación cuenta de crédito
Cargado: 01/05/20
</t>
        </r>
      </text>
    </comment>
    <comment ref="AH101" authorId="0" shapeId="0" xr:uid="{0E2420B4-C684-4E62-B891-2A6E85958EA9}">
      <text>
        <r>
          <rPr>
            <b/>
            <sz val="9"/>
            <color indexed="81"/>
            <rFont val="Tahoma"/>
            <family val="2"/>
          </rPr>
          <t>rosa:</t>
        </r>
        <r>
          <rPr>
            <sz val="9"/>
            <color indexed="81"/>
            <rFont val="Tahoma"/>
            <family val="2"/>
          </rPr>
          <t xml:space="preserve">
43,06 E: Liquidación cuenta de crédito
Cargado: 01/06/20
</t>
        </r>
      </text>
    </comment>
    <comment ref="AI101" authorId="0" shapeId="0" xr:uid="{AE2F4173-53B7-4F31-85EB-3BE87793B45D}">
      <text>
        <r>
          <rPr>
            <b/>
            <sz val="9"/>
            <color indexed="81"/>
            <rFont val="Tahoma"/>
            <family val="2"/>
          </rPr>
          <t>rosa:</t>
        </r>
        <r>
          <rPr>
            <sz val="9"/>
            <color indexed="81"/>
            <rFont val="Tahoma"/>
            <family val="2"/>
          </rPr>
          <t xml:space="preserve">
41,67 E: Liquidación cuenta de crédito
Cargado: 01/07/20
</t>
        </r>
      </text>
    </comment>
    <comment ref="AJ101" authorId="0" shapeId="0" xr:uid="{12253F1F-C1B7-4F4F-965B-41D28D824C64}">
      <text>
        <r>
          <rPr>
            <b/>
            <sz val="9"/>
            <color indexed="81"/>
            <rFont val="Tahoma"/>
            <family val="2"/>
          </rPr>
          <t>rosa:</t>
        </r>
        <r>
          <rPr>
            <sz val="9"/>
            <color indexed="81"/>
            <rFont val="Tahoma"/>
            <family val="2"/>
          </rPr>
          <t xml:space="preserve">
43,06 E: Liquidación cuenta de crédito
Cargado: 01/08/20
</t>
        </r>
      </text>
    </comment>
    <comment ref="AL101" authorId="0" shapeId="0" xr:uid="{80B9F5CD-9953-4AAF-9898-9F03DAF795A2}">
      <text>
        <r>
          <rPr>
            <sz val="9"/>
            <color indexed="81"/>
            <rFont val="Tahoma"/>
            <family val="2"/>
          </rPr>
          <t xml:space="preserve">43,06 E: Liquidación cuenta de crédito
Cargado: 01/09/20
</t>
        </r>
      </text>
    </comment>
    <comment ref="AM101" authorId="0" shapeId="0" xr:uid="{DEBABE49-EF68-40B8-A315-F93A93AC93CA}">
      <text>
        <r>
          <rPr>
            <b/>
            <sz val="9"/>
            <color indexed="81"/>
            <rFont val="Tahoma"/>
            <family val="2"/>
          </rPr>
          <t>rosa:</t>
        </r>
        <r>
          <rPr>
            <sz val="9"/>
            <color indexed="81"/>
            <rFont val="Tahoma"/>
            <family val="2"/>
          </rPr>
          <t xml:space="preserve">
41,67 E: Liquidación cuenta de crédito
Cargado: 02/10/20
</t>
        </r>
      </text>
    </comment>
    <comment ref="AN101" authorId="0" shapeId="0" xr:uid="{15F61534-138B-40BD-9A5C-D68DB796D058}">
      <text>
        <r>
          <rPr>
            <b/>
            <sz val="9"/>
            <color indexed="81"/>
            <rFont val="Tahoma"/>
            <family val="2"/>
          </rPr>
          <t>rosa:</t>
        </r>
        <r>
          <rPr>
            <sz val="9"/>
            <color indexed="81"/>
            <rFont val="Tahoma"/>
            <family val="2"/>
          </rPr>
          <t xml:space="preserve">
45,25 E: Liquidación cuenta de crédito
Cargado: 01/11/20
</t>
        </r>
      </text>
    </comment>
    <comment ref="AO101" authorId="1" shapeId="0" xr:uid="{42A62517-59DC-4B27-84C7-F9379A489F8C}">
      <text>
        <r>
          <rPr>
            <sz val="9"/>
            <color indexed="81"/>
            <rFont val="Tahoma"/>
            <family val="2"/>
          </rPr>
          <t xml:space="preserve">41,67 E: Liquidación cuenta de crédito
Cargado: 01/12/20
-----------------------------------
</t>
        </r>
      </text>
    </comment>
    <comment ref="AP101" authorId="1" shapeId="0" xr:uid="{6F81BA3E-1B5F-4A3E-94F7-A7346B5C6090}">
      <text>
        <r>
          <rPr>
            <sz val="9"/>
            <color indexed="81"/>
            <rFont val="Tahoma"/>
            <family val="2"/>
          </rPr>
          <t xml:space="preserve">
-------------------
43,06 E: Liquidación cuenta de crédito
Cargado: 01/01/21
</t>
        </r>
      </text>
    </comment>
    <comment ref="AQ101" authorId="0" shapeId="0" xr:uid="{E30FCE4B-92DC-40C3-8A53-A82A0AA250D0}">
      <text>
        <r>
          <rPr>
            <sz val="9"/>
            <color indexed="81"/>
            <rFont val="Tahoma"/>
            <family val="2"/>
          </rPr>
          <t xml:space="preserve">-------------------------
43,06 E: Liquidación cuenta de crédito
Cargado: 01/02/21.
------------------------------------------
</t>
        </r>
      </text>
    </comment>
    <comment ref="AR101" authorId="2" shapeId="0" xr:uid="{16992F17-98D8-4E50-ACA8-54DFF439960C}">
      <text>
        <r>
          <rPr>
            <sz val="9"/>
            <color indexed="81"/>
            <rFont val="Tahoma"/>
            <family val="2"/>
          </rPr>
          <t xml:space="preserve">
38,89 E: Liquidación cuenta de crédito
Cargado: 01/03/21.
</t>
        </r>
      </text>
    </comment>
    <comment ref="AS101" authorId="0" shapeId="0" xr:uid="{AB47BB7B-EBBF-4613-A48C-34133AB15FC3}">
      <text>
        <r>
          <rPr>
            <sz val="9"/>
            <color indexed="81"/>
            <rFont val="Tahoma"/>
            <family val="2"/>
          </rPr>
          <t xml:space="preserve">43,06 E: Liquidación cuenta de crédito
Cargado: 01/04/21.
</t>
        </r>
      </text>
    </comment>
    <comment ref="BZ101" authorId="0" shapeId="0" xr:uid="{BF535191-DA9D-48DF-8974-EE0724A51A5F}">
      <text>
        <r>
          <rPr>
            <sz val="9"/>
            <color indexed="81"/>
            <rFont val="Tahoma"/>
            <family val="2"/>
          </rPr>
          <t>11,11€: Comisión por saldo no dispuesto
Cargado Caixa: 01/10/23</t>
        </r>
      </text>
    </comment>
    <comment ref="CC101" authorId="0" shapeId="0" xr:uid="{1B387FC8-0BCA-4221-AFBB-3D946AC35E44}">
      <text>
        <r>
          <rPr>
            <sz val="9"/>
            <color indexed="81"/>
            <rFont val="Tahoma"/>
            <family val="2"/>
          </rPr>
          <t>255,56€: Comisión por saldo no dispuesto
Cargado Caixa: 01/01/24</t>
        </r>
      </text>
    </comment>
    <comment ref="BV102" authorId="0" shapeId="0" xr:uid="{BE033299-784E-4566-B01D-9DC64C7FC8C5}">
      <text>
        <r>
          <rPr>
            <b/>
            <sz val="9"/>
            <color indexed="81"/>
            <rFont val="Tahoma"/>
            <family val="2"/>
          </rPr>
          <t>Cargado BBVA: 03/07/23</t>
        </r>
      </text>
    </comment>
    <comment ref="BZ102" authorId="0" shapeId="0" xr:uid="{4BE51517-A674-40AF-86B6-92273553A668}">
      <text>
        <r>
          <rPr>
            <b/>
            <sz val="9"/>
            <color indexed="81"/>
            <rFont val="Tahoma"/>
            <family val="2"/>
          </rPr>
          <t>Cargado BBVA: 02/10/23</t>
        </r>
      </text>
    </comment>
    <comment ref="CC102" authorId="0" shapeId="0" xr:uid="{FA9E3F29-84EC-47C5-A47A-314039E3CF31}">
      <text>
        <r>
          <rPr>
            <b/>
            <sz val="9"/>
            <color indexed="81"/>
            <rFont val="Tahoma"/>
            <family val="2"/>
          </rPr>
          <t>Cargado BBVA: 02/01/24</t>
        </r>
      </text>
    </comment>
    <comment ref="AW103" authorId="2" shapeId="0" xr:uid="{4AB123BB-FE1C-4368-89EE-CF7EAE6C8F68}">
      <text>
        <r>
          <rPr>
            <sz val="9"/>
            <color indexed="81"/>
            <rFont val="Tahoma"/>
            <family val="2"/>
          </rPr>
          <t>189,37: intereses 
Cargado: 02/08/21.
------------------------
640: intereses. 
Cargado: 31/08/21</t>
        </r>
      </text>
    </comment>
    <comment ref="AY103" authorId="0" shapeId="0" xr:uid="{487CCCA1-581F-4352-81E7-4D7880BEA77C}">
      <text>
        <r>
          <rPr>
            <b/>
            <sz val="9"/>
            <color indexed="81"/>
            <rFont val="Tahoma"/>
            <family val="2"/>
          </rPr>
          <t>636,93: intereses. 
Cargado: 30/09/21</t>
        </r>
        <r>
          <rPr>
            <sz val="9"/>
            <color indexed="81"/>
            <rFont val="Tahoma"/>
            <family val="2"/>
          </rPr>
          <t xml:space="preserve">
</t>
        </r>
      </text>
    </comment>
    <comment ref="BA103" authorId="0" shapeId="0" xr:uid="{E0FA47CC-1992-40C9-968F-4B32BA847743}">
      <text>
        <r>
          <rPr>
            <b/>
            <sz val="9"/>
            <color indexed="81"/>
            <rFont val="Tahoma"/>
            <family val="2"/>
          </rPr>
          <t xml:space="preserve">633,85€: intereses. 
Cargado: 02/11/21
</t>
        </r>
        <r>
          <rPr>
            <sz val="9"/>
            <color indexed="81"/>
            <rFont val="Tahoma"/>
            <family val="2"/>
          </rPr>
          <t xml:space="preserve">
</t>
        </r>
        <r>
          <rPr>
            <b/>
            <sz val="9"/>
            <color indexed="81"/>
            <rFont val="Tahoma"/>
            <family val="2"/>
          </rPr>
          <t>630,77€: intereses. 
Cargado: 30/11/21</t>
        </r>
      </text>
    </comment>
    <comment ref="BB103" authorId="2" shapeId="0" xr:uid="{3F2E301B-4228-48B8-B9CE-0A4B1C13C1AF}">
      <text>
        <r>
          <rPr>
            <b/>
            <sz val="9"/>
            <color indexed="81"/>
            <rFont val="Tahoma"/>
            <family val="2"/>
          </rPr>
          <t>627,69€: intereses. 
Cargado: 31/12/21</t>
        </r>
      </text>
    </comment>
    <comment ref="BC103" authorId="2" shapeId="0" xr:uid="{A2859D44-8D07-4643-B6CE-89C96B7275C2}">
      <text>
        <r>
          <rPr>
            <b/>
            <sz val="9"/>
            <color indexed="81"/>
            <rFont val="Tahoma"/>
            <family val="2"/>
          </rPr>
          <t>624,60€: intereses. 
Cargado: 31/01/22</t>
        </r>
      </text>
    </comment>
    <comment ref="BD103" authorId="2" shapeId="0" xr:uid="{4B294A6F-DA48-47B9-86EA-8E7288770690}">
      <text>
        <r>
          <rPr>
            <b/>
            <sz val="9"/>
            <color indexed="81"/>
            <rFont val="Tahoma"/>
            <family val="2"/>
          </rPr>
          <t>621,50€: intereses. 
Cargado: 28/02/22</t>
        </r>
      </text>
    </comment>
    <comment ref="BE103" authorId="2" shapeId="0" xr:uid="{637A5FDA-C887-474C-9673-24A056CB619C}">
      <text>
        <r>
          <rPr>
            <b/>
            <sz val="9"/>
            <color indexed="81"/>
            <rFont val="Tahoma"/>
            <family val="2"/>
          </rPr>
          <t>618,40€: intereses. 
Cargado: 31/03/22</t>
        </r>
      </text>
    </comment>
    <comment ref="BG103" authorId="2" shapeId="0" xr:uid="{C33ED423-A388-4A61-9755-2CEB250A1FED}">
      <text>
        <r>
          <rPr>
            <b/>
            <sz val="9"/>
            <color indexed="81"/>
            <rFont val="Tahoma"/>
            <family val="2"/>
          </rPr>
          <t>615,29€: intereses. 
Cargado: 02/05/22
------------------------
612,18€: intereses. 
Cargado: 31/05/22
------------------------</t>
        </r>
      </text>
    </comment>
    <comment ref="BH103" authorId="2" shapeId="0" xr:uid="{96A5FEE7-B95A-4F67-A0CD-79A1D294A282}">
      <text>
        <r>
          <rPr>
            <b/>
            <sz val="9"/>
            <color indexed="81"/>
            <rFont val="Tahoma"/>
            <family val="2"/>
          </rPr>
          <t>609,07€: intereses. 
Cargado: 30/06/22
------------------------</t>
        </r>
      </text>
    </comment>
    <comment ref="BJ103" authorId="2" shapeId="0" xr:uid="{6AA74B37-58AC-4251-AF9B-A7EEB4D8BF28}">
      <text>
        <r>
          <rPr>
            <sz val="9"/>
            <color indexed="81"/>
            <rFont val="Tahoma"/>
            <family val="2"/>
          </rPr>
          <t>605,95:  intereses. 
Cargada: 01/08/22.
602,82: intereses. 
Cargada: 31/08/22.</t>
        </r>
      </text>
    </comment>
    <comment ref="BL103" authorId="2" shapeId="0" xr:uid="{D5A478CE-60F9-4EE0-8C16-D9C5A2EDD005}">
      <text>
        <r>
          <rPr>
            <sz val="9"/>
            <color indexed="81"/>
            <rFont val="Tahoma"/>
            <family val="2"/>
          </rPr>
          <t>599,69: intereses. 
Cargada: 30/09/22.</t>
        </r>
      </text>
    </comment>
    <comment ref="CA104" authorId="0" shapeId="0" xr:uid="{89189BF6-92A1-4CB1-A1E1-EAA32A90E92B}">
      <text>
        <r>
          <rPr>
            <b/>
            <sz val="9"/>
            <color indexed="81"/>
            <rFont val="Tahoma"/>
            <family val="2"/>
          </rPr>
          <t xml:space="preserve">Anotado en previsión: 465€
------------------------
</t>
        </r>
        <r>
          <rPr>
            <sz val="9"/>
            <color indexed="81"/>
            <rFont val="Tahoma"/>
            <family val="2"/>
          </rPr>
          <t>412,74€: Liquidación de Intereses del 10/10 al 10/11/23</t>
        </r>
        <r>
          <rPr>
            <b/>
            <sz val="9"/>
            <color indexed="81"/>
            <rFont val="Tahoma"/>
            <family val="2"/>
          </rPr>
          <t xml:space="preserve">
</t>
        </r>
        <r>
          <rPr>
            <sz val="9"/>
            <color indexed="81"/>
            <rFont val="Tahoma"/>
            <family val="2"/>
          </rPr>
          <t xml:space="preserve">
996,23€: Cargado Bankinter: 10/11/23</t>
        </r>
      </text>
    </comment>
    <comment ref="CB104" authorId="0" shapeId="0" xr:uid="{68D163A1-6A84-4FEB-8793-860D36FCA882}">
      <text>
        <r>
          <rPr>
            <b/>
            <sz val="9"/>
            <color indexed="81"/>
            <rFont val="Tahoma"/>
            <family val="2"/>
          </rPr>
          <t xml:space="preserve">Anotado en previsión: 461,49€
------------------------
</t>
        </r>
        <r>
          <rPr>
            <sz val="9"/>
            <color indexed="81"/>
            <rFont val="Tahoma"/>
            <family val="2"/>
          </rPr>
          <t>387,96€: Liquidación de Intereses del 10/11 al 10/12/23</t>
        </r>
        <r>
          <rPr>
            <b/>
            <sz val="9"/>
            <color indexed="81"/>
            <rFont val="Tahoma"/>
            <family val="2"/>
          </rPr>
          <t xml:space="preserve">
</t>
        </r>
        <r>
          <rPr>
            <sz val="9"/>
            <color indexed="81"/>
            <rFont val="Tahoma"/>
            <family val="2"/>
          </rPr>
          <t xml:space="preserve">
1.001,33€: Cargado Bankinter: 11/12/23</t>
        </r>
      </text>
    </comment>
    <comment ref="CC104" authorId="0" shapeId="0" xr:uid="{5252E402-D1C1-40AB-93AA-E4784CCD7AD0}">
      <text>
        <r>
          <rPr>
            <b/>
            <sz val="9"/>
            <color indexed="81"/>
            <rFont val="Tahoma"/>
            <family val="2"/>
          </rPr>
          <t xml:space="preserve">Anotado en previsión: 457,96€
------------------------
</t>
        </r>
        <r>
          <rPr>
            <sz val="9"/>
            <color indexed="81"/>
            <rFont val="Tahoma"/>
            <family val="2"/>
          </rPr>
          <t>375,47€: Liquidación de Intereses del 10/12 al 10/01/24
997,32€: Cargado Bankinter: 10/01/24</t>
        </r>
      </text>
    </comment>
    <comment ref="CD104" authorId="0" shapeId="0" xr:uid="{A629FD01-5F66-4A5B-9311-06AB4AFA3047}">
      <text>
        <r>
          <rPr>
            <b/>
            <sz val="9"/>
            <color indexed="81"/>
            <rFont val="Tahoma"/>
            <family val="2"/>
          </rPr>
          <t xml:space="preserve">Anotado en previsión: 454,40€
------------------------
</t>
        </r>
        <r>
          <rPr>
            <sz val="9"/>
            <color indexed="81"/>
            <rFont val="Tahoma"/>
            <family val="2"/>
          </rPr>
          <t>369,54€: Liquidación de Intereses del 10/01 al 08/02/24
993,12€: Cargado Bankinter: 10/02/24</t>
        </r>
      </text>
    </comment>
    <comment ref="CE104" authorId="0" shapeId="0" xr:uid="{7C096871-7CCC-4A3E-9D9D-E214CA96AFC0}">
      <text>
        <r>
          <rPr>
            <b/>
            <sz val="9"/>
            <color indexed="81"/>
            <rFont val="Tahoma"/>
            <family val="2"/>
          </rPr>
          <t xml:space="preserve">Anotado en previsión: 450,83€
------------------------
</t>
        </r>
        <r>
          <rPr>
            <sz val="9"/>
            <color indexed="81"/>
            <rFont val="Tahoma"/>
            <family val="2"/>
          </rPr>
          <t>346,24€: Liquidación de Intereses del 10/02 al 10/03/24
970,32€: Cargado Bankinter: 11/03/24</t>
        </r>
      </text>
    </comment>
    <comment ref="CC105" authorId="0" shapeId="0" xr:uid="{00B57E50-ED65-47EF-AF28-C0CB9C9951C8}">
      <text>
        <r>
          <rPr>
            <b/>
            <sz val="9"/>
            <color indexed="81"/>
            <rFont val="Tahoma"/>
            <family val="2"/>
          </rPr>
          <t xml:space="preserve">Anotado en previsión: 499,17€
------------------------
</t>
        </r>
        <r>
          <rPr>
            <sz val="9"/>
            <color indexed="81"/>
            <rFont val="Tahoma"/>
            <family val="2"/>
          </rPr>
          <t>319,42€: Comisión por saldo no dispuesto del 05/10/23 al 05/01/24
319,42€: Cargado Bankinter: 05/01/24</t>
        </r>
      </text>
    </comment>
    <comment ref="AC107" authorId="0" shapeId="0" xr:uid="{00000000-0006-0000-0100-00001A010000}">
      <text>
        <r>
          <rPr>
            <b/>
            <sz val="9"/>
            <color indexed="81"/>
            <rFont val="Tahoma"/>
            <family val="2"/>
          </rPr>
          <t>rosa:</t>
        </r>
        <r>
          <rPr>
            <sz val="9"/>
            <color indexed="81"/>
            <rFont val="Tahoma"/>
            <family val="2"/>
          </rPr>
          <t xml:space="preserve">
200 E Alambique decoración (Alcohol Distilling House, S.L.</t>
        </r>
      </text>
    </comment>
    <comment ref="AO107" authorId="3" shapeId="0" xr:uid="{00000000-0006-0000-0100-00001B010000}">
      <text>
        <r>
          <rPr>
            <b/>
            <sz val="9"/>
            <color indexed="81"/>
            <rFont val="Tahoma"/>
            <family val="2"/>
          </rPr>
          <t>Alberto Carmona:</t>
        </r>
        <r>
          <rPr>
            <sz val="9"/>
            <color indexed="81"/>
            <rFont val="Tahoma"/>
            <family val="2"/>
          </rPr>
          <t xml:space="preserve">
Regalos a clientes previsión dic 1500 E
200€ E: previsión ene 21
-----------------------------
389,47€: Sierra de Jabugo
Factura Nº: A/10770 (17/12/2020)
-----------------------------
389,80€: Sierra de Jabugo
Factura Nº: A/10771 (17/12/2020)
-----------------------------
779,27€: Transferencia Caixa realizada el 28/12/20</t>
        </r>
      </text>
    </comment>
    <comment ref="AP107" authorId="0" shapeId="0" xr:uid="{00000000-0006-0000-0100-00001C010000}">
      <text>
        <r>
          <rPr>
            <b/>
            <sz val="9"/>
            <color indexed="81"/>
            <rFont val="Tahoma"/>
            <family val="2"/>
          </rPr>
          <t xml:space="preserve">Alberto Carmona:
</t>
        </r>
        <r>
          <rPr>
            <sz val="9"/>
            <color indexed="81"/>
            <rFont val="Tahoma"/>
            <family val="2"/>
          </rPr>
          <t>1500 E: Regalos a clientes previsión dic 2020
200 E: previsión ene 21
-------------------------------
354,84€: Sierra de Jabugo
Factura Nº: A/11249 (23/12/2020)
336,36€: Sierra de Jabugo
Factura Nº: A/11223 (23/12/2020)
691,20€: Realizar Transferencia Caixa 07/01/21
Transferencia Caixa realizada el 07/01/21
-----------------------------
343,07 E: Sierra de Jabugo
Factura Nº: A/64 (08/01/21)
343,07 E: Realizar Transferencia Caixa 14/01/21
Transferencia Caixa realizada el 15/01/21
-----------------------------</t>
        </r>
      </text>
    </comment>
    <comment ref="AQ107" authorId="0" shapeId="0" xr:uid="{00000000-0006-0000-0100-00001D010000}">
      <text>
        <r>
          <rPr>
            <b/>
            <sz val="9"/>
            <color indexed="81"/>
            <rFont val="Tahoma"/>
            <family val="2"/>
          </rPr>
          <t xml:space="preserve">Alberto Carmona:
</t>
        </r>
        <r>
          <rPr>
            <sz val="9"/>
            <color indexed="81"/>
            <rFont val="Tahoma"/>
            <family val="2"/>
          </rPr>
          <t>1500 E: Regalos a clientes previsión dic 2020
200 E: previsión ene 21
-----------------------------
347,82 E: Sierra de Jabugo
Factura Nº: A/798 (05/02/21)
194,57: Sierra de Jabugo
Factura Nº: A/1001 (12/02/21)
309,10 E: Sierra de Jabugo
Factura Nº: A/1005 (12/02/21)
851,49 E: Realizar Transferencia Caixa: 12/02/21
Transf. Caixa realizada el 12/02/21</t>
        </r>
      </text>
    </comment>
    <comment ref="AT107" authorId="2" shapeId="0" xr:uid="{2E4557B7-1CB6-43FC-891F-3821B1275DEF}">
      <text>
        <r>
          <rPr>
            <sz val="9"/>
            <color indexed="81"/>
            <rFont val="Tahoma"/>
            <family val="2"/>
          </rPr>
          <t xml:space="preserve">312,33 E: Sierra de Jabugo
Factura Nº: A / 3350 (04/05/21)
Transferencia caixa realizada el 12/05/21. </t>
        </r>
      </text>
    </comment>
    <comment ref="BB107" authorId="2" shapeId="0" xr:uid="{D635D75D-64EA-4971-8F38-80A7387B1888}">
      <text>
        <r>
          <rPr>
            <sz val="9"/>
            <color indexed="81"/>
            <rFont val="Tahoma"/>
            <family val="2"/>
          </rPr>
          <t xml:space="preserve">715 E: Sierra de Jabugo
Factura Nº: A / 11844 (14/12/21)
2406,07 E: Sierra de Jabugo
Factura Nº: A / 11843 (14/12/21)
3121,07€: Transferencia caixa realizada el 24/12/21. </t>
        </r>
      </text>
    </comment>
    <comment ref="BG107" authorId="2" shapeId="0" xr:uid="{3FA9CE62-9B72-43A5-B6B7-0A749F6226D1}">
      <text>
        <r>
          <rPr>
            <sz val="9"/>
            <color indexed="81"/>
            <rFont val="Tahoma"/>
            <family val="2"/>
          </rPr>
          <t>339,63 E: Sierra de Jabugo
Factura Nº: A / 3867 (24/05/22)
Realizar Transferencia caixa 
Transferencia Caixa realizada el 26/05/22.</t>
        </r>
      </text>
    </comment>
    <comment ref="BJ107" authorId="2" shapeId="0" xr:uid="{CCDBDB45-3EE2-4719-9B34-3FDBEDF04815}">
      <text>
        <r>
          <rPr>
            <sz val="9"/>
            <color indexed="81"/>
            <rFont val="Tahoma"/>
            <family val="2"/>
          </rPr>
          <t>162,45 E: Sierra de Jabugo
Factura Nº: A / 5886 (09/08/22)
Transferencia realizada el 18/08/22.</t>
        </r>
      </text>
    </comment>
    <comment ref="BP107" authorId="2" shapeId="0" xr:uid="{0BB04769-DD9A-4D05-A8C1-3232390C8850}">
      <text>
        <r>
          <rPr>
            <sz val="9"/>
            <color indexed="81"/>
            <rFont val="Tahoma"/>
            <family val="2"/>
          </rPr>
          <t>4526,01 E: Sierra de Jabugo
Factura Nº: A / 11262 (29/12/22)
4526,01€: Realizar Transferencia caixa 
Transferencia Caixa realizada el 24/01/23</t>
        </r>
      </text>
    </comment>
    <comment ref="BR107" authorId="2" shapeId="0" xr:uid="{DB9D70D8-04E5-4077-A5A1-6C11ACDD0F68}">
      <text>
        <r>
          <rPr>
            <sz val="9"/>
            <color indexed="81"/>
            <rFont val="Tahoma"/>
            <family val="2"/>
          </rPr>
          <t>466,75 E: Sierra de Jabugo
Factura Nº: A / 2240 (21/03/23)
466,75€: Realizar Transferencia caixa 
Transf. Caixa realizada el 24/03/23</t>
        </r>
      </text>
    </comment>
    <comment ref="BS107" authorId="2" shapeId="0" xr:uid="{AE158CAF-758E-4F73-BF85-C70F12502F3B}">
      <text>
        <r>
          <rPr>
            <sz val="9"/>
            <color indexed="81"/>
            <rFont val="Tahoma"/>
            <family val="2"/>
          </rPr>
          <t>-466,75 E: Sierra de Jabugo
Eliminar esta Factura Nº: A / 2240 (21/03/23) de contab:
-466,75€: Pndte transferencia por pago duplicado 
04/04/23: Facilitada cuenta
Abonado Caixa: 11/04/23</t>
        </r>
      </text>
    </comment>
    <comment ref="CA107" authorId="2" shapeId="0" xr:uid="{1AF31B9A-64B8-4E8A-A4AB-90CC5C84986C}">
      <text>
        <r>
          <rPr>
            <sz val="9"/>
            <color indexed="81"/>
            <rFont val="Tahoma"/>
            <family val="2"/>
          </rPr>
          <t>933,15€: Sierra de Jabugo
Factura Nº: A / 5087 (23/06/23)
933,15€: Realizar Transferencia caixa en proxima remesa
Transf. Caixa realizada el 14/11/23</t>
        </r>
      </text>
    </comment>
    <comment ref="CB107" authorId="0" shapeId="0" xr:uid="{5D8D420C-E85E-4328-8253-F0E47FE90354}">
      <text>
        <r>
          <rPr>
            <sz val="9"/>
            <color indexed="81"/>
            <rFont val="Tahoma"/>
            <family val="2"/>
          </rPr>
          <t xml:space="preserve">477,95€: Sierra de Jabugo
Factura Nº: A / 9654 (17/11/23)
477,95€: Vcmto: 17/12/23
Transf. Caixa realizada el 15/12/23
------------------------
</t>
        </r>
      </text>
    </comment>
    <comment ref="CE107" authorId="1" shapeId="0" xr:uid="{1B5C097C-6AC2-494C-A811-1F385C3BC147}">
      <text>
        <r>
          <rPr>
            <sz val="9"/>
            <color indexed="81"/>
            <rFont val="Tahoma"/>
            <family val="2"/>
          </rPr>
          <t>933,15€: Sierra de Jabugo
Factura Nº: A / 5087 (23/06/23)
933,15€: Realizar Transferencia caixa en proxima remesa
77,21€: Transf. Caixa realizada el 14/11/23
855,94€: Importe financiado
VENCIMIENTO EL 11/03/24.
Cargado Caixa: 11/03/24</t>
        </r>
      </text>
    </comment>
    <comment ref="AF108" authorId="0" shapeId="0" xr:uid="{00000000-0006-0000-0100-00001E010000}">
      <text>
        <r>
          <rPr>
            <b/>
            <sz val="9"/>
            <color indexed="81"/>
            <rFont val="Tahoma"/>
            <family val="2"/>
          </rPr>
          <t>rosa:</t>
        </r>
        <r>
          <rPr>
            <sz val="9"/>
            <color indexed="81"/>
            <rFont val="Tahoma"/>
            <family val="2"/>
          </rPr>
          <t xml:space="preserve">
20000+IVA: Estudio potencial adquisición de la sociedad brasileña y análisis impositivo del negocio de importación de bioetanol en Brasil
Pagado IVA: 30/04/20</t>
        </r>
      </text>
    </comment>
    <comment ref="AI108" authorId="0" shapeId="0" xr:uid="{00000000-0006-0000-0100-00001F010000}">
      <text>
        <r>
          <rPr>
            <b/>
            <sz val="9"/>
            <color indexed="81"/>
            <rFont val="Tahoma"/>
            <family val="2"/>
          </rPr>
          <t>devolucion pago realizado en Abril con factura de abono por anulacion del contrato de servicios
Abonado Caixa: 31/07/20</t>
        </r>
      </text>
    </comment>
    <comment ref="AE109" authorId="0" shapeId="0" xr:uid="{00000000-0006-0000-0100-000020010000}">
      <text>
        <r>
          <rPr>
            <b/>
            <sz val="9"/>
            <color indexed="81"/>
            <rFont val="Tahoma"/>
            <family val="2"/>
          </rPr>
          <t>rosa:</t>
        </r>
        <r>
          <rPr>
            <sz val="9"/>
            <color indexed="81"/>
            <rFont val="Tahoma"/>
            <family val="2"/>
          </rPr>
          <t xml:space="preserve">
636 E Traducción jurídica
600 + IVA - IRPF</t>
        </r>
      </text>
    </comment>
    <comment ref="AC110" authorId="0" shapeId="0" xr:uid="{00000000-0006-0000-0100-000021010000}">
      <text>
        <r>
          <rPr>
            <sz val="9"/>
            <color indexed="81"/>
            <rFont val="Tahoma"/>
            <family val="2"/>
          </rPr>
          <t>9,78 E: Mensajería Tradipak</t>
        </r>
      </text>
    </comment>
    <comment ref="AE110" authorId="0" shapeId="0" xr:uid="{00000000-0006-0000-0100-000022010000}">
      <text>
        <r>
          <rPr>
            <b/>
            <sz val="9"/>
            <color indexed="81"/>
            <rFont val="Tahoma"/>
            <family val="2"/>
          </rPr>
          <t>rosa:</t>
        </r>
        <r>
          <rPr>
            <sz val="9"/>
            <color indexed="81"/>
            <rFont val="Tahoma"/>
            <family val="2"/>
          </rPr>
          <t xml:space="preserve">
9,68 E Tradipak</t>
        </r>
      </text>
    </comment>
    <comment ref="AF110" authorId="0" shapeId="0" xr:uid="{00000000-0006-0000-0100-000023010000}">
      <text>
        <r>
          <rPr>
            <b/>
            <sz val="9"/>
            <color indexed="81"/>
            <rFont val="Tahoma"/>
            <family val="2"/>
          </rPr>
          <t>rosa:</t>
        </r>
        <r>
          <rPr>
            <sz val="9"/>
            <color indexed="81"/>
            <rFont val="Tahoma"/>
            <family val="2"/>
          </rPr>
          <t xml:space="preserve">
5,12 E: Mensajería Tradipak</t>
        </r>
      </text>
    </comment>
    <comment ref="AP110" authorId="0" shapeId="0" xr:uid="{00000000-0006-0000-0100-000024010000}">
      <text>
        <r>
          <rPr>
            <b/>
            <sz val="9"/>
            <color indexed="81"/>
            <rFont val="Tahoma"/>
            <family val="2"/>
          </rPr>
          <t>rosa:</t>
        </r>
        <r>
          <rPr>
            <sz val="9"/>
            <color indexed="81"/>
            <rFont val="Tahoma"/>
            <family val="2"/>
          </rPr>
          <t xml:space="preserve">
10,67 E: Mensajería Tradipak
Fra: N 2020/002058 (31/12/20)
Cargado: 07/01/21</t>
        </r>
      </text>
    </comment>
    <comment ref="AQ110" authorId="0" shapeId="0" xr:uid="{00000000-0006-0000-0100-000025010000}">
      <text>
        <r>
          <rPr>
            <b/>
            <sz val="9"/>
            <color indexed="81"/>
            <rFont val="Tahoma"/>
            <family val="2"/>
          </rPr>
          <t>rosa:</t>
        </r>
        <r>
          <rPr>
            <sz val="9"/>
            <color indexed="81"/>
            <rFont val="Tahoma"/>
            <family val="2"/>
          </rPr>
          <t xml:space="preserve">
18,61 E: Mensajería Tradipak
Fra: N 2021/002160 (31/01/21)
Cargado: 05/02/21</t>
        </r>
      </text>
    </comment>
    <comment ref="AR110" authorId="0" shapeId="0" xr:uid="{00000000-0006-0000-0100-000026010000}">
      <text>
        <r>
          <rPr>
            <sz val="9"/>
            <color indexed="81"/>
            <rFont val="Tahoma"/>
            <family val="2"/>
          </rPr>
          <t xml:space="preserve">26,56 E: Mensajería Tradipak
Fra: N 2021/002257 (28/02/21)
Cargado: 08/03/21
</t>
        </r>
      </text>
    </comment>
    <comment ref="AS110" authorId="0" shapeId="0" xr:uid="{3CD401FB-147C-48A5-8C98-05A56BDB7F6A}">
      <text>
        <r>
          <rPr>
            <sz val="9"/>
            <color indexed="81"/>
            <rFont val="Tahoma"/>
            <family val="2"/>
          </rPr>
          <t xml:space="preserve">4,68 E: Mensajería Tradipak
Fra: N 2021/002352 (31/03/21)
Cargado: 13/04/21
</t>
        </r>
      </text>
    </comment>
    <comment ref="AU110" authorId="0" shapeId="0" xr:uid="{BECBEA50-C2CF-488D-855D-C6AD0F6B4DBA}">
      <text>
        <r>
          <rPr>
            <sz val="9"/>
            <color indexed="81"/>
            <rFont val="Tahoma"/>
            <family val="2"/>
          </rPr>
          <t xml:space="preserve">5,63 E: Mensajería Tradipak
Fra: N 2021/002537
(31/05/21)
Cargado: 08/06/21
</t>
        </r>
      </text>
    </comment>
    <comment ref="AW110" authorId="2" shapeId="0" xr:uid="{049DF47B-69A1-4115-A80C-F9EF4CAAA526}">
      <text>
        <r>
          <rPr>
            <sz val="9"/>
            <color indexed="81"/>
            <rFont val="Tahoma"/>
            <family val="2"/>
          </rPr>
          <t>20,93 €: Tradipaq
Fra del 31/07/21. 
Cargado: 05/08/21.</t>
        </r>
      </text>
    </comment>
    <comment ref="BC110" authorId="2" shapeId="0" xr:uid="{C080725B-3693-42C1-8670-97C124041BEF}">
      <text>
        <r>
          <rPr>
            <sz val="9"/>
            <color indexed="81"/>
            <rFont val="Tahoma"/>
            <family val="2"/>
          </rPr>
          <t>9,37 €: Tradipaq
Fra del 31/12/21. 
Cargado:14/01/21</t>
        </r>
      </text>
    </comment>
    <comment ref="BF110" authorId="2" shapeId="0" xr:uid="{A606D0BA-4578-48DB-A648-D4C844B885CA}">
      <text>
        <r>
          <rPr>
            <sz val="9"/>
            <color indexed="81"/>
            <rFont val="Tahoma"/>
            <family val="2"/>
          </rPr>
          <t>165,50€: DHL 
Fra: 05/04/22 
Cargado: 20/04/22</t>
        </r>
      </text>
    </comment>
    <comment ref="BG110" authorId="2" shapeId="0" xr:uid="{67946AB1-8E46-44DF-AA35-E1CE6A40BF4E}">
      <text>
        <r>
          <rPr>
            <sz val="9"/>
            <color indexed="81"/>
            <rFont val="Tahoma"/>
            <family val="2"/>
          </rPr>
          <t>8,26 €: Tradipaq
Fra del 30/04/22. 
Cargado: 12/05/22</t>
        </r>
      </text>
    </comment>
    <comment ref="BM110" authorId="0" shapeId="0" xr:uid="{F795A7B8-29B2-4F18-8A94-1A1A7EDE74F2}">
      <text>
        <r>
          <rPr>
            <b/>
            <sz val="9"/>
            <color indexed="81"/>
            <rFont val="Tahoma"/>
            <family val="2"/>
          </rPr>
          <t>13,18€: Fra DHL (30/09/22)
Cargado Caixa: 21/10/22</t>
        </r>
      </text>
    </comment>
    <comment ref="BN110" authorId="2" shapeId="0" xr:uid="{B867C5F0-02AD-4123-9294-2A6FAF96F6FA}">
      <text>
        <r>
          <rPr>
            <sz val="9"/>
            <color indexed="81"/>
            <rFont val="Tahoma"/>
            <family val="2"/>
          </rPr>
          <t>7,15€: Tradipaq
Fra del 31/10/22. 
Cargado: 10/11/22</t>
        </r>
      </text>
    </comment>
    <comment ref="BP110" authorId="2" shapeId="0" xr:uid="{C31581EC-A0D2-42A4-97AA-6864207C352F}">
      <text>
        <r>
          <rPr>
            <sz val="9"/>
            <color indexed="81"/>
            <rFont val="Tahoma"/>
            <family val="2"/>
          </rPr>
          <t>5,37€: Tradipaq
Fra del 31/12/22. 
Cargado: 11/01/23</t>
        </r>
      </text>
    </comment>
    <comment ref="BS110" authorId="2" shapeId="0" xr:uid="{5AF06320-3E3D-4E71-8E3B-557EFFBDBC0D}">
      <text>
        <r>
          <rPr>
            <sz val="9"/>
            <color indexed="81"/>
            <rFont val="Tahoma"/>
            <family val="2"/>
          </rPr>
          <t>7,39€: Tradipaq
Fra del 31/03/23. 
Cargado: 13/04/23</t>
        </r>
      </text>
    </comment>
    <comment ref="BU110" authorId="2" shapeId="0" xr:uid="{B7AEAB91-B741-4802-9508-28EB8FD31B51}">
      <text>
        <r>
          <rPr>
            <sz val="9"/>
            <color indexed="81"/>
            <rFont val="Tahoma"/>
            <family val="2"/>
          </rPr>
          <t>5,67€: Tradipaq
Fra del 31/05/23. 
Cargado: 16/06/23</t>
        </r>
      </text>
    </comment>
    <comment ref="BV110" authorId="2" shapeId="0" xr:uid="{18C231B1-A568-4D02-A2E6-B046CCFBF839}">
      <text>
        <r>
          <rPr>
            <sz val="9"/>
            <color indexed="81"/>
            <rFont val="Tahoma"/>
            <family val="2"/>
          </rPr>
          <t>6,23€: Tradipaq
Fra del 30/06/23. 
Cargado: 20/07/23</t>
        </r>
      </text>
    </comment>
    <comment ref="CC110" authorId="2" shapeId="0" xr:uid="{595BF77D-BCFE-4C7F-9247-A505D9FC1B10}">
      <text>
        <r>
          <rPr>
            <sz val="9"/>
            <color indexed="81"/>
            <rFont val="Tahoma"/>
            <family val="2"/>
          </rPr>
          <t>11,16€: Tradipaq
Fra del 31/12/23. 
Cargado: 15/01/24</t>
        </r>
      </text>
    </comment>
    <comment ref="AE111" authorId="0" shapeId="0" xr:uid="{00000000-0006-0000-0100-000027010000}">
      <text>
        <r>
          <rPr>
            <b/>
            <sz val="9"/>
            <color indexed="81"/>
            <rFont val="Tahoma"/>
            <family val="2"/>
          </rPr>
          <t>rosa:</t>
        </r>
        <r>
          <rPr>
            <sz val="9"/>
            <color indexed="81"/>
            <rFont val="Tahoma"/>
            <family val="2"/>
          </rPr>
          <t xml:space="preserve">
168,26 E Vodafone</t>
        </r>
      </text>
    </comment>
    <comment ref="AN111" authorId="0" shapeId="0" xr:uid="{00000000-0006-0000-0100-000028010000}">
      <text>
        <r>
          <rPr>
            <b/>
            <sz val="9"/>
            <color indexed="81"/>
            <rFont val="Tahoma"/>
            <family val="2"/>
          </rPr>
          <t>Fra octubre</t>
        </r>
      </text>
    </comment>
    <comment ref="AO111" authorId="0" shapeId="0" xr:uid="{00000000-0006-0000-0100-000029010000}">
      <text>
        <r>
          <rPr>
            <b/>
            <sz val="9"/>
            <color indexed="81"/>
            <rFont val="Tahoma"/>
            <family val="2"/>
          </rPr>
          <t>Fra noviembre: 121,81 E
Fra diciembre: 5,53 E</t>
        </r>
      </text>
    </comment>
    <comment ref="AQ111" authorId="0" shapeId="0" xr:uid="{00000000-0006-0000-0100-00002A010000}">
      <text>
        <r>
          <rPr>
            <b/>
            <sz val="9"/>
            <color indexed="81"/>
            <rFont val="Tahoma"/>
            <family val="2"/>
          </rPr>
          <t>Fra enero: Pndte fra con CIF correcto</t>
        </r>
      </text>
    </comment>
    <comment ref="AR111" authorId="2" shapeId="0" xr:uid="{9D6A33B8-7012-4EF6-AF24-37A75913E613}">
      <text>
        <r>
          <rPr>
            <sz val="9"/>
            <color indexed="81"/>
            <rFont val="Tahoma"/>
            <family val="2"/>
          </rPr>
          <t>126,43 €: Fra del 15/02/31 
Cargado en Caixa el 01/03/21.
168,18 €: Fra del 15/03/21
Cargado en caixa 25/03/21</t>
        </r>
      </text>
    </comment>
    <comment ref="AS111" authorId="2" shapeId="0" xr:uid="{45A4764C-0EEE-46E2-9230-38D68258CD38}">
      <text>
        <r>
          <rPr>
            <sz val="9"/>
            <color indexed="81"/>
            <rFont val="Tahoma"/>
            <family val="2"/>
          </rPr>
          <t>170,33 €: Fra del 15/04/21.
Cargado en caixa 26/04/21</t>
        </r>
      </text>
    </comment>
    <comment ref="AT111" authorId="2" shapeId="0" xr:uid="{FFE940D3-8B77-4A2F-95D1-2CA262EC534E}">
      <text>
        <r>
          <rPr>
            <sz val="9"/>
            <color indexed="81"/>
            <rFont val="Tahoma"/>
            <family val="2"/>
          </rPr>
          <t xml:space="preserve">176,6 €: Fra PENDIENTE
Cargado en caixa 26/05/21
</t>
        </r>
      </text>
    </comment>
    <comment ref="AU111" authorId="2" shapeId="0" xr:uid="{357A7FB4-075A-4840-8A70-1C8FBA8C2504}">
      <text>
        <r>
          <rPr>
            <sz val="9"/>
            <color indexed="81"/>
            <rFont val="Tahoma"/>
            <family val="2"/>
          </rPr>
          <t xml:space="preserve">183,21€: Fra PENDIENTE
Cargado en caixa 24/06/21
</t>
        </r>
      </text>
    </comment>
    <comment ref="AV111" authorId="2" shapeId="0" xr:uid="{4D75030E-F1DA-4310-9399-79BCCA05A37D}">
      <text>
        <r>
          <rPr>
            <sz val="9"/>
            <color indexed="81"/>
            <rFont val="Tahoma"/>
            <family val="2"/>
          </rPr>
          <t xml:space="preserve">185,18€: Fra del 15/07/21.
Cargado en caixa 26/07/21
</t>
        </r>
      </text>
    </comment>
    <comment ref="AW111" authorId="2" shapeId="0" xr:uid="{E124BFD4-06D3-4D36-9E66-9837781CFAD1}">
      <text>
        <r>
          <rPr>
            <sz val="9"/>
            <color indexed="81"/>
            <rFont val="Tahoma"/>
            <family val="2"/>
          </rPr>
          <t>178,86: Fra del 15/08/21
Cargado en caixa 26/08/21</t>
        </r>
      </text>
    </comment>
    <comment ref="AY111" authorId="2" shapeId="0" xr:uid="{EE153C6F-1CCF-46F0-9CE7-6AB0D9FEB9B2}">
      <text>
        <r>
          <rPr>
            <sz val="9"/>
            <color indexed="81"/>
            <rFont val="Tahoma"/>
            <family val="2"/>
          </rPr>
          <t>180,16: Fra del 15/09/21
Cargado en caixa 27/09/21</t>
        </r>
      </text>
    </comment>
    <comment ref="AZ111" authorId="2" shapeId="0" xr:uid="{51DD4D0C-4086-4FE1-87FA-6FAA520504B2}">
      <text>
        <r>
          <rPr>
            <sz val="9"/>
            <color indexed="81"/>
            <rFont val="Tahoma"/>
            <family val="2"/>
          </rPr>
          <t>181,51: Fra del 15/10/21
Cargado en caixa 27/10/21</t>
        </r>
      </text>
    </comment>
    <comment ref="BB111" authorId="0" shapeId="0" xr:uid="{4DBB386E-F43F-4049-9E03-5D4C94A1AF01}">
      <text>
        <r>
          <rPr>
            <sz val="9"/>
            <color indexed="81"/>
            <rFont val="Tahoma"/>
            <family val="2"/>
          </rPr>
          <t>176,26€: Fra del 15/11/21
Cargado en caixa: 01/12/21
------------------------------
177,87€: Fra del 15/12/21
Cargado en caixa: 28/12/21</t>
        </r>
      </text>
    </comment>
    <comment ref="BC111" authorId="0" shapeId="0" xr:uid="{574C9FD0-C2B1-48F2-92D3-C251D37C91C7}">
      <text>
        <r>
          <rPr>
            <sz val="9"/>
            <color indexed="81"/>
            <rFont val="Tahoma"/>
            <family val="2"/>
          </rPr>
          <t>181,42€: Fra del 15/01/22
Cargado en caixa: 26/01/22</t>
        </r>
      </text>
    </comment>
    <comment ref="BE111" authorId="0" shapeId="0" xr:uid="{C4A6ACC8-46DE-4A3C-B9F2-E53D050AF852}">
      <text>
        <r>
          <rPr>
            <sz val="9"/>
            <color indexed="81"/>
            <rFont val="Tahoma"/>
            <family val="2"/>
          </rPr>
          <t>194,14€: Fra del 15/02/22
Cargado en caixa: 01/03/22
182,59€: Fra del 15/03/22
Cargado en caixa: 28/03/22</t>
        </r>
      </text>
    </comment>
    <comment ref="BF111" authorId="0" shapeId="0" xr:uid="{440F4540-CAA5-423A-8501-B81D1C100A98}">
      <text>
        <r>
          <rPr>
            <sz val="9"/>
            <color indexed="81"/>
            <rFont val="Tahoma"/>
            <family val="2"/>
          </rPr>
          <t>177,11€: Fra del 15/04/22
Cargado en caixa: 22/04/22</t>
        </r>
      </text>
    </comment>
    <comment ref="BG111" authorId="0" shapeId="0" xr:uid="{D8092B59-5286-4516-B964-D1C4D5B08D78}">
      <text>
        <r>
          <rPr>
            <sz val="9"/>
            <color indexed="81"/>
            <rFont val="Tahoma"/>
            <family val="2"/>
          </rPr>
          <t>177,34€: Fra del 15/05/22
Cargado en caixa: 26/05/22</t>
        </r>
      </text>
    </comment>
    <comment ref="BH111" authorId="0" shapeId="0" xr:uid="{A828494E-2038-4157-BE7D-DE6D61B6D9C2}">
      <text>
        <r>
          <rPr>
            <sz val="9"/>
            <color indexed="81"/>
            <rFont val="Tahoma"/>
            <family val="2"/>
          </rPr>
          <t>2,50€: Fra del 22/05/22
Cargado en caixa: 01/06/22</t>
        </r>
      </text>
    </comment>
    <comment ref="BI111" authorId="0" shapeId="0" xr:uid="{9D68D148-DD80-40AC-8303-7757736A0E79}">
      <text>
        <r>
          <rPr>
            <sz val="9"/>
            <color indexed="81"/>
            <rFont val="Tahoma"/>
            <family val="2"/>
          </rPr>
          <t>200,65€: Fra del 15/06/22
Cargado en caixa: 01/07/22
---------------------------
28,45€: Fra del 22/06/22
Cargado en caixa: 01/07/22</t>
        </r>
      </text>
    </comment>
    <comment ref="BJ111" authorId="0" shapeId="0" xr:uid="{D362D774-AEF6-441E-9C3E-528A48EF0A9F}">
      <text>
        <r>
          <rPr>
            <sz val="9"/>
            <color indexed="81"/>
            <rFont val="Tahoma"/>
            <family val="2"/>
          </rPr>
          <t>198,74€: Fra del 15/07/22
Cargado en caixa: 01/08/22
---------------------------
25,98€: Fra del 22/07/22
Cargado en caixa: 01/08/22
-------------------------
14,94€: Fra del 08/08/22.
Cargado en caixa: 22/08/22</t>
        </r>
      </text>
    </comment>
    <comment ref="BL111" authorId="0" shapeId="0" xr:uid="{D1867EDA-30B9-4200-AA6A-0860101A6119}">
      <text>
        <r>
          <rPr>
            <sz val="9"/>
            <color indexed="81"/>
            <rFont val="Tahoma"/>
            <family val="2"/>
          </rPr>
          <t xml:space="preserve">299,64€: Fra del 15/08/22
Cargado en caixa: 01/09/22
---------------------------
</t>
        </r>
      </text>
    </comment>
    <comment ref="BM111" authorId="0" shapeId="0" xr:uid="{D18A2491-DE39-4273-A25A-E8DDAAF31551}">
      <text>
        <r>
          <rPr>
            <sz val="9"/>
            <color indexed="81"/>
            <rFont val="Tahoma"/>
            <family val="2"/>
          </rPr>
          <t>95,42€: Fra del 15/09/22
Cargado en caixa: 01/10/22
---------------------------
80,66€: Fra del 15/09/22
Cargado en caixa: 01/10/22
-------------------------
425,91€: Fra del 15/10/22
Cargado en caixa: 27/10/22
--------------------------
63,98€: Fra del 15/10/22
Cargado en caixa: 27/10/22</t>
        </r>
      </text>
    </comment>
    <comment ref="BO111" authorId="0" shapeId="0" xr:uid="{0C9A3786-FBAC-4732-BF70-89A2A4CAE6F6}">
      <text>
        <r>
          <rPr>
            <sz val="9"/>
            <color indexed="81"/>
            <rFont val="Tahoma"/>
            <family val="2"/>
          </rPr>
          <t>63,98€: Fra del 15/11/22
Cargado en caixa: 01/12/22
---------------------------
452,96€: Fra del 15/11/22
Cargado en caixa: 01/12/22
-------------------------
456,97€: Fra del 15/12/22
Cargado en caixa: 28/12/22
--------------------------
63,98€: Fra del 15/12/22
Cargado en caixa: 28/12/22</t>
        </r>
      </text>
    </comment>
    <comment ref="BP111" authorId="0" shapeId="0" xr:uid="{9BFE2EE8-71BA-4CA2-BE97-363DC7610B71}">
      <text>
        <r>
          <rPr>
            <sz val="9"/>
            <color indexed="81"/>
            <rFont val="Tahoma"/>
            <family val="2"/>
          </rPr>
          <t>477,90€: Fra del 15/01/23
Cargado en caixa: 26/01/23
--------------------------
63,98€: Fra del 15/01/23
Cargado en caixa: 26/01/23</t>
        </r>
      </text>
    </comment>
    <comment ref="BQ111" authorId="0" shapeId="0" xr:uid="{34558C85-6C59-4FB2-96D3-65F50E275829}">
      <text>
        <r>
          <rPr>
            <sz val="9"/>
            <color indexed="81"/>
            <rFont val="Tahoma"/>
            <family val="2"/>
          </rPr>
          <t>499,78€: Fra del 15/02/23
Cargado en caixa: 23/02/23
--------------------------
67,24€: Fra del 15/02/23
Cargado en caixa: 23/02/23
-----------------</t>
        </r>
      </text>
    </comment>
    <comment ref="BR111" authorId="0" shapeId="0" xr:uid="{54BB7EB1-A0D1-438C-B7EF-7C0A6380DB17}">
      <text>
        <r>
          <rPr>
            <sz val="9"/>
            <color indexed="81"/>
            <rFont val="Tahoma"/>
            <family val="2"/>
          </rPr>
          <t>496,55€: Fra del 15/03/23
Cargado en caixa: 28/03/23
--------------------------
68,20€: Fra del 15/03/23
Cargado en caixa: 28/03/23
-----------------</t>
        </r>
      </text>
    </comment>
    <comment ref="BS111" authorId="0" shapeId="0" xr:uid="{8518D398-61E0-4470-B186-E6A10E5D5A75}">
      <text>
        <r>
          <rPr>
            <sz val="9"/>
            <color indexed="81"/>
            <rFont val="Tahoma"/>
            <family val="2"/>
          </rPr>
          <t>495,48€: Fra del 15/04/23
Cargado en caixa: 24/04/23
--------------------------
68,20€: Fra del 15/04/23
Cargado en caixa: 24/04/23
-----------------</t>
        </r>
      </text>
    </comment>
    <comment ref="BT111" authorId="0" shapeId="0" xr:uid="{E75B449C-747B-477B-830A-7CB16AA7F4C0}">
      <text>
        <r>
          <rPr>
            <sz val="9"/>
            <color indexed="81"/>
            <rFont val="Tahoma"/>
            <family val="2"/>
          </rPr>
          <t>525,08€: Fra del 15/05/23
Cargado en caixa: 24/05/23 
--------------------------
68,20€: Fra del 15/05/23
Cargado en caixa: 24/05/23 
-----------------</t>
        </r>
      </text>
    </comment>
    <comment ref="BU111" authorId="0" shapeId="0" xr:uid="{DD12E48F-B7E6-4444-93F3-8C8B86FC4085}">
      <text>
        <r>
          <rPr>
            <sz val="9"/>
            <color indexed="81"/>
            <rFont val="Tahoma"/>
            <family val="2"/>
          </rPr>
          <t>523,99€: Fra del 15/06/23
Cargado en caixa: 26/06/23 
--------------------------
65,99€: Fra del 15/06/23
Cargado en caixa: 26/06/23 
-----------------</t>
        </r>
      </text>
    </comment>
    <comment ref="BV111" authorId="0" shapeId="0" xr:uid="{075A5733-8097-4FF2-85B4-712876CCCC49}">
      <text>
        <r>
          <rPr>
            <sz val="9"/>
            <color indexed="81"/>
            <rFont val="Tahoma"/>
            <family val="2"/>
          </rPr>
          <t xml:space="preserve">480,35€: Fra del 15/07/23
Cargado en caixa:  25/07/23
--------------------------
</t>
        </r>
      </text>
    </comment>
    <comment ref="BW111" authorId="0" shapeId="0" xr:uid="{34069842-89A8-480C-BF51-5F9A0C392A59}">
      <text>
        <r>
          <rPr>
            <sz val="9"/>
            <color indexed="81"/>
            <rFont val="Tahoma"/>
            <family val="2"/>
          </rPr>
          <t>651,54€: Fra del 15/08/23
Cargado en caixa: 25/08/23 
--------------------------
80,01€: Fra del 15/08/23
Cargado en caixa: 25/08/23 
-----------------</t>
        </r>
      </text>
    </comment>
    <comment ref="BY111" authorId="0" shapeId="0" xr:uid="{8EDA3478-B6DD-4AAA-BAAC-67A8DC6C05D4}">
      <text>
        <r>
          <rPr>
            <sz val="9"/>
            <color indexed="81"/>
            <rFont val="Tahoma"/>
            <family val="2"/>
          </rPr>
          <t>2000€: Info Alf 01/09/23: Facturar a Welfare 2000 Eur de nov 22 a oct 23
Fra del 01/09/23
Cobro previsto: septiembre
Abonado Caixa: 05/09/23
Info Alf 04/09/23: Cuando entren los fondos realizar devolución de aportación a Alberto por el mismo importe. 
Transf. Caixa realizada a Alberto: 05/09/23
--------------------------------------
671,30€: Fra del 15/09/23
Pndte cargo en caixa: 25/09/23 
Cargado Caixa: 25/09/23
--------------------------</t>
        </r>
      </text>
    </comment>
    <comment ref="BZ111" authorId="0" shapeId="0" xr:uid="{69950F6A-C522-4708-A9BF-769D4AB5F069}">
      <text>
        <r>
          <rPr>
            <sz val="9"/>
            <color indexed="81"/>
            <rFont val="Tahoma"/>
            <family val="2"/>
          </rPr>
          <t xml:space="preserve">499,40€: Fra del 15/10/23
Cargado en caixa:  25/10/23
--------------------------
</t>
        </r>
      </text>
    </comment>
    <comment ref="CA111" authorId="0" shapeId="0" xr:uid="{F91EDE78-56D2-4447-A3A1-598FA09E0DE7}">
      <text>
        <r>
          <rPr>
            <sz val="9"/>
            <color indexed="81"/>
            <rFont val="Tahoma"/>
            <family val="2"/>
          </rPr>
          <t xml:space="preserve">777,20€: Fra del 15/11/23
Cargado en caixa:  24/11/23
--------------------------
</t>
        </r>
      </text>
    </comment>
    <comment ref="CB111" authorId="0" shapeId="0" xr:uid="{303124B8-D65F-42A7-9B2E-570E1034F169}">
      <text>
        <r>
          <rPr>
            <sz val="9"/>
            <color indexed="81"/>
            <rFont val="Tahoma"/>
            <family val="2"/>
          </rPr>
          <t>80,01€: Devolución pago factura 
Abonado Caixa: 01/12/23</t>
        </r>
        <r>
          <rPr>
            <b/>
            <sz val="9"/>
            <color indexed="81"/>
            <rFont val="Tahoma"/>
            <family val="2"/>
          </rPr>
          <t xml:space="preserve">
--------------------------
</t>
        </r>
        <r>
          <rPr>
            <sz val="9"/>
            <color indexed="81"/>
            <rFont val="Tahoma"/>
            <family val="2"/>
          </rPr>
          <t>488,11€: Fra del 15/12/23
Cargado en caixa:  21/12/23</t>
        </r>
        <r>
          <rPr>
            <b/>
            <sz val="9"/>
            <color indexed="81"/>
            <rFont val="Tahoma"/>
            <family val="2"/>
          </rPr>
          <t xml:space="preserve">
----------------------</t>
        </r>
      </text>
    </comment>
    <comment ref="CC111" authorId="0" shapeId="0" xr:uid="{7A9A2A10-7C74-44A8-9418-1BF4A6BFA705}">
      <text>
        <r>
          <rPr>
            <sz val="9"/>
            <color indexed="81"/>
            <rFont val="Tahoma"/>
            <family val="2"/>
          </rPr>
          <t>592,61€: Fra del 15/01/24
Cargado en caixa:  26/01/24</t>
        </r>
        <r>
          <rPr>
            <b/>
            <sz val="9"/>
            <color indexed="81"/>
            <rFont val="Tahoma"/>
            <family val="2"/>
          </rPr>
          <t xml:space="preserve">
----------------------</t>
        </r>
      </text>
    </comment>
    <comment ref="CD111" authorId="0" shapeId="0" xr:uid="{A57DE4E7-1D32-48BE-A1EA-196ABE3FE32A}">
      <text>
        <r>
          <rPr>
            <sz val="9"/>
            <color indexed="81"/>
            <rFont val="Tahoma"/>
            <family val="2"/>
          </rPr>
          <t>506,37€: Fra del 15/02/24
Cargado en caixa:  26/02/24</t>
        </r>
        <r>
          <rPr>
            <b/>
            <sz val="9"/>
            <color indexed="81"/>
            <rFont val="Tahoma"/>
            <family val="2"/>
          </rPr>
          <t xml:space="preserve">
----------------------</t>
        </r>
      </text>
    </comment>
    <comment ref="CE111" authorId="0" shapeId="0" xr:uid="{D3D0DA70-B1D0-4CD4-9257-F19EB26B6296}">
      <text>
        <r>
          <rPr>
            <sz val="9"/>
            <color indexed="81"/>
            <rFont val="Tahoma"/>
            <family val="2"/>
          </rPr>
          <t>509,88€: Fra del 15/03/24
Cargado en caixa:  25/03/24</t>
        </r>
        <r>
          <rPr>
            <b/>
            <sz val="9"/>
            <color indexed="81"/>
            <rFont val="Tahoma"/>
            <family val="2"/>
          </rPr>
          <t xml:space="preserve">
----------------------</t>
        </r>
      </text>
    </comment>
    <comment ref="CF111" authorId="0" shapeId="0" xr:uid="{18DD6017-186D-4780-A4E8-2A9947686FC1}">
      <text>
        <r>
          <rPr>
            <sz val="9"/>
            <color indexed="81"/>
            <rFont val="Tahoma"/>
            <family val="2"/>
          </rPr>
          <t>420€: Mail Alf 01/09/23: a devolver en diciembre 23, de Vodafone, de errores que he encontrado revisando la factura</t>
        </r>
        <r>
          <rPr>
            <b/>
            <sz val="9"/>
            <color indexed="81"/>
            <rFont val="Tahoma"/>
            <family val="2"/>
          </rPr>
          <t xml:space="preserve">
Info Alf 08/01: Retrasar 2 meses</t>
        </r>
      </text>
    </comment>
    <comment ref="CM111" authorId="0" shapeId="0" xr:uid="{F346845D-4ED0-4F79-B466-67EDBC469CBB}">
      <text>
        <r>
          <rPr>
            <sz val="9"/>
            <color indexed="81"/>
            <rFont val="Tahoma"/>
            <family val="2"/>
          </rPr>
          <t xml:space="preserve">2000 aprox a facturar a Welfare de nov 23 a oct 24, preguntar cifra a Alf.
</t>
        </r>
      </text>
    </comment>
    <comment ref="AI112" authorId="0" shapeId="0" xr:uid="{00000000-0006-0000-0100-00002B010000}">
      <text>
        <r>
          <rPr>
            <b/>
            <sz val="9"/>
            <color indexed="81"/>
            <rFont val="Tahoma"/>
            <family val="2"/>
          </rPr>
          <t xml:space="preserve">rosa:
180,11 E: Seguro AXA junio 2020 Alfonso Carmona 
180,11 E: Seguro AXA julio 2020 Alfonso Carmona 
</t>
        </r>
        <r>
          <rPr>
            <sz val="9"/>
            <color indexed="81"/>
            <rFont val="Tahoma"/>
            <family val="2"/>
          </rPr>
          <t xml:space="preserve">
</t>
        </r>
      </text>
    </comment>
    <comment ref="AJ112" authorId="0" shapeId="0" xr:uid="{00000000-0006-0000-0100-00002C010000}">
      <text>
        <r>
          <rPr>
            <b/>
            <sz val="9"/>
            <color indexed="81"/>
            <rFont val="Tahoma"/>
            <family val="2"/>
          </rPr>
          <t xml:space="preserve">rosa:
180,11 E: Seguro AXA agosto 2020 Alfonso Carmona 
</t>
        </r>
        <r>
          <rPr>
            <sz val="9"/>
            <color indexed="81"/>
            <rFont val="Tahoma"/>
            <family val="2"/>
          </rPr>
          <t xml:space="preserve">
</t>
        </r>
      </text>
    </comment>
    <comment ref="AL112" authorId="0" shapeId="0" xr:uid="{00000000-0006-0000-0100-00002D010000}">
      <text>
        <r>
          <rPr>
            <b/>
            <sz val="9"/>
            <color indexed="81"/>
            <rFont val="Tahoma"/>
            <family val="2"/>
          </rPr>
          <t xml:space="preserve">rosa:
180,11 E: Seguro AXA septiembre 2020 Alfonso Carmona 
</t>
        </r>
        <r>
          <rPr>
            <sz val="9"/>
            <color indexed="81"/>
            <rFont val="Tahoma"/>
            <family val="2"/>
          </rPr>
          <t xml:space="preserve">
</t>
        </r>
      </text>
    </comment>
    <comment ref="AM112" authorId="0" shapeId="0" xr:uid="{00000000-0006-0000-0100-00002E010000}">
      <text>
        <r>
          <rPr>
            <b/>
            <sz val="9"/>
            <color indexed="81"/>
            <rFont val="Tahoma"/>
            <family val="2"/>
          </rPr>
          <t xml:space="preserve">rosa:
180,11 E: Seguro AXA octubre 2020 Alfonso Carmona 
</t>
        </r>
        <r>
          <rPr>
            <sz val="9"/>
            <color indexed="81"/>
            <rFont val="Tahoma"/>
            <family val="2"/>
          </rPr>
          <t xml:space="preserve">
</t>
        </r>
      </text>
    </comment>
    <comment ref="AN112" authorId="0" shapeId="0" xr:uid="{00000000-0006-0000-0100-00002F010000}">
      <text>
        <r>
          <rPr>
            <b/>
            <sz val="9"/>
            <color indexed="81"/>
            <rFont val="Tahoma"/>
            <family val="2"/>
          </rPr>
          <t xml:space="preserve">rosa:
180,11 E: Seguro AXA noviembre 2020 Alfonso Carmona 
</t>
        </r>
        <r>
          <rPr>
            <sz val="9"/>
            <color indexed="81"/>
            <rFont val="Tahoma"/>
            <family val="2"/>
          </rPr>
          <t xml:space="preserve">
</t>
        </r>
      </text>
    </comment>
    <comment ref="AO112" authorId="0" shapeId="0" xr:uid="{00000000-0006-0000-0100-000030010000}">
      <text>
        <r>
          <rPr>
            <b/>
            <sz val="9"/>
            <color indexed="81"/>
            <rFont val="Tahoma"/>
            <family val="2"/>
          </rPr>
          <t xml:space="preserve">rosa:
180,11 E: Seguro AXA diciembre 2020 Alfonso Carmona 
</t>
        </r>
        <r>
          <rPr>
            <sz val="9"/>
            <color indexed="81"/>
            <rFont val="Tahoma"/>
            <family val="2"/>
          </rPr>
          <t xml:space="preserve">
</t>
        </r>
      </text>
    </comment>
    <comment ref="AP112" authorId="0" shapeId="0" xr:uid="{00000000-0006-0000-0100-000031010000}">
      <text>
        <r>
          <rPr>
            <b/>
            <sz val="9"/>
            <color indexed="81"/>
            <rFont val="Tahoma"/>
            <family val="2"/>
          </rPr>
          <t xml:space="preserve">rosa:
180,11 E: Seguro AXA enero 2021 Alfonso Carmona 
</t>
        </r>
        <r>
          <rPr>
            <sz val="9"/>
            <color indexed="81"/>
            <rFont val="Tahoma"/>
            <family val="2"/>
          </rPr>
          <t xml:space="preserve">
</t>
        </r>
      </text>
    </comment>
    <comment ref="AQ112" authorId="0" shapeId="0" xr:uid="{00000000-0006-0000-0100-000032010000}">
      <text>
        <r>
          <rPr>
            <b/>
            <sz val="9"/>
            <color indexed="81"/>
            <rFont val="Tahoma"/>
            <family val="2"/>
          </rPr>
          <t xml:space="preserve">rosa:
182,84 E: Seguro AXA febrero 2021 Alfonso Carmona.
</t>
        </r>
        <r>
          <rPr>
            <sz val="9"/>
            <color indexed="81"/>
            <rFont val="Tahoma"/>
            <family val="2"/>
          </rPr>
          <t xml:space="preserve">
</t>
        </r>
      </text>
    </comment>
    <comment ref="AR112" authorId="0" shapeId="0" xr:uid="{FC012642-D8B0-49DC-83F8-24671B2A7BC1}">
      <text>
        <r>
          <rPr>
            <b/>
            <sz val="9"/>
            <color indexed="81"/>
            <rFont val="Tahoma"/>
            <family val="2"/>
          </rPr>
          <t xml:space="preserve">rosa:
182,84 E: Seguro AXA marzo 2021 Alfonso Carmona.
</t>
        </r>
        <r>
          <rPr>
            <sz val="9"/>
            <color indexed="81"/>
            <rFont val="Tahoma"/>
            <family val="2"/>
          </rPr>
          <t xml:space="preserve">
</t>
        </r>
      </text>
    </comment>
    <comment ref="AS112" authorId="0" shapeId="0" xr:uid="{5C24DA4D-6989-4D83-8F5C-638C7E0E3096}">
      <text>
        <r>
          <rPr>
            <b/>
            <sz val="9"/>
            <color indexed="81"/>
            <rFont val="Tahoma"/>
            <family val="2"/>
          </rPr>
          <t xml:space="preserve">rosa:
182,84 E: Seguro AXA abril 2021 Alfonso Carmona.
</t>
        </r>
        <r>
          <rPr>
            <sz val="9"/>
            <color indexed="81"/>
            <rFont val="Tahoma"/>
            <family val="2"/>
          </rPr>
          <t xml:space="preserve">
</t>
        </r>
      </text>
    </comment>
    <comment ref="AT112" authorId="0" shapeId="0" xr:uid="{838FDD39-61A5-4D94-8EC2-C55E615FE85B}">
      <text>
        <r>
          <rPr>
            <sz val="9"/>
            <color indexed="81"/>
            <rFont val="Tahoma"/>
            <family val="2"/>
          </rPr>
          <t xml:space="preserve">182,84 E: Seguro AXA mayo 2021 Alfonso Carmona.
 </t>
        </r>
        <r>
          <rPr>
            <b/>
            <sz val="9"/>
            <color indexed="81"/>
            <rFont val="Tahoma"/>
            <family val="2"/>
          </rPr>
          <t xml:space="preserve">
</t>
        </r>
        <r>
          <rPr>
            <sz val="9"/>
            <color indexed="81"/>
            <rFont val="Tahoma"/>
            <family val="2"/>
          </rPr>
          <t xml:space="preserve">
</t>
        </r>
      </text>
    </comment>
    <comment ref="AU112" authorId="0" shapeId="0" xr:uid="{41FB84F2-36AE-4615-98F2-9CF002C4BE1F}">
      <text>
        <r>
          <rPr>
            <sz val="9"/>
            <color indexed="81"/>
            <rFont val="Tahoma"/>
            <family val="2"/>
          </rPr>
          <t xml:space="preserve">182,84 E: Seguro AXA junio 2021 Alfonso Carmona.
 </t>
        </r>
        <r>
          <rPr>
            <b/>
            <sz val="9"/>
            <color indexed="81"/>
            <rFont val="Tahoma"/>
            <family val="2"/>
          </rPr>
          <t xml:space="preserve">
</t>
        </r>
        <r>
          <rPr>
            <sz val="9"/>
            <color indexed="81"/>
            <rFont val="Tahoma"/>
            <family val="2"/>
          </rPr>
          <t xml:space="preserve">
</t>
        </r>
      </text>
    </comment>
    <comment ref="AV112" authorId="0" shapeId="0" xr:uid="{EEF85888-5695-455A-81B1-944F86CB18E7}">
      <text>
        <r>
          <rPr>
            <sz val="9"/>
            <color indexed="81"/>
            <rFont val="Tahoma"/>
            <family val="2"/>
          </rPr>
          <t xml:space="preserve">182,84 E: Seguro AXA julio 2021 Alfonso Carmona.
 </t>
        </r>
        <r>
          <rPr>
            <b/>
            <sz val="9"/>
            <color indexed="81"/>
            <rFont val="Tahoma"/>
            <family val="2"/>
          </rPr>
          <t xml:space="preserve">
</t>
        </r>
        <r>
          <rPr>
            <sz val="9"/>
            <color indexed="81"/>
            <rFont val="Tahoma"/>
            <family val="2"/>
          </rPr>
          <t xml:space="preserve">
</t>
        </r>
      </text>
    </comment>
    <comment ref="AW112" authorId="0" shapeId="0" xr:uid="{D35E65DA-4F74-468A-A6D5-11BCDAC5CBA2}">
      <text>
        <r>
          <rPr>
            <sz val="9"/>
            <color indexed="81"/>
            <rFont val="Tahoma"/>
            <family val="2"/>
          </rPr>
          <t xml:space="preserve">182,84 E: Seguro AXA agosto 2021 Alfonso Carmona.
 </t>
        </r>
        <r>
          <rPr>
            <b/>
            <sz val="9"/>
            <color indexed="81"/>
            <rFont val="Tahoma"/>
            <family val="2"/>
          </rPr>
          <t xml:space="preserve">
</t>
        </r>
        <r>
          <rPr>
            <sz val="9"/>
            <color indexed="81"/>
            <rFont val="Tahoma"/>
            <family val="2"/>
          </rPr>
          <t xml:space="preserve">
</t>
        </r>
      </text>
    </comment>
    <comment ref="AY112" authorId="0" shapeId="0" xr:uid="{180FA70B-DE77-473D-A867-1B0B8F0C6F6F}">
      <text>
        <r>
          <rPr>
            <sz val="9"/>
            <color indexed="81"/>
            <rFont val="Tahoma"/>
            <family val="2"/>
          </rPr>
          <t xml:space="preserve">182,84 E: Seguro AXA septiembre 2021 Alfonso Carmona.
 </t>
        </r>
        <r>
          <rPr>
            <b/>
            <sz val="9"/>
            <color indexed="81"/>
            <rFont val="Tahoma"/>
            <family val="2"/>
          </rPr>
          <t xml:space="preserve">
</t>
        </r>
        <r>
          <rPr>
            <sz val="9"/>
            <color indexed="81"/>
            <rFont val="Tahoma"/>
            <family val="2"/>
          </rPr>
          <t xml:space="preserve">
</t>
        </r>
      </text>
    </comment>
    <comment ref="AZ112" authorId="0" shapeId="0" xr:uid="{F1C726C7-D8EE-4094-96FC-20B73CD1133E}">
      <text>
        <r>
          <rPr>
            <sz val="9"/>
            <color indexed="81"/>
            <rFont val="Tahoma"/>
            <family val="2"/>
          </rPr>
          <t xml:space="preserve">182,84 E: Seguro AXA octubre 2021 Alfonso Carmona.
 </t>
        </r>
        <r>
          <rPr>
            <b/>
            <sz val="9"/>
            <color indexed="81"/>
            <rFont val="Tahoma"/>
            <family val="2"/>
          </rPr>
          <t xml:space="preserve">
</t>
        </r>
        <r>
          <rPr>
            <sz val="9"/>
            <color indexed="81"/>
            <rFont val="Tahoma"/>
            <family val="2"/>
          </rPr>
          <t xml:space="preserve">
</t>
        </r>
      </text>
    </comment>
    <comment ref="BA112" authorId="0" shapeId="0" xr:uid="{9699110D-9465-4B7B-8612-160F25AD5695}">
      <text>
        <r>
          <rPr>
            <sz val="9"/>
            <color indexed="81"/>
            <rFont val="Tahoma"/>
            <family val="2"/>
          </rPr>
          <t xml:space="preserve">182,84 E: Seguro AXA noviembre 2021 Alfonso Carmona.
Cargado: 03/11/21
 </t>
        </r>
        <r>
          <rPr>
            <b/>
            <sz val="9"/>
            <color indexed="81"/>
            <rFont val="Tahoma"/>
            <family val="2"/>
          </rPr>
          <t xml:space="preserve">
</t>
        </r>
        <r>
          <rPr>
            <sz val="9"/>
            <color indexed="81"/>
            <rFont val="Tahoma"/>
            <family val="2"/>
          </rPr>
          <t xml:space="preserve">
</t>
        </r>
      </text>
    </comment>
    <comment ref="BB112" authorId="0" shapeId="0" xr:uid="{14039082-F8B0-440A-A335-489CE7C58EAC}">
      <text>
        <r>
          <rPr>
            <sz val="9"/>
            <color indexed="81"/>
            <rFont val="Tahoma"/>
            <family val="2"/>
          </rPr>
          <t xml:space="preserve">182,86 E: Seguro AXA diciembre 2021 Alfonso Carmona.
Cargado: 03/12/21
 </t>
        </r>
        <r>
          <rPr>
            <b/>
            <sz val="9"/>
            <color indexed="81"/>
            <rFont val="Tahoma"/>
            <family val="2"/>
          </rPr>
          <t xml:space="preserve">
</t>
        </r>
        <r>
          <rPr>
            <sz val="9"/>
            <color indexed="81"/>
            <rFont val="Tahoma"/>
            <family val="2"/>
          </rPr>
          <t xml:space="preserve">
</t>
        </r>
      </text>
    </comment>
    <comment ref="BC112" authorId="0" shapeId="0" xr:uid="{0F01D199-D390-41B2-B367-4D240F9F7FF0}">
      <text>
        <r>
          <rPr>
            <sz val="9"/>
            <color indexed="81"/>
            <rFont val="Tahoma"/>
            <family val="2"/>
          </rPr>
          <t xml:space="preserve">182,84 E: Seguro AXA enero 2022 Alfonso Carmona.
Cargado: 05/01/22
 </t>
        </r>
        <r>
          <rPr>
            <b/>
            <sz val="9"/>
            <color indexed="81"/>
            <rFont val="Tahoma"/>
            <family val="2"/>
          </rPr>
          <t xml:space="preserve">
</t>
        </r>
        <r>
          <rPr>
            <sz val="9"/>
            <color indexed="81"/>
            <rFont val="Tahoma"/>
            <family val="2"/>
          </rPr>
          <t xml:space="preserve">
</t>
        </r>
      </text>
    </comment>
    <comment ref="BD112" authorId="0" shapeId="0" xr:uid="{BC2A751F-DD97-49F0-A436-004FB7AFB9ED}">
      <text>
        <r>
          <rPr>
            <sz val="9"/>
            <color indexed="81"/>
            <rFont val="Tahoma"/>
            <family val="2"/>
          </rPr>
          <t xml:space="preserve">191,07 E: Seguro AXA febrero 2022 Alfonso Carmona.
Cargado: 03/02/22
 </t>
        </r>
        <r>
          <rPr>
            <b/>
            <sz val="9"/>
            <color indexed="81"/>
            <rFont val="Tahoma"/>
            <family val="2"/>
          </rPr>
          <t xml:space="preserve">
</t>
        </r>
        <r>
          <rPr>
            <sz val="9"/>
            <color indexed="81"/>
            <rFont val="Tahoma"/>
            <family val="2"/>
          </rPr>
          <t xml:space="preserve">
</t>
        </r>
      </text>
    </comment>
    <comment ref="BE112" authorId="0" shapeId="0" xr:uid="{796785DC-9176-45A4-B32A-63289F3C5549}">
      <text>
        <r>
          <rPr>
            <sz val="9"/>
            <color indexed="81"/>
            <rFont val="Tahoma"/>
            <family val="2"/>
          </rPr>
          <t xml:space="preserve">191,07 E: Seguro AXA marzo 2022 Alfonso Carmona.
Cargado: 03/03/22
 </t>
        </r>
        <r>
          <rPr>
            <b/>
            <sz val="9"/>
            <color indexed="81"/>
            <rFont val="Tahoma"/>
            <family val="2"/>
          </rPr>
          <t xml:space="preserve">
</t>
        </r>
        <r>
          <rPr>
            <sz val="9"/>
            <color indexed="81"/>
            <rFont val="Tahoma"/>
            <family val="2"/>
          </rPr>
          <t xml:space="preserve">
</t>
        </r>
      </text>
    </comment>
    <comment ref="BF112" authorId="0" shapeId="0" xr:uid="{AC99AD54-8B42-443E-BE20-3D76FF94F160}">
      <text>
        <r>
          <rPr>
            <sz val="9"/>
            <color indexed="81"/>
            <rFont val="Tahoma"/>
            <family val="2"/>
          </rPr>
          <t xml:space="preserve">191,07 E: Seguro AXA abril 2022 Alfonso Carmona.
Cargado: 05/04/22
 </t>
        </r>
        <r>
          <rPr>
            <b/>
            <sz val="9"/>
            <color indexed="81"/>
            <rFont val="Tahoma"/>
            <family val="2"/>
          </rPr>
          <t xml:space="preserve">
</t>
        </r>
        <r>
          <rPr>
            <sz val="9"/>
            <color indexed="81"/>
            <rFont val="Tahoma"/>
            <family val="2"/>
          </rPr>
          <t xml:space="preserve">
</t>
        </r>
      </text>
    </comment>
    <comment ref="BG112" authorId="0" shapeId="0" xr:uid="{737058F6-4EB3-4C10-9BE0-89EA13AD9CB6}">
      <text>
        <r>
          <rPr>
            <sz val="9"/>
            <color indexed="81"/>
            <rFont val="Tahoma"/>
            <family val="2"/>
          </rPr>
          <t xml:space="preserve">191,07 E: Seguro AXA mayo 2022 Alfonso Carmona.
Cargado: 04/05/22
 </t>
        </r>
        <r>
          <rPr>
            <b/>
            <sz val="9"/>
            <color indexed="81"/>
            <rFont val="Tahoma"/>
            <family val="2"/>
          </rPr>
          <t xml:space="preserve">
</t>
        </r>
        <r>
          <rPr>
            <sz val="9"/>
            <color indexed="81"/>
            <rFont val="Tahoma"/>
            <family val="2"/>
          </rPr>
          <t xml:space="preserve">
</t>
        </r>
      </text>
    </comment>
    <comment ref="BH112" authorId="0" shapeId="0" xr:uid="{C4E64ED8-32AB-494A-A7BC-ACDF23090F13}">
      <text>
        <r>
          <rPr>
            <sz val="9"/>
            <color indexed="81"/>
            <rFont val="Tahoma"/>
            <family val="2"/>
          </rPr>
          <t xml:space="preserve">191,07 E: Seguro AXA junio 2022 Alfonso Carmona.
Cargado: 03/06/22
 </t>
        </r>
        <r>
          <rPr>
            <b/>
            <sz val="9"/>
            <color indexed="81"/>
            <rFont val="Tahoma"/>
            <family val="2"/>
          </rPr>
          <t xml:space="preserve">
</t>
        </r>
        <r>
          <rPr>
            <sz val="9"/>
            <color indexed="81"/>
            <rFont val="Tahoma"/>
            <family val="2"/>
          </rPr>
          <t xml:space="preserve">
</t>
        </r>
      </text>
    </comment>
    <comment ref="BI112" authorId="0" shapeId="0" xr:uid="{DD1F88AE-30E9-4FC7-9890-A63CEB271D3D}">
      <text>
        <r>
          <rPr>
            <sz val="9"/>
            <color indexed="81"/>
            <rFont val="Tahoma"/>
            <family val="2"/>
          </rPr>
          <t xml:space="preserve">191,07 E: Seguro AXA juliio 2022 Alfonso Carmona.
Cargado: 05/07/22
 </t>
        </r>
        <r>
          <rPr>
            <b/>
            <sz val="9"/>
            <color indexed="81"/>
            <rFont val="Tahoma"/>
            <family val="2"/>
          </rPr>
          <t xml:space="preserve">
</t>
        </r>
        <r>
          <rPr>
            <sz val="9"/>
            <color indexed="81"/>
            <rFont val="Tahoma"/>
            <family val="2"/>
          </rPr>
          <t xml:space="preserve">
</t>
        </r>
      </text>
    </comment>
    <comment ref="BJ112" authorId="0" shapeId="0" xr:uid="{C23E0049-9AEC-44BD-B1A8-4810546BA3C1}">
      <text>
        <r>
          <rPr>
            <sz val="9"/>
            <color indexed="81"/>
            <rFont val="Tahoma"/>
            <family val="2"/>
          </rPr>
          <t xml:space="preserve">191,07 E: Seguro AXA agosto 2022 Alfonso Carmona.
Cargado: 03/08/22
 </t>
        </r>
        <r>
          <rPr>
            <b/>
            <sz val="9"/>
            <color indexed="81"/>
            <rFont val="Tahoma"/>
            <family val="2"/>
          </rPr>
          <t xml:space="preserve">
</t>
        </r>
        <r>
          <rPr>
            <sz val="9"/>
            <color indexed="81"/>
            <rFont val="Tahoma"/>
            <family val="2"/>
          </rPr>
          <t xml:space="preserve">
</t>
        </r>
      </text>
    </comment>
    <comment ref="BL112" authorId="0" shapeId="0" xr:uid="{C14D8A0B-F0C9-4CAF-A7FB-70E9039D7DD8}">
      <text>
        <r>
          <rPr>
            <sz val="9"/>
            <color indexed="81"/>
            <rFont val="Tahoma"/>
            <family val="2"/>
          </rPr>
          <t xml:space="preserve">191,07 E: Seguro AXA septiembre 2022 Alfonso Carmona.
Cargado: 05/09/22
 </t>
        </r>
        <r>
          <rPr>
            <b/>
            <sz val="9"/>
            <color indexed="81"/>
            <rFont val="Tahoma"/>
            <family val="2"/>
          </rPr>
          <t xml:space="preserve">
</t>
        </r>
        <r>
          <rPr>
            <sz val="9"/>
            <color indexed="81"/>
            <rFont val="Tahoma"/>
            <family val="2"/>
          </rPr>
          <t xml:space="preserve">
</t>
        </r>
      </text>
    </comment>
    <comment ref="BM112" authorId="0" shapeId="0" xr:uid="{102D2A0B-1D7D-465E-BFFD-FE8C6A2423F5}">
      <text>
        <r>
          <rPr>
            <sz val="9"/>
            <color indexed="81"/>
            <rFont val="Tahoma"/>
            <family val="2"/>
          </rPr>
          <t xml:space="preserve">191,07 E: Seguro AXA octubre 2022 Alfonso Carmona.
Cargado: 05/10/22
 </t>
        </r>
        <r>
          <rPr>
            <b/>
            <sz val="9"/>
            <color indexed="81"/>
            <rFont val="Tahoma"/>
            <family val="2"/>
          </rPr>
          <t xml:space="preserve">
</t>
        </r>
        <r>
          <rPr>
            <sz val="9"/>
            <color indexed="81"/>
            <rFont val="Tahoma"/>
            <family val="2"/>
          </rPr>
          <t xml:space="preserve">
</t>
        </r>
      </text>
    </comment>
    <comment ref="BN112" authorId="0" shapeId="0" xr:uid="{1C38DBE1-DA21-4266-A354-C24032EA51A0}">
      <text>
        <r>
          <rPr>
            <sz val="9"/>
            <color indexed="81"/>
            <rFont val="Tahoma"/>
            <family val="2"/>
          </rPr>
          <t xml:space="preserve">191,07 E: Seguro AXA noviembre 2022 Alfonso Carmona.
Cargado: 03/11/22
 </t>
        </r>
        <r>
          <rPr>
            <b/>
            <sz val="9"/>
            <color indexed="81"/>
            <rFont val="Tahoma"/>
            <family val="2"/>
          </rPr>
          <t xml:space="preserve">
</t>
        </r>
        <r>
          <rPr>
            <sz val="9"/>
            <color indexed="81"/>
            <rFont val="Tahoma"/>
            <family val="2"/>
          </rPr>
          <t xml:space="preserve">
</t>
        </r>
      </text>
    </comment>
    <comment ref="BO112" authorId="0" shapeId="0" xr:uid="{91568375-4822-4ABB-A65D-1BFBF97AD503}">
      <text>
        <r>
          <rPr>
            <sz val="9"/>
            <color indexed="81"/>
            <rFont val="Tahoma"/>
            <family val="2"/>
          </rPr>
          <t xml:space="preserve">191,07 E: Seguro AXA diciembre 2022 Alfonso Carmona.
Cargado: 05/12/22
 </t>
        </r>
        <r>
          <rPr>
            <b/>
            <sz val="9"/>
            <color indexed="81"/>
            <rFont val="Tahoma"/>
            <family val="2"/>
          </rPr>
          <t xml:space="preserve">
</t>
        </r>
        <r>
          <rPr>
            <sz val="9"/>
            <color indexed="81"/>
            <rFont val="Tahoma"/>
            <family val="2"/>
          </rPr>
          <t xml:space="preserve">
</t>
        </r>
      </text>
    </comment>
    <comment ref="BP112" authorId="0" shapeId="0" xr:uid="{378F4D92-C5FD-46A4-AD70-5FFDE2DEFADE}">
      <text>
        <r>
          <rPr>
            <sz val="9"/>
            <color indexed="81"/>
            <rFont val="Tahoma"/>
            <family val="2"/>
          </rPr>
          <t xml:space="preserve">191,07 E: Seguro AXA enero 2023 Alfonso Carmona.
Cargado: 04/01/23
 </t>
        </r>
        <r>
          <rPr>
            <b/>
            <sz val="9"/>
            <color indexed="81"/>
            <rFont val="Tahoma"/>
            <family val="2"/>
          </rPr>
          <t xml:space="preserve">
</t>
        </r>
        <r>
          <rPr>
            <sz val="9"/>
            <color indexed="81"/>
            <rFont val="Tahoma"/>
            <family val="2"/>
          </rPr>
          <t xml:space="preserve">
</t>
        </r>
      </text>
    </comment>
    <comment ref="BQ112" authorId="0" shapeId="0" xr:uid="{44AAE936-5FEA-49EB-8C6A-4E0D80C667E4}">
      <text>
        <r>
          <rPr>
            <sz val="9"/>
            <color indexed="81"/>
            <rFont val="Tahoma"/>
            <family val="2"/>
          </rPr>
          <t xml:space="preserve">203,10 E: Seguro AXA febrero 2023 Alfonso Carmona.
Cargado: 03/02/23
 </t>
        </r>
        <r>
          <rPr>
            <b/>
            <sz val="9"/>
            <color indexed="81"/>
            <rFont val="Tahoma"/>
            <family val="2"/>
          </rPr>
          <t xml:space="preserve">
</t>
        </r>
        <r>
          <rPr>
            <sz val="9"/>
            <color indexed="81"/>
            <rFont val="Tahoma"/>
            <family val="2"/>
          </rPr>
          <t xml:space="preserve">
</t>
        </r>
      </text>
    </comment>
    <comment ref="BR112" authorId="0" shapeId="0" xr:uid="{E3FE9097-4191-4C20-8425-B7C6A2474513}">
      <text>
        <r>
          <rPr>
            <sz val="9"/>
            <color indexed="81"/>
            <rFont val="Tahoma"/>
            <family val="2"/>
          </rPr>
          <t xml:space="preserve">203,10 E: Seguro AXA marzo 2023 Alfonso Carmona.
Cargado: 03/03/23
-----------------
13,62€: Seguro AXA del 17/03 AL 17/04/23  Alfonso Carmona.
Cargado: 20/03/23
 </t>
        </r>
        <r>
          <rPr>
            <b/>
            <sz val="9"/>
            <color indexed="81"/>
            <rFont val="Tahoma"/>
            <family val="2"/>
          </rPr>
          <t xml:space="preserve">
</t>
        </r>
        <r>
          <rPr>
            <sz val="9"/>
            <color indexed="81"/>
            <rFont val="Tahoma"/>
            <family val="2"/>
          </rPr>
          <t xml:space="preserve">
</t>
        </r>
      </text>
    </comment>
    <comment ref="BS112" authorId="0" shapeId="0" xr:uid="{4CBC4D23-EE65-45D9-AB63-6C5783363939}">
      <text>
        <r>
          <rPr>
            <sz val="9"/>
            <color indexed="81"/>
            <rFont val="Tahoma"/>
            <family val="2"/>
          </rPr>
          <t xml:space="preserve">203,10 E: Seguro AXA abril 2023 Alfonso Carmona.
Cargado: 05/04/23
-----------------
13,64€: Seguro AXA del 17/04 AL 17/05/23  Alfonso Carmona.
Cargado: 18/04/23
 </t>
        </r>
        <r>
          <rPr>
            <b/>
            <sz val="9"/>
            <color indexed="81"/>
            <rFont val="Tahoma"/>
            <family val="2"/>
          </rPr>
          <t xml:space="preserve">
</t>
        </r>
        <r>
          <rPr>
            <sz val="9"/>
            <color indexed="81"/>
            <rFont val="Tahoma"/>
            <family val="2"/>
          </rPr>
          <t xml:space="preserve">
</t>
        </r>
      </text>
    </comment>
    <comment ref="BT112" authorId="0" shapeId="0" xr:uid="{B6951D41-B7C9-4F16-B20C-E833D5CCD96A}">
      <text>
        <r>
          <rPr>
            <sz val="9"/>
            <color indexed="81"/>
            <rFont val="Tahoma"/>
            <family val="2"/>
          </rPr>
          <t xml:space="preserve">203,10 E: Seguro AXA mayo 2023 Alfonso Carmona.
Cargado: 03/05/23
-----------------
13,64€: Seguro AXA del 17/05 AL 17/06/23  Alfonso Carmona.
Cargado: 18/05/23
 </t>
        </r>
        <r>
          <rPr>
            <b/>
            <sz val="9"/>
            <color indexed="81"/>
            <rFont val="Tahoma"/>
            <family val="2"/>
          </rPr>
          <t xml:space="preserve">
</t>
        </r>
        <r>
          <rPr>
            <sz val="9"/>
            <color indexed="81"/>
            <rFont val="Tahoma"/>
            <family val="2"/>
          </rPr>
          <t xml:space="preserve">
</t>
        </r>
      </text>
    </comment>
    <comment ref="BU112" authorId="0" shapeId="0" xr:uid="{701A3D91-C2D6-41D6-9C60-635645843DCB}">
      <text>
        <r>
          <rPr>
            <sz val="9"/>
            <color indexed="81"/>
            <rFont val="Tahoma"/>
            <family val="2"/>
          </rPr>
          <t xml:space="preserve">203,10 E: Seguro AXA junio 2023 Alfonso Carmona.
Cargado: 05/06/23
-----------------
13,62€: Seguro AXA del 17/06 AL 17/07/23  Alfonso Carmona.
Cargado: 20/06/23
 </t>
        </r>
        <r>
          <rPr>
            <b/>
            <sz val="9"/>
            <color indexed="81"/>
            <rFont val="Tahoma"/>
            <family val="2"/>
          </rPr>
          <t xml:space="preserve">
</t>
        </r>
        <r>
          <rPr>
            <sz val="9"/>
            <color indexed="81"/>
            <rFont val="Tahoma"/>
            <family val="2"/>
          </rPr>
          <t xml:space="preserve">
</t>
        </r>
      </text>
    </comment>
    <comment ref="BV112" authorId="0" shapeId="0" xr:uid="{61F374D2-57BE-4C95-916B-8D0BDFA2F256}">
      <text>
        <r>
          <rPr>
            <sz val="9"/>
            <color indexed="81"/>
            <rFont val="Tahoma"/>
            <family val="2"/>
          </rPr>
          <t xml:space="preserve">203,10 E: Seguro AXA julio 2023 Alfonso Carmona.
Cargado: 05/07/23
-----------------
13,62€: Seguro AXA del 17/07 AL 17/08/23  Alfonso Carmona.
Cargado: 18/07/23
 </t>
        </r>
        <r>
          <rPr>
            <b/>
            <sz val="9"/>
            <color indexed="81"/>
            <rFont val="Tahoma"/>
            <family val="2"/>
          </rPr>
          <t xml:space="preserve">
</t>
        </r>
        <r>
          <rPr>
            <sz val="9"/>
            <color indexed="81"/>
            <rFont val="Tahoma"/>
            <family val="2"/>
          </rPr>
          <t xml:space="preserve">
</t>
        </r>
      </text>
    </comment>
    <comment ref="BW112" authorId="0" shapeId="0" xr:uid="{D01E9D0A-D8E8-4478-8811-5C59C419CF24}">
      <text>
        <r>
          <rPr>
            <sz val="9"/>
            <color indexed="81"/>
            <rFont val="Tahoma"/>
            <family val="2"/>
          </rPr>
          <t xml:space="preserve">203,11 E: Seguro AXA agosto 2023 Alfonso Carmona.
Cargado: 03/08/23
-----------------
13,62€: Seguro AXA del 17/08 AL 17/09/23  Alfonso Carmona.
Cargado: 18/08/23
 </t>
        </r>
        <r>
          <rPr>
            <b/>
            <sz val="9"/>
            <color indexed="81"/>
            <rFont val="Tahoma"/>
            <family val="2"/>
          </rPr>
          <t xml:space="preserve">
</t>
        </r>
        <r>
          <rPr>
            <sz val="9"/>
            <color indexed="81"/>
            <rFont val="Tahoma"/>
            <family val="2"/>
          </rPr>
          <t xml:space="preserve">
</t>
        </r>
      </text>
    </comment>
    <comment ref="BY112" authorId="0" shapeId="0" xr:uid="{BC594D35-0408-4E62-9517-750ABAA044A2}">
      <text>
        <r>
          <rPr>
            <sz val="9"/>
            <color indexed="81"/>
            <rFont val="Tahoma"/>
            <family val="2"/>
          </rPr>
          <t xml:space="preserve">203,10 E: Seguro AXA sept 2023 Alfonso Carmona.
Cargado: 05/09/23
-----------------
13,64€: Seguro AXA del 17/09 AL 17/10/23  Alfonso Carmona.
Cargado: 19/09/23
 </t>
        </r>
        <r>
          <rPr>
            <b/>
            <sz val="9"/>
            <color indexed="81"/>
            <rFont val="Tahoma"/>
            <family val="2"/>
          </rPr>
          <t xml:space="preserve">
</t>
        </r>
        <r>
          <rPr>
            <sz val="9"/>
            <color indexed="81"/>
            <rFont val="Tahoma"/>
            <family val="2"/>
          </rPr>
          <t xml:space="preserve">
</t>
        </r>
      </text>
    </comment>
    <comment ref="BZ112" authorId="0" shapeId="0" xr:uid="{896C948C-D8D2-4609-8D75-02907276933E}">
      <text>
        <r>
          <rPr>
            <sz val="9"/>
            <color indexed="81"/>
            <rFont val="Tahoma"/>
            <family val="2"/>
          </rPr>
          <t xml:space="preserve">203,11 E: Seguro AXA oct 2023 Alfonso Carmona.
Cargado: 04/10/23
-----------------
13,62€: Seguro AXA del 17/10 AL 17/11/23  Alfonso Carmona.
Cargado: 18/10/23
 </t>
        </r>
        <r>
          <rPr>
            <b/>
            <sz val="9"/>
            <color indexed="81"/>
            <rFont val="Tahoma"/>
            <family val="2"/>
          </rPr>
          <t xml:space="preserve">
</t>
        </r>
        <r>
          <rPr>
            <sz val="9"/>
            <color indexed="81"/>
            <rFont val="Tahoma"/>
            <family val="2"/>
          </rPr>
          <t xml:space="preserve">
</t>
        </r>
      </text>
    </comment>
    <comment ref="CA112" authorId="0" shapeId="0" xr:uid="{05CE9C71-0207-45B8-AF37-8FE72873B2BE}">
      <text>
        <r>
          <rPr>
            <sz val="9"/>
            <color indexed="81"/>
            <rFont val="Tahoma"/>
            <family val="2"/>
          </rPr>
          <t xml:space="preserve">203,10 E: Seguro AXA nov 2023 Alfonso Carmona.
Cargado: 03/11/23
-----------------
13,64€: Seguro AXA del 17/11 AL 17/12/23  Alfonso Carmona.
Cargado: 20/11/23
 </t>
        </r>
        <r>
          <rPr>
            <b/>
            <sz val="9"/>
            <color indexed="81"/>
            <rFont val="Tahoma"/>
            <family val="2"/>
          </rPr>
          <t xml:space="preserve">
</t>
        </r>
        <r>
          <rPr>
            <sz val="9"/>
            <color indexed="81"/>
            <rFont val="Tahoma"/>
            <family val="2"/>
          </rPr>
          <t xml:space="preserve">
</t>
        </r>
      </text>
    </comment>
    <comment ref="CB112" authorId="0" shapeId="0" xr:uid="{5C69A95C-9D70-4B6A-A38E-CB1A1D25EFEC}">
      <text>
        <r>
          <rPr>
            <sz val="9"/>
            <color indexed="81"/>
            <rFont val="Tahoma"/>
            <family val="2"/>
          </rPr>
          <t xml:space="preserve">203,11 E: Seguro AXA dic 2023 Alfonso Carmona.
Cargado: 05/12/23
-----------------
13,62€: Seguro AXA del 17/12 AL 17/01/24  Alfonso Carmona.
Cargado: 19/12/23
 </t>
        </r>
        <r>
          <rPr>
            <b/>
            <sz val="9"/>
            <color indexed="81"/>
            <rFont val="Tahoma"/>
            <family val="2"/>
          </rPr>
          <t xml:space="preserve">
</t>
        </r>
        <r>
          <rPr>
            <sz val="9"/>
            <color indexed="81"/>
            <rFont val="Tahoma"/>
            <family val="2"/>
          </rPr>
          <t xml:space="preserve">
</t>
        </r>
      </text>
    </comment>
    <comment ref="CC112" authorId="0" shapeId="0" xr:uid="{70EE8EC6-6019-4736-AE59-DB2153E8D859}">
      <text>
        <r>
          <rPr>
            <sz val="9"/>
            <color indexed="81"/>
            <rFont val="Tahoma"/>
            <family val="2"/>
          </rPr>
          <t xml:space="preserve">203,10 E: Seguro AXA ene 2024 Alfonso Carmona.
Cargado: 03/01/24
-----------------
13,64€: Seguro AXA del 17/01 AL 17/02/24  Alfonso Carmona.
Cargado: 18/01/24
 </t>
        </r>
        <r>
          <rPr>
            <b/>
            <sz val="9"/>
            <color indexed="81"/>
            <rFont val="Tahoma"/>
            <family val="2"/>
          </rPr>
          <t xml:space="preserve">
</t>
        </r>
        <r>
          <rPr>
            <sz val="9"/>
            <color indexed="81"/>
            <rFont val="Tahoma"/>
            <family val="2"/>
          </rPr>
          <t xml:space="preserve">
</t>
        </r>
      </text>
    </comment>
    <comment ref="CD112" authorId="0" shapeId="0" xr:uid="{DB2943FB-BCAB-4D65-ABB4-C835CC36A361}">
      <text>
        <r>
          <rPr>
            <sz val="9"/>
            <color indexed="81"/>
            <rFont val="Tahoma"/>
            <family val="2"/>
          </rPr>
          <t xml:space="preserve">209,22 E: Seguro AXA feb 2024 Alfonso Carmona.
Cargado: 05/02/24
-----------------
13,63€: Seguro AXA del 17/02 AL 17/03/24  Alfonso Carmona.
Cargado: 20/02/24
 </t>
        </r>
        <r>
          <rPr>
            <b/>
            <sz val="9"/>
            <color indexed="81"/>
            <rFont val="Tahoma"/>
            <family val="2"/>
          </rPr>
          <t xml:space="preserve">
</t>
        </r>
        <r>
          <rPr>
            <sz val="9"/>
            <color indexed="81"/>
            <rFont val="Tahoma"/>
            <family val="2"/>
          </rPr>
          <t xml:space="preserve">
</t>
        </r>
      </text>
    </comment>
    <comment ref="CE112" authorId="0" shapeId="0" xr:uid="{1668C5FC-0AE8-4577-88BB-BAEF7141776F}">
      <text>
        <r>
          <rPr>
            <sz val="9"/>
            <color indexed="81"/>
            <rFont val="Tahoma"/>
            <family val="2"/>
          </rPr>
          <t xml:space="preserve">209,22 E: Seguro AXA marzo 2024 Alfonso Carmona.
Cargado: 05/03/24
-----------------
14,57€: Seguro AXA del 17/03 AL 17/04/24  Alfonso Carmona.
Cargado: 19/03/24
 </t>
        </r>
        <r>
          <rPr>
            <b/>
            <sz val="9"/>
            <color indexed="81"/>
            <rFont val="Tahoma"/>
            <family val="2"/>
          </rPr>
          <t xml:space="preserve">
</t>
        </r>
        <r>
          <rPr>
            <sz val="9"/>
            <color indexed="81"/>
            <rFont val="Tahoma"/>
            <family val="2"/>
          </rPr>
          <t xml:space="preserve">
</t>
        </r>
      </text>
    </comment>
    <comment ref="BB113" authorId="0" shapeId="0" xr:uid="{CB76E80E-2499-4125-B675-34BE981F1C5C}">
      <text>
        <r>
          <rPr>
            <sz val="9"/>
            <color indexed="81"/>
            <rFont val="Tahoma"/>
            <family val="2"/>
          </rPr>
          <t>361,77€: Seguro a terceros del Land Rover
Cargado Caixa: 21/12/21
-------------------------
602,41€: Seguro 
todo riesgo
Cargado Caixa: 22/12/21</t>
        </r>
      </text>
    </comment>
    <comment ref="BO113" authorId="0" shapeId="0" xr:uid="{BD857F37-52EE-43C2-B8FD-24C3D70D1993}">
      <text>
        <r>
          <rPr>
            <sz val="9"/>
            <color indexed="81"/>
            <rFont val="Tahoma"/>
            <family val="2"/>
          </rPr>
          <t xml:space="preserve">969,01€: Seguro a todo riesgo coche Land Rover
Cargado Caixa: 20/12/22
-------------------------
</t>
        </r>
      </text>
    </comment>
    <comment ref="CB113" authorId="0" shapeId="0" xr:uid="{4B365966-5205-4C56-A832-717F6FA98DDF}">
      <text>
        <r>
          <rPr>
            <sz val="9"/>
            <color indexed="81"/>
            <rFont val="Tahoma"/>
            <family val="2"/>
          </rPr>
          <t xml:space="preserve">969,01 E: Previsión
996,85 E: Seguro a todo riesgo coche Land Rover
Lo cargarán en Caixa: 17/12/23
Cargado Caixa: 18/12/23
-------------------------
</t>
        </r>
      </text>
    </comment>
    <comment ref="CC113" authorId="0" shapeId="0" xr:uid="{3F0D264D-6934-4FE9-98CA-BA7FFEB6065A}">
      <text>
        <r>
          <rPr>
            <sz val="9"/>
            <color indexed="81"/>
            <rFont val="Tahoma"/>
            <family val="2"/>
          </rPr>
          <t xml:space="preserve">-100€: Promoción seguro a todo riesgo
Land Rover
Abonado Caixa: 15/01/24
-------------------------
</t>
        </r>
      </text>
    </comment>
    <comment ref="CP113" authorId="0" shapeId="0" xr:uid="{DBB08B3A-E4ED-4DB5-BE9C-E0ED143AD5DB}">
      <text>
        <r>
          <rPr>
            <sz val="9"/>
            <color indexed="81"/>
            <rFont val="Tahoma"/>
            <family val="2"/>
          </rPr>
          <t xml:space="preserve">969,01€: Seguro a todo riesgo coche Land Rover
Cargado Caixa: 20/12/22
-------------------------
</t>
        </r>
      </text>
    </comment>
    <comment ref="BD114" authorId="0" shapeId="0" xr:uid="{17C48C72-1B84-4A95-9E1F-60D03379C019}">
      <text>
        <r>
          <rPr>
            <sz val="9"/>
            <color indexed="81"/>
            <rFont val="Tahoma"/>
            <family val="2"/>
          </rPr>
          <t xml:space="preserve">546,19€: Seguro Anual Hogar Rep. Argentina
Pago semestral
281,30€: Cargado BBVA: 02/02/22 
</t>
        </r>
      </text>
    </comment>
    <comment ref="BQ114" authorId="0" shapeId="0" xr:uid="{884CF9AF-0EB9-44B1-A248-A7603C461217}">
      <text>
        <r>
          <rPr>
            <sz val="9"/>
            <color indexed="81"/>
            <rFont val="Tahoma"/>
            <family val="2"/>
          </rPr>
          <t xml:space="preserve">587,18€: Seguro Anual Hogar Rep. Argentina 2022
Pago semestral
Seguro hogar del 01/02 al 31/08/23
301,91€: Cargado BBVA: 10/02/23 
</t>
        </r>
      </text>
    </comment>
    <comment ref="BW114" authorId="0" shapeId="0" xr:uid="{42BE321E-2287-4E32-BAC6-D19A3090B78A}">
      <text>
        <r>
          <rPr>
            <sz val="9"/>
            <color indexed="81"/>
            <rFont val="Tahoma"/>
            <family val="2"/>
          </rPr>
          <t xml:space="preserve">587,18€: Seguro Anual Hogar Rep. Argentina 2023
Pago semestral
Seguro hogar del 01/08 al 31/01/24
285,27€: Cargado BBVA: 02/08/23 
</t>
        </r>
      </text>
    </comment>
    <comment ref="CD114" authorId="0" shapeId="0" xr:uid="{B4E61E07-8382-4E9F-AFE2-CDE27279A229}">
      <text>
        <r>
          <rPr>
            <sz val="9"/>
            <color indexed="81"/>
            <rFont val="Tahoma"/>
            <family val="2"/>
          </rPr>
          <t xml:space="preserve">616,55€: Seguro Anual Hogar Rep. Argentina 2024
Pago semestral
Seguro hogar del 01/02 al 31/07/24
316,69€: Cargado BBVA: 05/02/24 
</t>
        </r>
      </text>
    </comment>
    <comment ref="CJ114" authorId="1" shapeId="0" xr:uid="{4C883C1E-FD28-403F-8D58-309FC3721AAF}">
      <text>
        <r>
          <rPr>
            <sz val="9"/>
            <color indexed="81"/>
            <rFont val="Tahoma"/>
            <family val="2"/>
          </rPr>
          <t>616,55€: Seguro Anual Hogar Rep. Argentina 2024
Pago semestral</t>
        </r>
      </text>
    </comment>
    <comment ref="CR114" authorId="0" shapeId="0" xr:uid="{3B42848A-3918-4B10-A399-169822BCE7A4}">
      <text>
        <r>
          <rPr>
            <sz val="9"/>
            <color indexed="81"/>
            <rFont val="Tahoma"/>
            <family val="2"/>
          </rPr>
          <t xml:space="preserve">587,18€: Seguro Anual Hogar Rep. Argentina 2023
Pago semestral
</t>
        </r>
      </text>
    </comment>
    <comment ref="CX114" authorId="1" shapeId="0" xr:uid="{A1C2C583-60A6-44CF-9A39-460044B93E8C}">
      <text>
        <r>
          <rPr>
            <b/>
            <sz val="9"/>
            <color indexed="81"/>
            <rFont val="Tahoma"/>
            <family val="2"/>
          </rPr>
          <t>alfonso:</t>
        </r>
        <r>
          <rPr>
            <sz val="9"/>
            <color indexed="81"/>
            <rFont val="Tahoma"/>
            <family val="2"/>
          </rPr>
          <t xml:space="preserve">
587,18€: Seguro Anual Hogar Rep. Argentina 
Pago semestral</t>
        </r>
      </text>
    </comment>
    <comment ref="BI115" authorId="0" shapeId="0" xr:uid="{AC8C807D-C758-40E1-BBC0-9EB1A15B0193}">
      <text>
        <r>
          <rPr>
            <sz val="9"/>
            <color indexed="81"/>
            <rFont val="Tahoma"/>
            <family val="2"/>
          </rPr>
          <t xml:space="preserve">393,95€: Seguro Anual Vida
393,95€: Cargado BBVA: 15/07/22 
</t>
        </r>
      </text>
    </comment>
    <comment ref="BV115" authorId="0" shapeId="0" xr:uid="{E1889855-B9F7-439F-A6E9-B56F605B7F03}">
      <text>
        <r>
          <rPr>
            <sz val="9"/>
            <color indexed="81"/>
            <rFont val="Tahoma"/>
            <family val="2"/>
          </rPr>
          <t xml:space="preserve">393,95€: Seguro Anual Vida
393,95€: Cargado BBVA: 18/07/23 
</t>
        </r>
      </text>
    </comment>
    <comment ref="CI115" authorId="0" shapeId="0" xr:uid="{B5D97B4F-7281-4CC0-92FD-0BCDB0D27FAA}">
      <text>
        <r>
          <rPr>
            <sz val="9"/>
            <color indexed="81"/>
            <rFont val="Tahoma"/>
            <family val="2"/>
          </rPr>
          <t xml:space="preserve">393,95€: Seguro Anual Vida
393,95€: Cargado BBVA: 15/07/22 
</t>
        </r>
      </text>
    </comment>
    <comment ref="CW115" authorId="0" shapeId="0" xr:uid="{3CB716E6-94FB-449A-9A12-30A4C0891ACF}">
      <text>
        <r>
          <rPr>
            <sz val="9"/>
            <color indexed="81"/>
            <rFont val="Tahoma"/>
            <family val="2"/>
          </rPr>
          <t xml:space="preserve">393,95€: Seguro Anual Vida
393,95€: Cargado BBVA: 15/07/22 
</t>
        </r>
      </text>
    </comment>
    <comment ref="BR116" authorId="0" shapeId="0" xr:uid="{69520A84-D366-40F6-92CF-66C7E8CBC235}">
      <text>
        <r>
          <rPr>
            <sz val="9"/>
            <color indexed="81"/>
            <rFont val="Tahoma"/>
            <family val="2"/>
          </rPr>
          <t xml:space="preserve">393,95€: Seguro Anual Vida
393,95€: Cargado BBVA: 27/03/23
</t>
        </r>
      </text>
    </comment>
    <comment ref="CE116" authorId="0" shapeId="0" xr:uid="{16E526C5-EE98-4697-A484-0A28D7EF7B8B}">
      <text>
        <r>
          <rPr>
            <sz val="9"/>
            <color indexed="81"/>
            <rFont val="Tahoma"/>
            <family val="2"/>
          </rPr>
          <t xml:space="preserve">393,95€: Seguro Anual Vida
393,95€: Cargado BBVA: 27/03/23
</t>
        </r>
      </text>
    </comment>
    <comment ref="CS116" authorId="0" shapeId="0" xr:uid="{6F500B2D-6ACD-42ED-841C-D0BD30358020}">
      <text>
        <r>
          <rPr>
            <sz val="9"/>
            <color indexed="81"/>
            <rFont val="Tahoma"/>
            <family val="2"/>
          </rPr>
          <t xml:space="preserve">393,95€: Seguro Anual Vida
393,95€: Cargado BBVA: 27/03/23
</t>
        </r>
      </text>
    </comment>
    <comment ref="BI117" authorId="0" shapeId="0" xr:uid="{66A0DF1D-1198-4664-A9F5-1CB793603CD4}">
      <text>
        <r>
          <rPr>
            <sz val="9"/>
            <color indexed="81"/>
            <rFont val="Tahoma"/>
            <family val="2"/>
          </rPr>
          <t xml:space="preserve">79,44€: Seguro Vida Caixa del 08 al 31/07/22
79,44€: Cargado Caixa: 09/07/22 
</t>
        </r>
      </text>
    </comment>
    <comment ref="BJ117" authorId="0" shapeId="0" xr:uid="{8035F26F-ECC0-4D8A-A2CC-858EBB554520}">
      <text>
        <r>
          <rPr>
            <sz val="9"/>
            <color indexed="81"/>
            <rFont val="Tahoma"/>
            <family val="2"/>
          </rPr>
          <t>103,20€: Seguro Vida Caixa del 01 al 31/08/22
Cargado en caixa: 01/08/22.</t>
        </r>
      </text>
    </comment>
    <comment ref="BL117" authorId="0" shapeId="0" xr:uid="{22E2D236-BD91-4B1F-827E-533CE9968A4F}">
      <text>
        <r>
          <rPr>
            <sz val="9"/>
            <color indexed="81"/>
            <rFont val="Tahoma"/>
            <family val="2"/>
          </rPr>
          <t>103,20€: Seguro Vida Caixa del 01 al 30/09/22
Cargado Caixa: 01/09/22.
A partir de este mes este seguro lo cargan en Cta Caixa MDZ</t>
        </r>
      </text>
    </comment>
    <comment ref="CM117" authorId="0" shapeId="0" xr:uid="{BF2DA431-636B-47C3-90DC-EA2B88B1D134}">
      <text>
        <r>
          <rPr>
            <sz val="9"/>
            <color indexed="81"/>
            <rFont val="Tahoma"/>
            <family val="2"/>
          </rPr>
          <t>103,20€: Seguro Vida Caixa del 01 al 30/09
Cargo Caixa: 01/09.
A partir de este mes este seguro lo cargan en Cta Caixa MDZ</t>
        </r>
      </text>
    </comment>
    <comment ref="CB118" authorId="0" shapeId="0" xr:uid="{F3A28AFE-0D8F-4775-A8A0-AA7C7C5CA7F8}">
      <text>
        <r>
          <rPr>
            <sz val="9"/>
            <color indexed="81"/>
            <rFont val="Tahoma"/>
            <family val="2"/>
          </rPr>
          <t>212,85€: Seguro Vida Caixa del 05/12/23 al 31/12/23
Cargado Caixa: 14/12/23.
Periodo cobertura: Desde el 05/12/23 hasta el 30/11/26</t>
        </r>
      </text>
    </comment>
    <comment ref="CC118" authorId="0" shapeId="0" xr:uid="{AEAA82C2-020C-4D67-AAED-C4F251DDE212}">
      <text>
        <r>
          <rPr>
            <sz val="9"/>
            <color indexed="81"/>
            <rFont val="Tahoma"/>
            <family val="2"/>
          </rPr>
          <t>245,04€: Seguro Vida Caixa del 01/01/24 al 31/01/24
Cargado Caixa: 01/01/24.
Periodo cobertura: Desde el 05/12/23 hasta el 30/11/26</t>
        </r>
      </text>
    </comment>
    <comment ref="CD118" authorId="0" shapeId="0" xr:uid="{D002316F-D742-4E9B-A803-C8ED16D44CA1}">
      <text>
        <r>
          <rPr>
            <sz val="9"/>
            <color indexed="81"/>
            <rFont val="Tahoma"/>
            <family val="2"/>
          </rPr>
          <t>245,04€: Seguro Vida Caixa del 01/02/24 al 29/02/24
Cargado Caixa: 01/02/24.
Periodo cobertura: Desde el 05/12/23 hasta el 30/11/26</t>
        </r>
      </text>
    </comment>
    <comment ref="CE118" authorId="0" shapeId="0" xr:uid="{90F7E2DB-BFF7-4C38-B532-5FE6C5DF4195}">
      <text>
        <r>
          <rPr>
            <sz val="9"/>
            <color indexed="81"/>
            <rFont val="Tahoma"/>
            <family val="2"/>
          </rPr>
          <t>245,04€: Seguro Vida Caixa del 01/03/24 al 31/03/24
Cargado Caixa: 01/03/24.
Periodo cobertura: Desde el 05/12/23 hasta el 30/11/26</t>
        </r>
      </text>
    </comment>
    <comment ref="DM118" authorId="0" shapeId="0" xr:uid="{548E4578-326C-420E-BB11-B6BCD30BFB77}">
      <text>
        <r>
          <rPr>
            <sz val="9"/>
            <color indexed="81"/>
            <rFont val="Tahoma"/>
            <family val="2"/>
          </rPr>
          <t>245,04€: Seguro Vida Caixa del 
Cargado Caixa: 
Periodo cobertura: Desde el 05/12/23 hasta el 30/11/26</t>
        </r>
      </text>
    </comment>
    <comment ref="CB119" authorId="0" shapeId="0" xr:uid="{78BBA8E7-405D-4B2E-B8E8-A1C29072B8F5}">
      <text>
        <r>
          <rPr>
            <sz val="9"/>
            <color indexed="81"/>
            <rFont val="Tahoma"/>
            <family val="2"/>
          </rPr>
          <t>896,80€: Seguro RC del 18/12/23 al 18/12/24
Cargado BBVA: 18/12/23</t>
        </r>
      </text>
    </comment>
    <comment ref="AF120" authorId="0" shapeId="0" xr:uid="{00000000-0006-0000-0100-000034010000}">
      <text>
        <r>
          <rPr>
            <b/>
            <sz val="9"/>
            <color indexed="81"/>
            <rFont val="Tahoma"/>
            <family val="2"/>
          </rPr>
          <t>rosa:</t>
        </r>
        <r>
          <rPr>
            <sz val="9"/>
            <color indexed="81"/>
            <rFont val="Tahoma"/>
            <family val="2"/>
          </rPr>
          <t xml:space="preserve">
8080,88 E IFS Nueva analítica: Z.Admin
Info Alberto: Pagar a finales de abril
Cargado Caixa: 16/04/20</t>
        </r>
      </text>
    </comment>
    <comment ref="AZ120" authorId="0" shapeId="0" xr:uid="{D54FC309-9BFB-405A-8FA0-24D40B36AE87}">
      <text>
        <r>
          <rPr>
            <sz val="9"/>
            <color indexed="81"/>
            <rFont val="Tahoma"/>
            <family val="2"/>
          </rPr>
          <t>Fra Iberica Feeding del 09/08/21.
Alimento Vacas: 8855,88€ 
Cargado Caixa: 15/10/21.
50% Nixal y 50% Molino. 
Pendiente de devolver por Molino
-8855,88€: Devolución Fra Iberica Feeding por parte de Molino y a la misma vez 8855,88€: préstamo de Nixal a Molino por el mismo importe
Hacer docu para conta sin movimiento bancario</t>
        </r>
      </text>
    </comment>
    <comment ref="AZ121" authorId="0" shapeId="0" xr:uid="{6CFF96D1-1BEF-4D9C-9D94-9AE1D5050255}">
      <text>
        <r>
          <rPr>
            <sz val="9"/>
            <color indexed="81"/>
            <rFont val="Tahoma"/>
            <family val="2"/>
          </rPr>
          <t>455,70€: Recibo comunidad de octubre
Cargado Caixa: 04/10/21
26,81€: Recibo agua octubre
Cargado Caixa: 04/10/21
455,70€: Recibo comunidad septiembre
Cargado Caixa: 21/10/21
455,70€: Recibo comunidad agosto
Cargado Caixa: 21/10/21</t>
        </r>
      </text>
    </comment>
    <comment ref="BA121" authorId="0" shapeId="0" xr:uid="{C97E0FFA-F820-4225-A2D4-6D17872C0873}">
      <text>
        <r>
          <rPr>
            <sz val="9"/>
            <color indexed="81"/>
            <rFont val="Tahoma"/>
            <family val="2"/>
          </rPr>
          <t>455,70€: Recibo comunidad noviembre
Cargado Caixa: 02/11/21</t>
        </r>
        <r>
          <rPr>
            <b/>
            <sz val="9"/>
            <color indexed="81"/>
            <rFont val="Tahoma"/>
            <family val="2"/>
          </rPr>
          <t xml:space="preserve">
------------------------
</t>
        </r>
        <r>
          <rPr>
            <sz val="9"/>
            <color indexed="81"/>
            <rFont val="Tahoma"/>
            <family val="2"/>
          </rPr>
          <t xml:space="preserve">443,80€: Recibo erróneo comunidad septiembre ya cargado en oct y por otro importe
Cargado Caixa: 16/11/21 
Recibo devuelto el 01/12/21 </t>
        </r>
        <r>
          <rPr>
            <b/>
            <sz val="9"/>
            <color indexed="81"/>
            <rFont val="Tahoma"/>
            <family val="2"/>
          </rPr>
          <t xml:space="preserve">
</t>
        </r>
      </text>
    </comment>
    <comment ref="BB121" authorId="0" shapeId="0" xr:uid="{63B9837A-F937-4D82-AEC4-26B9C9D7FEC5}">
      <text>
        <r>
          <rPr>
            <sz val="9"/>
            <color indexed="81"/>
            <rFont val="Tahoma"/>
            <family val="2"/>
          </rPr>
          <t xml:space="preserve">-443,80€: Pendiente devolución de recibo erróneo comunidad septiembre ya cargado en oct y por otro importe
Cargado Caixa: 16/11/21 
Recibo devuelto y abonado en Caixa el 01/12/21 
-------------------------------
455,70€: Recibo comunidad diciembre
Cargado Caixa: 02/12/21
------------------------------
</t>
        </r>
      </text>
    </comment>
    <comment ref="BC121" authorId="0" shapeId="0" xr:uid="{FD059A3D-0474-4E7C-85B1-3877E49484C1}">
      <text>
        <r>
          <rPr>
            <sz val="9"/>
            <color indexed="81"/>
            <rFont val="Tahoma"/>
            <family val="2"/>
          </rPr>
          <t xml:space="preserve">455,70€: Recibo comunidad enero
Cargado Caixa: 03/01/22
------------------------------
</t>
        </r>
      </text>
    </comment>
    <comment ref="BD121" authorId="0" shapeId="0" xr:uid="{86BA6B39-65C7-4F5F-A191-45032B06654D}">
      <text>
        <r>
          <rPr>
            <sz val="9"/>
            <color indexed="81"/>
            <rFont val="Tahoma"/>
            <family val="2"/>
          </rPr>
          <t xml:space="preserve">455,70€: Recibo comunidad de febrero
Cargado Caixa: 02/02/22
89,70€: Recibo agua febrero
Cargado Caixa: 02/02/22
</t>
        </r>
      </text>
    </comment>
    <comment ref="BE121" authorId="0" shapeId="0" xr:uid="{3DF5CEDC-A9B9-494F-ADE9-3440589CDD2D}">
      <text>
        <r>
          <rPr>
            <sz val="9"/>
            <color indexed="81"/>
            <rFont val="Tahoma"/>
            <family val="2"/>
          </rPr>
          <t xml:space="preserve">455,70€: Recibo comunidad marzo
Cargado Caixa: 02/03/22
------------------------------
</t>
        </r>
      </text>
    </comment>
    <comment ref="BF121" authorId="0" shapeId="0" xr:uid="{9EC94435-F455-47A1-9167-4A15B05FA310}">
      <text>
        <r>
          <rPr>
            <sz val="9"/>
            <color indexed="81"/>
            <rFont val="Tahoma"/>
            <family val="2"/>
          </rPr>
          <t xml:space="preserve">455,70€: Recibo comunidad de abril
Cargado Caixa: 04/04/22
48,80€: Recibo agua abril
Cargado Caixa: 04/04/22
</t>
        </r>
      </text>
    </comment>
    <comment ref="BG121" authorId="0" shapeId="0" xr:uid="{ECD9B6A7-A03F-4B39-9513-A8E5BCCC3125}">
      <text>
        <r>
          <rPr>
            <sz val="9"/>
            <color indexed="81"/>
            <rFont val="Tahoma"/>
            <family val="2"/>
          </rPr>
          <t xml:space="preserve">455,70€: Recibo comunidad mayo
Cargado Caixa: 04/05/22
------------------------------
</t>
        </r>
      </text>
    </comment>
    <comment ref="BH121" authorId="0" shapeId="0" xr:uid="{B468508E-AE8B-4170-BF93-57F236FE09C0}">
      <text>
        <r>
          <rPr>
            <sz val="9"/>
            <color indexed="81"/>
            <rFont val="Tahoma"/>
            <family val="2"/>
          </rPr>
          <t xml:space="preserve">455,70€: Recibo comunidad junio
Cargado Caixa: 02/06/22
------------------------------
</t>
        </r>
      </text>
    </comment>
    <comment ref="BJ121" authorId="2" shapeId="0" xr:uid="{93608DB5-F005-4FFB-8A48-EB6294F43DA2}">
      <text>
        <r>
          <rPr>
            <sz val="9"/>
            <color indexed="81"/>
            <rFont val="Tahoma"/>
            <family val="2"/>
          </rPr>
          <t>455,77 Eur: Cargado el 03/08/22.</t>
        </r>
      </text>
    </comment>
    <comment ref="BL121" authorId="2" shapeId="0" xr:uid="{4A942330-AD4D-4277-AF72-CECA5DC04191}">
      <text>
        <r>
          <rPr>
            <sz val="9"/>
            <color indexed="81"/>
            <rFont val="Tahoma"/>
            <family val="2"/>
          </rPr>
          <t>455,77 Eur: Cargado el 02/09/22.</t>
        </r>
      </text>
    </comment>
    <comment ref="BM121" authorId="0" shapeId="0" xr:uid="{CF290F1D-8634-48D3-B712-5214BA7C30E4}">
      <text>
        <r>
          <rPr>
            <sz val="9"/>
            <color indexed="81"/>
            <rFont val="Tahoma"/>
            <family val="2"/>
          </rPr>
          <t xml:space="preserve">455,70€: Recibo comunidad de octubre
Cargado Caixa: 04/10/22
74,40€: Recibo agua oct
Cargado Caixa: 04/10/22
</t>
        </r>
      </text>
    </comment>
    <comment ref="BN121" authorId="0" shapeId="0" xr:uid="{17220E27-2CB5-45C8-98F2-B4E6F0486307}">
      <text>
        <r>
          <rPr>
            <sz val="9"/>
            <color indexed="81"/>
            <rFont val="Tahoma"/>
            <family val="2"/>
          </rPr>
          <t xml:space="preserve">455,70€: Recibo comunidad noviembre
Cargado Caixa: 03/11/22
------------------------------
</t>
        </r>
      </text>
    </comment>
    <comment ref="BO121" authorId="0" shapeId="0" xr:uid="{4E1B25A4-C8E1-4947-81F6-99954237ABB9}">
      <text>
        <r>
          <rPr>
            <sz val="9"/>
            <color indexed="81"/>
            <rFont val="Tahoma"/>
            <family val="2"/>
          </rPr>
          <t xml:space="preserve">499,80€: Recibo comunidad diciembre
+54,10€: Arreglo patio
OK Alberto 20/12/22
553,90€: Cargado Caixa: 05/12/22
------------------------------
</t>
        </r>
      </text>
    </comment>
    <comment ref="BP121" authorId="0" shapeId="0" xr:uid="{9848B204-04CD-45C7-B620-401F352FEAD6}">
      <text>
        <r>
          <rPr>
            <sz val="9"/>
            <color indexed="81"/>
            <rFont val="Tahoma"/>
            <family val="2"/>
          </rPr>
          <t xml:space="preserve">499,80€: Recibo comunidad enero
+54,10€: Arreglo patio
553,90€: Cargado Caixa: 04/01/23
------------------------------
</t>
        </r>
      </text>
    </comment>
    <comment ref="BQ121" authorId="0" shapeId="0" xr:uid="{B88F4306-5E99-4E95-9EA0-D7CFB02EFA60}">
      <text>
        <r>
          <rPr>
            <sz val="9"/>
            <color indexed="81"/>
            <rFont val="Tahoma"/>
            <family val="2"/>
          </rPr>
          <t xml:space="preserve">499,80€: Recibo comunidad febrero
+54,10€: Arreglo patio
553,90€: Cargado Caixa: 03/02/23
------------------------------
</t>
        </r>
      </text>
    </comment>
    <comment ref="BR121" authorId="0" shapeId="0" xr:uid="{01820B52-D1B9-4118-9A5E-21A7B50FB2A8}">
      <text>
        <r>
          <rPr>
            <sz val="9"/>
            <color indexed="81"/>
            <rFont val="Tahoma"/>
            <family val="2"/>
          </rPr>
          <t xml:space="preserve">499,80€: Recibo comunidad marzo
+54,10€: Arreglo patio
553,90€: Cargado Caixa: 06/03/23
------------------------------
</t>
        </r>
      </text>
    </comment>
    <comment ref="BS121" authorId="0" shapeId="0" xr:uid="{0E091CEC-2A63-484E-8912-9F23E96F514D}">
      <text>
        <r>
          <rPr>
            <sz val="9"/>
            <color indexed="81"/>
            <rFont val="Tahoma"/>
            <family val="2"/>
          </rPr>
          <t xml:space="preserve">499,80€: Recibo comunidad abril
+54,10€: Arreglo patio
553,90€: Cargado Caixa: 06/04/23
------------------------------
24,32€: Recibo agua abril
Cargado Caixa: 06/04/23
</t>
        </r>
      </text>
    </comment>
    <comment ref="BT121" authorId="0" shapeId="0" xr:uid="{54EA119D-DD98-4725-AE4F-70D134448BAA}">
      <text>
        <r>
          <rPr>
            <sz val="9"/>
            <color indexed="81"/>
            <rFont val="Tahoma"/>
            <family val="2"/>
          </rPr>
          <t xml:space="preserve">499,80€: Recibo comunidad mayo
+54,10€: Arreglo patio
553,90€: Cargado Caixa: 05/05/23
------------------------------
</t>
        </r>
      </text>
    </comment>
    <comment ref="BU121" authorId="0" shapeId="0" xr:uid="{7808A818-50C9-4F14-BB0E-DEB06EB70B81}">
      <text>
        <r>
          <rPr>
            <sz val="9"/>
            <color indexed="81"/>
            <rFont val="Tahoma"/>
            <family val="2"/>
          </rPr>
          <t xml:space="preserve">499,80€: Recibo comunidad junio
+54,10€: Arreglo patio
553,90€: Cargado Caixa: 07/06/23
------------------------------
</t>
        </r>
      </text>
    </comment>
    <comment ref="BV121" authorId="0" shapeId="0" xr:uid="{1567F460-90D3-43E1-8169-C00991162CB4}">
      <text>
        <r>
          <rPr>
            <sz val="9"/>
            <color indexed="81"/>
            <rFont val="Tahoma"/>
            <family val="2"/>
          </rPr>
          <t xml:space="preserve">499,80€: Recibo comunidad julio
+54,10€: Arreglo patio
553,90€: Cargado Caixa: 05/07/23
------------------------------
25,36€: Recibo agua julio
Cargado Caixa: 05/07/23
</t>
        </r>
      </text>
    </comment>
    <comment ref="BW121" authorId="0" shapeId="0" xr:uid="{16531C13-BAAD-4971-87C7-FB415FC78593}">
      <text>
        <r>
          <rPr>
            <sz val="9"/>
            <color indexed="81"/>
            <rFont val="Tahoma"/>
            <family val="2"/>
          </rPr>
          <t xml:space="preserve">499,80€: Recibo comunidad agosto
+54,10€: Arreglo patio
553,90€: Cargado Caixa: 08/08/23
</t>
        </r>
      </text>
    </comment>
    <comment ref="BY121" authorId="0" shapeId="0" xr:uid="{2EDBF8C4-BE4F-404A-B804-6D34E17213E1}">
      <text>
        <r>
          <rPr>
            <sz val="9"/>
            <color indexed="81"/>
            <rFont val="Tahoma"/>
            <family val="2"/>
          </rPr>
          <t xml:space="preserve">499,80€: Recibo comunidad sept
+54,10€: Arreglo patio
553,90€: Cargado Caixa: 06/09/23
</t>
        </r>
      </text>
    </comment>
    <comment ref="BZ121" authorId="0" shapeId="0" xr:uid="{0F98DC04-1A67-493E-B9D4-2E60BB7B9E1A}">
      <text>
        <r>
          <rPr>
            <sz val="9"/>
            <color indexed="81"/>
            <rFont val="Tahoma"/>
            <family val="2"/>
          </rPr>
          <t xml:space="preserve">499,80€: Recibo comunidad octubre
499,80€: Cargado Caixa: 09/10/23
------------------------------
34,92€: Recibo agua octubre
Cargado Caixa: 09/10/23
</t>
        </r>
      </text>
    </comment>
    <comment ref="CA121" authorId="0" shapeId="0" xr:uid="{02E33833-6A5B-4FD5-AFFB-3444671104F1}">
      <text>
        <r>
          <rPr>
            <sz val="9"/>
            <color indexed="81"/>
            <rFont val="Tahoma"/>
            <family val="2"/>
          </rPr>
          <t xml:space="preserve">499,80€: Recibo comunidad noviembre
499,80€: Cargado Caixa: 06/11/23
------------------------------
</t>
        </r>
      </text>
    </comment>
    <comment ref="CB121" authorId="0" shapeId="0" xr:uid="{33E80D77-8252-4780-B55C-1C9EF01597F6}">
      <text>
        <r>
          <rPr>
            <sz val="9"/>
            <color indexed="81"/>
            <rFont val="Tahoma"/>
            <family val="2"/>
          </rPr>
          <t xml:space="preserve">499,80€: Recibo comunidad diciembre
499,80€: Cargado Caixa: 12/12/23
------------------------------
</t>
        </r>
      </text>
    </comment>
    <comment ref="CC121" authorId="0" shapeId="0" xr:uid="{DABFD0C0-1BEB-4A78-B152-6DE16470CD64}">
      <text>
        <r>
          <rPr>
            <sz val="9"/>
            <color indexed="81"/>
            <rFont val="Tahoma"/>
            <family val="2"/>
          </rPr>
          <t xml:space="preserve">499,80€: Recibo comunidad enero
499,80€: Cargado Caixa: 05/01/24
------------------------------
104,38€: Recibo agua enero
Cargado Caixa: 05/01/24
</t>
        </r>
      </text>
    </comment>
    <comment ref="CD121" authorId="0" shapeId="0" xr:uid="{D884E10B-A5EE-4192-90A6-DA30F598CFC5}">
      <text>
        <r>
          <rPr>
            <sz val="9"/>
            <color indexed="81"/>
            <rFont val="Tahoma"/>
            <family val="2"/>
          </rPr>
          <t xml:space="preserve">499,80€: Recibo comunidad febrero 2024
499,80€: Cargado Caixa: 12/02/24
------------------------------
</t>
        </r>
      </text>
    </comment>
    <comment ref="CE121" authorId="0" shapeId="0" xr:uid="{E56095FB-D155-4848-A51B-0FC06455F3E2}">
      <text>
        <r>
          <rPr>
            <sz val="9"/>
            <color indexed="81"/>
            <rFont val="Tahoma"/>
            <family val="2"/>
          </rPr>
          <t xml:space="preserve">499,80€: Recibo comunidad marzo 2024
499,80€: Cargado Caixa: 06/03/24
------------------------------
</t>
        </r>
      </text>
    </comment>
    <comment ref="BF122" authorId="0" shapeId="0" xr:uid="{F5F990AD-C3B8-4D63-83EA-AFD3868D291F}">
      <text>
        <r>
          <rPr>
            <sz val="9"/>
            <color indexed="81"/>
            <rFont val="Tahoma"/>
            <family val="2"/>
          </rPr>
          <t>237,46€: Fra del 23/03/22
Periodo del 04 al 28/02/22
Cargado en caixa: 01/04/22</t>
        </r>
      </text>
    </comment>
    <comment ref="BG122" authorId="0" shapeId="0" xr:uid="{839B7915-1200-427B-8B46-873D7437ADAD}">
      <text>
        <r>
          <rPr>
            <sz val="9"/>
            <color indexed="81"/>
            <rFont val="Tahoma"/>
            <family val="2"/>
          </rPr>
          <t>352,10€: Fra del 27/04/22
Periodo del 01 al 31/03/22
Cargado en caixa: 03/05/22</t>
        </r>
      </text>
    </comment>
    <comment ref="BH122" authorId="0" shapeId="0" xr:uid="{82497407-4F9D-4BF6-8516-2083FF046994}">
      <text>
        <r>
          <rPr>
            <sz val="9"/>
            <color indexed="81"/>
            <rFont val="Tahoma"/>
            <family val="2"/>
          </rPr>
          <t>192,84€: Fra del 26/05/22
Periodo del 01 al 30/04/22
Cargado en caixa: 10/06/22
----------------------------
326,17€: Fra del 14/06/22
Periodo del 01 al 31/05/22
Cargado en caixa: 23/06/22</t>
        </r>
      </text>
    </comment>
    <comment ref="BL122" authorId="2" shapeId="0" xr:uid="{AA5D673C-B659-4C33-BFDB-D09338DA6E11}">
      <text>
        <r>
          <rPr>
            <sz val="9"/>
            <color indexed="81"/>
            <rFont val="Tahoma"/>
            <family val="2"/>
          </rPr>
          <t>528,55€: Fra del 23/08/22
Periodo del 01 al 30/06/22
Cargado en caixa: 01/09/22.</t>
        </r>
      </text>
    </comment>
    <comment ref="BM122" authorId="2" shapeId="0" xr:uid="{A7C042F7-6F83-4746-B811-6885C641BD6E}">
      <text>
        <r>
          <rPr>
            <sz val="9"/>
            <color indexed="81"/>
            <rFont val="Tahoma"/>
            <family val="2"/>
          </rPr>
          <t>58,42€: Fra del 03/10/22
Periodo del 01 al 31/08/22
Cargado en caixa: 10/10/22
---------------------------------
66,16€: Fra del 13/10/22
Periodo del 01 al 30/09/22
Cargado en caixa: 19/10/22</t>
        </r>
      </text>
    </comment>
    <comment ref="BN122" authorId="2" shapeId="0" xr:uid="{056E1D20-3A5D-41DD-8648-8BA615DE4E6C}">
      <text>
        <r>
          <rPr>
            <sz val="9"/>
            <color indexed="81"/>
            <rFont val="Tahoma"/>
            <family val="2"/>
          </rPr>
          <t>65,44€: Fra del 15/11/22
Periodo del 01 al 31/10/22
Cargado en caixa: 22/11/22
---------------------------------
413,53€: Fra del 15/11/22
Periodo del 01 al 31/07/22
Cargado en caixa: 22/11/22</t>
        </r>
      </text>
    </comment>
    <comment ref="BO122" authorId="2" shapeId="0" xr:uid="{CAD77DC1-04EB-43D3-85D3-F8F81EF1F6F9}">
      <text>
        <r>
          <rPr>
            <sz val="9"/>
            <color indexed="81"/>
            <rFont val="Tahoma"/>
            <family val="2"/>
          </rPr>
          <t xml:space="preserve">59,13€: Fra del 12/12/22
Periodo del 01 al 30/11/22
Cargado en caixa: 19/12/22
---------------------------------
</t>
        </r>
      </text>
    </comment>
    <comment ref="BP122" authorId="2" shapeId="0" xr:uid="{75DC2B8F-BB4A-4122-8667-AA830A21DE58}">
      <text>
        <r>
          <rPr>
            <sz val="9"/>
            <color indexed="81"/>
            <rFont val="Tahoma"/>
            <family val="2"/>
          </rPr>
          <t xml:space="preserve">70,20€: Fra del 16/01/23
Periodo del 01 al 31/12/22
Cargado en caixa: 24/01/23
-------------------
</t>
        </r>
      </text>
    </comment>
    <comment ref="BQ122" authorId="2" shapeId="0" xr:uid="{64484D8C-8DDF-41F0-8F09-F09E11026128}">
      <text>
        <r>
          <rPr>
            <sz val="9"/>
            <color indexed="81"/>
            <rFont val="Tahoma"/>
            <family val="2"/>
          </rPr>
          <t xml:space="preserve">61,35€: Fra del 07/02/23
Periodo del 01 al 31/01/23
Cargado en caixa: 13/02/23
-------------------
</t>
        </r>
      </text>
    </comment>
    <comment ref="BR122" authorId="2" shapeId="0" xr:uid="{D8B05EEC-E058-4A9C-AF3A-13439101E59A}">
      <text>
        <r>
          <rPr>
            <sz val="9"/>
            <color indexed="81"/>
            <rFont val="Tahoma"/>
            <family val="2"/>
          </rPr>
          <t xml:space="preserve">54,12€: Fra del 07/03/23
Periodo del 01 al 28/02/23
Cargado en caixa: 16/03/23
-------------------
</t>
        </r>
      </text>
    </comment>
    <comment ref="BT122" authorId="0" shapeId="0" xr:uid="{3EEA569A-27CB-4F06-971F-30DC4B9A74FC}">
      <text>
        <r>
          <rPr>
            <sz val="9"/>
            <color indexed="81"/>
            <rFont val="Tahoma"/>
            <family val="2"/>
          </rPr>
          <t>57,37€: Fra del 26/04/23
Periodo del 01 al 31/03/23
Cargado en caixa: 03/05/23</t>
        </r>
        <r>
          <rPr>
            <b/>
            <sz val="9"/>
            <color indexed="81"/>
            <rFont val="Tahoma"/>
            <family val="2"/>
          </rPr>
          <t xml:space="preserve">
-------------------</t>
        </r>
        <r>
          <rPr>
            <sz val="9"/>
            <color indexed="81"/>
            <rFont val="Tahoma"/>
            <family val="2"/>
          </rPr>
          <t xml:space="preserve">
57,60€: Fra del 09/05/23
Periodo del 01 al 30/04/23
Cargado en caixa: 16/05/23</t>
        </r>
      </text>
    </comment>
    <comment ref="BU122" authorId="0" shapeId="0" xr:uid="{22C97588-6EF2-4DDF-BC92-C962328342C1}">
      <text>
        <r>
          <rPr>
            <sz val="9"/>
            <color indexed="81"/>
            <rFont val="Tahoma"/>
            <family val="2"/>
          </rPr>
          <t>182,97€: Fra GAS del 06/06/23
Periodo del 12 al 25/05/23
Cargado en caixa: 13/06/23</t>
        </r>
        <r>
          <rPr>
            <b/>
            <sz val="9"/>
            <color indexed="81"/>
            <rFont val="Tahoma"/>
            <family val="2"/>
          </rPr>
          <t xml:space="preserve">
-------------------</t>
        </r>
        <r>
          <rPr>
            <sz val="9"/>
            <color indexed="81"/>
            <rFont val="Tahoma"/>
            <family val="2"/>
          </rPr>
          <t xml:space="preserve">
64,09€: Fra del 15/06/23
Periodo del 01 al 31/05/23
Cargado en caixa: 22/06/23</t>
        </r>
      </text>
    </comment>
    <comment ref="BV122" authorId="0" shapeId="0" xr:uid="{5A1850CF-C379-481D-B718-259F0A88CF22}">
      <text>
        <r>
          <rPr>
            <sz val="9"/>
            <color indexed="81"/>
            <rFont val="Tahoma"/>
            <family val="2"/>
          </rPr>
          <t>231,42€: Fra del 06/07/23
Periodo del 01 al 30/06/23
Cargado en caixa: 12/07/23</t>
        </r>
      </text>
    </comment>
    <comment ref="BW122" authorId="0" shapeId="0" xr:uid="{1BD5509E-92E2-4450-AC79-817E0BBDB066}">
      <text>
        <r>
          <rPr>
            <sz val="9"/>
            <color indexed="81"/>
            <rFont val="Tahoma"/>
            <family val="2"/>
          </rPr>
          <t>35,43€: Fra GAS del 04/08/23
Periodo del 26/05 al 24/07/23
Cargado en caixa: 10/08/23</t>
        </r>
        <r>
          <rPr>
            <b/>
            <sz val="9"/>
            <color indexed="81"/>
            <rFont val="Tahoma"/>
            <family val="2"/>
          </rPr>
          <t xml:space="preserve">
-------------------</t>
        </r>
        <r>
          <rPr>
            <sz val="9"/>
            <color indexed="81"/>
            <rFont val="Tahoma"/>
            <family val="2"/>
          </rPr>
          <t xml:space="preserve">
186,98€: Fra del 09/08/23
Periodo del 01 al 31/07/23
Cargado en caixa: 16/08/23</t>
        </r>
      </text>
    </comment>
    <comment ref="BY122" authorId="0" shapeId="0" xr:uid="{973D0147-875D-4A5F-8E30-425F9F0D1E12}">
      <text>
        <r>
          <rPr>
            <sz val="9"/>
            <color indexed="81"/>
            <rFont val="Tahoma"/>
            <family val="2"/>
          </rPr>
          <t>86,71 E: Fra del 07/09/23
Periodo del 01 al 31/08/23
Cargado en caixa: 15/09/23</t>
        </r>
      </text>
    </comment>
    <comment ref="BZ122" authorId="0" shapeId="0" xr:uid="{CCDB19A9-C872-494C-9D2F-37855A80A804}">
      <text>
        <r>
          <rPr>
            <sz val="9"/>
            <color indexed="81"/>
            <rFont val="Tahoma"/>
            <family val="2"/>
          </rPr>
          <t>33,51€: Fra GAS del 27/09/23
Periodo del 25/07 al 25/09/23
Cargado en caixa: 10/10/23</t>
        </r>
        <r>
          <rPr>
            <b/>
            <sz val="9"/>
            <color indexed="81"/>
            <rFont val="Tahoma"/>
            <family val="2"/>
          </rPr>
          <t xml:space="preserve">
-------------------</t>
        </r>
        <r>
          <rPr>
            <sz val="9"/>
            <color indexed="81"/>
            <rFont val="Tahoma"/>
            <family val="2"/>
          </rPr>
          <t xml:space="preserve">
132,46€: Fra del 13/10/23
Periodo del 01 al 30/09/23
Cargado en caixa: 18/10/23</t>
        </r>
      </text>
    </comment>
    <comment ref="CA122" authorId="0" shapeId="0" xr:uid="{6C88F36F-AE8D-470B-9E68-1A7B0347395E}">
      <text>
        <r>
          <rPr>
            <sz val="9"/>
            <color indexed="81"/>
            <rFont val="Tahoma"/>
            <family val="2"/>
          </rPr>
          <t>126,42€: Fra del 07/11/23
Periodo del 01 al 31/10/23
Cargado en caixa: 21/11/23</t>
        </r>
      </text>
    </comment>
    <comment ref="CB122" authorId="0" shapeId="0" xr:uid="{3A007C60-94AE-4F1C-B318-A45388CDD13F}">
      <text>
        <r>
          <rPr>
            <sz val="9"/>
            <color indexed="81"/>
            <rFont val="Tahoma"/>
            <family val="2"/>
          </rPr>
          <t>51,26€: Fra GAS del 04/12/23
Periodo del 26/09 al 27/11/23
Cargado en caixa: 13/12/23
-------------------
93,94€: Fra del 12/12/23
Periodo del 01 al 30/11/23
Cargado en caixa: 19/12/23</t>
        </r>
      </text>
    </comment>
    <comment ref="CC122" authorId="0" shapeId="0" xr:uid="{A5754C7B-EFE5-499E-BB92-F5F2553C1A42}">
      <text>
        <r>
          <rPr>
            <sz val="9"/>
            <color indexed="81"/>
            <rFont val="Tahoma"/>
            <family val="2"/>
          </rPr>
          <t>92,69€: Fra del 05/01/24
Periodo del 01 al 31/12/23
Cargado en caixa: 11/01/24</t>
        </r>
      </text>
    </comment>
    <comment ref="CD122" authorId="0" shapeId="0" xr:uid="{333FD8DF-C772-4947-AB11-19C19D6109C6}">
      <text>
        <r>
          <rPr>
            <sz val="9"/>
            <color indexed="81"/>
            <rFont val="Tahoma"/>
            <family val="2"/>
          </rPr>
          <t>51,43€: Fra GAS del 05/02/24
Periodo del 28/11 al 26/01/24
Cargado en caixa: 16/02/24
-------------------
105,79€: Fra del 07/02/24
Periodo del 01 al 31/01/24
Cargado en caixa: 16/02/24</t>
        </r>
      </text>
    </comment>
    <comment ref="CE122" authorId="0" shapeId="0" xr:uid="{5A0A77A7-F562-44A1-8CFC-7CA79958FF04}">
      <text>
        <r>
          <rPr>
            <sz val="9"/>
            <color indexed="81"/>
            <rFont val="Tahoma"/>
            <family val="2"/>
          </rPr>
          <t xml:space="preserve">76,10€: Fra del 11/03/24
Periodo del 01 al 29/02/24
Cargado en caixa: </t>
        </r>
      </text>
    </comment>
    <comment ref="BI123" authorId="0" shapeId="0" xr:uid="{CDFF28DA-8DA3-40BD-BE51-31127724612B}">
      <text>
        <r>
          <rPr>
            <sz val="9"/>
            <color indexed="81"/>
            <rFont val="Tahoma"/>
            <family val="2"/>
          </rPr>
          <t xml:space="preserve">Mudanzas Rocio:
Fra Nº A 220816 (14/07/22):
3330€ Mudanza desde Las Canteras hasta Mazagon el 14/07/22
Transferencia Caixa realizada el 12/07/22.
-------------------------------
Mudanzas Lorenzada:
Fra Nº 22/307 (13/04/22):
2528,90€ Mudanza desde Republica Argentina hasta Las Canteras el 15 y 16/07/22
Transferencia Caixa realizada el 13/07/22.
----------------------
Golimp, S.L.
Fra Nº 082 (15/07/22):
319,44€: Limpieza
Transferencia Caixa realizada el 29/07/22.
</t>
        </r>
      </text>
    </comment>
    <comment ref="BJ123" authorId="0" shapeId="0" xr:uid="{08EE120F-03D9-4644-B477-BE75C64DA988}">
      <text>
        <r>
          <rPr>
            <sz val="9"/>
            <color indexed="81"/>
            <rFont val="Tahoma"/>
            <family val="2"/>
          </rPr>
          <t>100€: Licencia para cuba obra Rep. Argentina
Pagado con VISA ALF: 19/07/22
----------------------------------
39,50€: Licencia obra Rep. Argentina- Gerencia Urbanismo
Pagado con VISA ALF: 15/07/22</t>
        </r>
      </text>
    </comment>
    <comment ref="BL123" authorId="0" shapeId="0" xr:uid="{EEE13AA4-CF60-47D6-8601-A127882CF932}">
      <text>
        <r>
          <rPr>
            <sz val="9"/>
            <color indexed="81"/>
            <rFont val="Tahoma"/>
            <family val="2"/>
          </rPr>
          <t>Alquiler vivienda Alberto sept 2022: 2.300,49€.
Transf. Caixa realizada el 29/09/22 por 2.300,79€.</t>
        </r>
      </text>
    </comment>
    <comment ref="BM123" authorId="0" shapeId="0" xr:uid="{F57380C7-0642-4892-81CF-A62D9DC1B4D3}">
      <text>
        <r>
          <rPr>
            <sz val="9"/>
            <color indexed="81"/>
            <rFont val="Tahoma"/>
            <family val="2"/>
          </rPr>
          <t xml:space="preserve">Alquiler vivienda Alberto oct 2022: 2,127,38
Transf. Caixa por 2.300,79 realizada el 28/10/22
</t>
        </r>
      </text>
    </comment>
    <comment ref="BN123" authorId="0" shapeId="0" xr:uid="{93192C14-D2CA-4A24-BCAF-39027B1665F4}">
      <text>
        <r>
          <rPr>
            <sz val="9"/>
            <color indexed="81"/>
            <rFont val="Tahoma"/>
            <family val="2"/>
          </rPr>
          <t>Alquiler vivienda Alberto nov 2022: 2137,23 €.
Realizar Transf. Caixa con las nóminas por 1963,52 que compensan las cantidades anteriores pagadas de más.
Transferencia Caixa realizada: 30/11/22</t>
        </r>
      </text>
    </comment>
    <comment ref="BO123" authorId="0" shapeId="0" xr:uid="{BB802D63-6158-4E11-8407-E016966D4CC1}">
      <text>
        <r>
          <rPr>
            <sz val="9"/>
            <color indexed="81"/>
            <rFont val="Tahoma"/>
            <family val="2"/>
          </rPr>
          <t>Alquiler vivienda Alberto dic 2022: 2.136,19€.
Realizar Transf. Caixa con las nóminas
Transferencia Caixa realizada: 28/12/22</t>
        </r>
      </text>
    </comment>
    <comment ref="BP123" authorId="1" shapeId="0" xr:uid="{A87358AE-E8C3-4CE7-93B5-46CE894AAB36}">
      <text>
        <r>
          <rPr>
            <b/>
            <sz val="9"/>
            <color indexed="81"/>
            <rFont val="Tahoma"/>
            <family val="2"/>
          </rPr>
          <t>alfonso:</t>
        </r>
        <r>
          <rPr>
            <sz val="9"/>
            <color indexed="81"/>
            <rFont val="Tahoma"/>
            <family val="2"/>
          </rPr>
          <t xml:space="preserve">
Alquiler vivienda Alberto ene 2023
Transferencia Caixa realizada: 30/01/23</t>
        </r>
      </text>
    </comment>
    <comment ref="BQ123" authorId="1" shapeId="0" xr:uid="{6D58D3C2-8452-4782-9E44-B7C07670BB82}">
      <text>
        <r>
          <rPr>
            <b/>
            <sz val="9"/>
            <color indexed="81"/>
            <rFont val="Tahoma"/>
            <family val="2"/>
          </rPr>
          <t>alfonso:</t>
        </r>
        <r>
          <rPr>
            <sz val="9"/>
            <color indexed="81"/>
            <rFont val="Tahoma"/>
            <family val="2"/>
          </rPr>
          <t xml:space="preserve">
Alquiler vivienda Alberto feb 2022
Transferencia realida el 27/02/23</t>
        </r>
      </text>
    </comment>
    <comment ref="BR123" authorId="1" shapeId="0" xr:uid="{EA979F8C-BB39-49A2-A725-B736D6B3BEF5}">
      <text>
        <r>
          <rPr>
            <sz val="9"/>
            <color indexed="81"/>
            <rFont val="Tahoma"/>
            <family val="2"/>
          </rPr>
          <t>Alquiler alojamiento Alberto Mes de MARZO: 2.126,77€</t>
        </r>
      </text>
    </comment>
    <comment ref="BS123" authorId="1" shapeId="0" xr:uid="{A951EF8E-48A7-40F1-95FE-D4B5BD9015F2}">
      <text>
        <r>
          <rPr>
            <sz val="9"/>
            <color indexed="81"/>
            <rFont val="Tahoma"/>
            <family val="2"/>
          </rPr>
          <t>Alquiler alojamiento Alberto Mes de abril: 2.141,89€</t>
        </r>
      </text>
    </comment>
    <comment ref="BT123" authorId="0" shapeId="0" xr:uid="{650FD733-DC22-4E49-8F82-D829B68F1D3E}">
      <text>
        <r>
          <rPr>
            <b/>
            <sz val="9"/>
            <color indexed="81"/>
            <rFont val="Tahoma"/>
            <family val="2"/>
          </rPr>
          <t>Alfonso:</t>
        </r>
        <r>
          <rPr>
            <sz val="9"/>
            <color indexed="81"/>
            <rFont val="Tahoma"/>
            <family val="2"/>
          </rPr>
          <t xml:space="preserve">
Mudanza regreso a República Argentina
Mudanzas Lorenzada:
Fra Nº A 20230113 (12/05/23):
2746,70€ Mudanza desde Las Canteras hasta Republica Argentina.
Realizar transferencia Caixa: Antes del 24/05/23.
Transf. Caixa realizada el 23/05/23
----------------------
Alquiler alojamiento Alberto último Mes de mayo: 2.131,66€
Transferencia realizada el 29/05/23.</t>
        </r>
      </text>
    </comment>
    <comment ref="E124" authorId="5" shapeId="0" xr:uid="{00000000-0006-0000-0100-000035010000}">
      <text>
        <r>
          <rPr>
            <b/>
            <sz val="9"/>
            <color indexed="81"/>
            <rFont val="Tahoma"/>
            <family val="2"/>
          </rPr>
          <t>Alberto:</t>
        </r>
        <r>
          <rPr>
            <sz val="9"/>
            <color indexed="81"/>
            <rFont val="Tahoma"/>
            <family val="2"/>
          </rPr>
          <t xml:space="preserve">
Instalacion estores + servicios conchita</t>
        </r>
      </text>
    </comment>
    <comment ref="R124" authorId="5" shapeId="0" xr:uid="{00000000-0006-0000-0100-000036010000}">
      <text>
        <r>
          <rPr>
            <b/>
            <sz val="9"/>
            <color indexed="81"/>
            <rFont val="Tahoma"/>
            <family val="2"/>
          </rPr>
          <t>Alberto:</t>
        </r>
        <r>
          <rPr>
            <sz val="9"/>
            <color indexed="81"/>
            <rFont val="Tahoma"/>
            <family val="2"/>
          </rPr>
          <t xml:space="preserve">
Islandia</t>
        </r>
      </text>
    </comment>
    <comment ref="S124" authorId="5" shapeId="0" xr:uid="{00000000-0006-0000-0100-000037010000}">
      <text>
        <r>
          <rPr>
            <b/>
            <sz val="9"/>
            <color indexed="81"/>
            <rFont val="Tahoma"/>
            <family val="2"/>
          </rPr>
          <t>Alberto:</t>
        </r>
        <r>
          <rPr>
            <sz val="9"/>
            <color indexed="81"/>
            <rFont val="Tahoma"/>
            <family val="2"/>
          </rPr>
          <t xml:space="preserve">
Islandia</t>
        </r>
      </text>
    </comment>
    <comment ref="T124" authorId="5" shapeId="0" xr:uid="{00000000-0006-0000-0100-000038010000}">
      <text>
        <r>
          <rPr>
            <b/>
            <sz val="9"/>
            <color indexed="81"/>
            <rFont val="Tahoma"/>
            <family val="2"/>
          </rPr>
          <t>Alberto:</t>
        </r>
        <r>
          <rPr>
            <sz val="9"/>
            <color indexed="81"/>
            <rFont val="Tahoma"/>
            <family val="2"/>
          </rPr>
          <t xml:space="preserve">
460 de Viking
1865,61 Jamones regalos</t>
        </r>
      </text>
    </comment>
    <comment ref="W124" authorId="3" shapeId="0" xr:uid="{00000000-0006-0000-0100-000039010000}">
      <text>
        <r>
          <rPr>
            <b/>
            <sz val="9"/>
            <color indexed="81"/>
            <rFont val="Tahoma"/>
            <family val="2"/>
          </rPr>
          <t>Alberto Carmona:</t>
        </r>
        <r>
          <rPr>
            <sz val="9"/>
            <color indexed="81"/>
            <rFont val="Tahoma"/>
            <family val="2"/>
          </rPr>
          <t xml:space="preserve">
370 viaje Bon Jovi
480 Claudia Debusa</t>
        </r>
      </text>
    </comment>
    <comment ref="Z124" authorId="1" shapeId="0" xr:uid="{00000000-0006-0000-0100-00003A010000}">
      <text>
        <r>
          <rPr>
            <b/>
            <sz val="8"/>
            <color indexed="81"/>
            <rFont val="Tahoma"/>
            <family val="2"/>
          </rPr>
          <t>PC componentes 26,18 
Copiur: 9,99+11,30+26,85
pasado factura a sinver en agosto, Efectivo pte liquidar a Alberto
63,85 pasado en Sinver con conta octubre. Comida molino en cuevas. Cargado 5/11</t>
        </r>
      </text>
    </comment>
    <comment ref="AA124" authorId="0" shapeId="0" xr:uid="{00000000-0006-0000-0100-00003B010000}">
      <text>
        <r>
          <rPr>
            <b/>
            <sz val="9"/>
            <color indexed="81"/>
            <rFont val="Tahoma"/>
            <family val="2"/>
          </rPr>
          <t>rosa:</t>
        </r>
        <r>
          <rPr>
            <sz val="9"/>
            <color indexed="81"/>
            <rFont val="Tahoma"/>
            <family val="2"/>
          </rPr>
          <t xml:space="preserve">
1705,55 E: Regalo jamones</t>
        </r>
      </text>
    </comment>
    <comment ref="AC124" authorId="0" shapeId="0" xr:uid="{00000000-0006-0000-0100-00003C010000}">
      <text>
        <r>
          <rPr>
            <b/>
            <sz val="9"/>
            <color indexed="81"/>
            <rFont val="Tahoma"/>
            <family val="2"/>
          </rPr>
          <t>rosa:</t>
        </r>
        <r>
          <rPr>
            <sz val="9"/>
            <color indexed="81"/>
            <rFont val="Tahoma"/>
            <family val="2"/>
          </rPr>
          <t xml:space="preserve">
441,10 E: Regalo jamones
---------------------
60,50 E: Tarjetas de visita
-----------------------
-1,01 para ajustar tesorería</t>
        </r>
      </text>
    </comment>
    <comment ref="AD124" authorId="0" shapeId="0" xr:uid="{00000000-0006-0000-0100-00003D010000}">
      <text>
        <r>
          <rPr>
            <b/>
            <sz val="9"/>
            <color indexed="81"/>
            <rFont val="Tahoma"/>
            <family val="2"/>
          </rPr>
          <t>rosa:</t>
        </r>
        <r>
          <rPr>
            <sz val="9"/>
            <color indexed="81"/>
            <rFont val="Tahoma"/>
            <family val="2"/>
          </rPr>
          <t xml:space="preserve">
685,43 E: Fras pndte de pasar a conta, solicitadas a Alberto</t>
        </r>
      </text>
    </comment>
    <comment ref="AG124" authorId="0" shapeId="0" xr:uid="{00000000-0006-0000-0100-00003E010000}">
      <text>
        <r>
          <rPr>
            <b/>
            <sz val="9"/>
            <color indexed="81"/>
            <rFont val="Tahoma"/>
            <family val="2"/>
          </rPr>
          <t>rosa:</t>
        </r>
        <r>
          <rPr>
            <sz val="9"/>
            <color indexed="81"/>
            <rFont val="Tahoma"/>
            <family val="2"/>
          </rPr>
          <t xml:space="preserve">
240 E: SegurCaixa Móvil
</t>
        </r>
      </text>
    </comment>
    <comment ref="AH124" authorId="0" shapeId="0" xr:uid="{00000000-0006-0000-0100-00003F010000}">
      <text>
        <r>
          <rPr>
            <b/>
            <sz val="9"/>
            <color indexed="81"/>
            <rFont val="Tahoma"/>
            <family val="2"/>
          </rPr>
          <t>rosa:</t>
        </r>
        <r>
          <rPr>
            <sz val="9"/>
            <color indexed="81"/>
            <rFont val="Tahoma"/>
            <family val="2"/>
          </rPr>
          <t xml:space="preserve">
64 E: Fra gasolina cargada por error en VISA a Alberto
10/07/20: OK Alberto contra cuenta de socio</t>
        </r>
      </text>
    </comment>
    <comment ref="AI124" authorId="0" shapeId="0" xr:uid="{00000000-0006-0000-0100-000040010000}">
      <text>
        <r>
          <rPr>
            <b/>
            <sz val="9"/>
            <color indexed="81"/>
            <rFont val="Tahoma"/>
            <family val="2"/>
          </rPr>
          <t>0,15 E: Descuadre por decimales en Ebury</t>
        </r>
      </text>
    </comment>
    <comment ref="AJ124" authorId="0" shapeId="0" xr:uid="{00000000-0006-0000-0100-000041010000}">
      <text>
        <r>
          <rPr>
            <b/>
            <sz val="9"/>
            <color indexed="81"/>
            <rFont val="Tahoma"/>
            <family val="2"/>
          </rPr>
          <t>rosa:</t>
        </r>
        <r>
          <rPr>
            <sz val="9"/>
            <color indexed="81"/>
            <rFont val="Tahoma"/>
            <family val="2"/>
          </rPr>
          <t xml:space="preserve">
236,11 E: Gastos VISA julio 2020
15/09/20: Solicitadas a Alfonso</t>
        </r>
      </text>
    </comment>
    <comment ref="AL124" authorId="1" shapeId="0" xr:uid="{00000000-0006-0000-0100-000042010000}">
      <text>
        <r>
          <rPr>
            <b/>
            <sz val="9"/>
            <color indexed="81"/>
            <rFont val="Tahoma"/>
            <family val="2"/>
          </rPr>
          <t xml:space="preserve">PPTP KPMG </t>
        </r>
        <r>
          <rPr>
            <sz val="9"/>
            <color indexed="81"/>
            <rFont val="Tahoma"/>
            <family val="2"/>
          </rPr>
          <t>publicaciones fusión: 
-BORME (T. NORMAL): 385 € - SE PUBLICA EN 3-4 DIAS LABORABLES
-BORME (T. URGENTE): EL DOBLE – SE PUBLICA AL DIA SIGUIENTE
-DIARIO DE SEVILLA: 315 € -15% DTO
IVA no incluido
Fra pagada el 15/09/20
320 E: Gastos VISA agosto 2020
0,04 E: Descuadre por decimales en Ebury</t>
        </r>
      </text>
    </comment>
    <comment ref="AM124" authorId="0" shapeId="0" xr:uid="{00000000-0006-0000-0100-000043010000}">
      <text>
        <r>
          <rPr>
            <b/>
            <sz val="9"/>
            <color indexed="81"/>
            <rFont val="Tahoma"/>
            <family val="2"/>
          </rPr>
          <t>0,33 E: Descuadre por decimales en Ebury</t>
        </r>
      </text>
    </comment>
    <comment ref="AP124" authorId="0" shapeId="0" xr:uid="{00000000-0006-0000-0100-000044010000}">
      <text>
        <r>
          <rPr>
            <sz val="9"/>
            <color indexed="81"/>
            <rFont val="Tahoma"/>
            <family val="2"/>
          </rPr>
          <t>38,99€: Samtek
Fra 579 A (29/12/20):
Servicios informáticos
Realizar transferencia 
Transferencia Caixa realizada el 07/01/21
-----------------------
238,98 E: Medicamentos MDZ (Test rápidos COVID para personal)
Fra del 22/12/20
Pagado con VISA Alberto de Nixal: 22/12/20
Cargado Caixa: 05/01/21
-------------------------
39,95 E: Cocopop macetas para reforestación, Cuenta: compra de materiales MDZ
Fra del 17/12/20
Pagado con VISA Alberto de Nixal: 17/12/20
Cargado Caixa: 05/01/21
--------------------------
106,48 E: Samtek
Fra: 53 A (22/01/21):
Ppto: 25 A (21/01/21):
Antivirus
Realizar transferencia 
Transferencia Caixa realizada el 22/01/21
-------------------------
238,98 E: Medicamentos MDZ (Test rápidos COVID para personal)
Fra del 30/12/20
Pagado con VISA Alberto de Nixal: 30/12/20
Cargado Caixa: 05/01/21
-------------------------------
459,57 E: Fra del 29/12/2020- Gasto Nixal, partida compras contra una 629 de gastos varios y concepto “comida navidad empresa”, analítica GRALES.
Pagado con VISA Alberto de Nixal: 29/12/20
Cargado Caixa: 05/01/21
--------------------------
4,88 E: Suscripciones ESET- Compra realizada en diciembre. Texto: Servicios informáticos- Analítica GRALES. Pagada con tarjeta VISA de Alfonso de Nixal. Cargado en Caixa Cta Nixal el 05/01/2021.
----------------------------
1,72 E: Descuadre por decimales en Caixa USD</t>
        </r>
      </text>
    </comment>
    <comment ref="AQ124" authorId="1" shapeId="0" xr:uid="{00000000-0006-0000-0100-000045010000}">
      <text>
        <r>
          <rPr>
            <sz val="8"/>
            <color indexed="81"/>
            <rFont val="Tahoma"/>
            <family val="2"/>
          </rPr>
          <t>70,49 E: Pentinfor
Fra: CC/351  (04/02/21):
Contaplus
Domiciliación:05/02/21
Cargado Caixa: 08/02/21
-----------------------------------------
PC componentes 26,18 
Copiur: 9,99+11,30+26,85
pasado factura a sinver en agosto, Efectivo pte liquidar a Alberto
181,63€: Fra Endesa noviembre 2019
Efectivo pte liquidar a Alberto
53,25 eu pasado en Sinver con conta enero. Comida molino en cuevas. Efectivo pte liquidar a Alberto
219,43 eu: Fra Endesa enero 2020
Efectivo pte liquidar a Alberto
251,85 eu pasado en Sinver con conta marzo. Fra reparación vehículo. Efectivo pte liquidar a Alberto cuenta socios
374,47 eu pasado en Sinver con conta MAYO. Son gastos invitación Michel Mecus (ALCO) y familia del 28/02 al 02/03/20. Efectivo pte liquidar a Alberto
-64 E: Fra gasolina cargada por error en VISA a Alberto
10/07/20: OK Alberto contra cuenta de socio
Transferencia Caixa por el total 3.332,35 E realizada el 04/02/21
------------------------------------------------------------------
4,22 E: Correos
Fra del 28/01/21
Pagado con VISA Alfonso de Nixal: 28/01/21
Cargado Caixa: 05/02/21
--------------------------------------------------------------
988,50 E: Hotel 15/01/21 (Corptvo)
Nota de gastos Alberto enero 2021.
Pagado con VISA: 15/01/21
Cargado Caixa: 05/02/21
-------------------------------------------------------------
120 E: Unidad Editorial  (Corptvo)
Fra: 1SI2100004445 (18/02/21.
Pagado con VISA: 22/01/21
Cargado Caixa: 05/02/21
...........................................................................................</t>
        </r>
      </text>
    </comment>
    <comment ref="AR124" authorId="0" shapeId="0" xr:uid="{00000000-0006-0000-0100-000046010000}">
      <text>
        <r>
          <rPr>
            <sz val="9"/>
            <color indexed="81"/>
            <rFont val="Tahoma"/>
            <family val="2"/>
          </rPr>
          <t xml:space="preserve">70,49 E: Pentinfor
Fra: CC/592 (03/03/21):
Contaplus
Domiciliación:05/03/21
Cargado Caixa:
------------------------
7,90 E: Copyur
Fra del 15/02/21
Pagado con VISA Alberto de Nixal: 15/02/21
Cargado Caixa: 05/03/21
---------------------------
4,22 E: Correos
Fra del 05/02/21
Pagado con VISA Alfonso de Nixal: 05/02/21
Cargado Caixa: 05/03/21
-----------------------------
3,96 E: Correos
Fra del 02/02/21
Pagado con VISA Alfonso de Nixal: 02/02/21
Cargado Caixa: 05/03/21
-----------------------------
41,99 E: Nota de gastos Alberto febrero 2021 (pasado a Sinver con conta febrero). 
Gastos de transportes del 23/02/21. Pagado con VISA Alberto: 23/02/21
Cargado Caixa: 05/03/21
--------------------------------
10,08 E: Email pedido 23/02/21 (pasado a Sinver con conta febrero). 
Suscripción Mailchimp del 23/02/21. Pagado con VISA Alberto: 23/02/21
Cargado Caixa: 05/03/21
---------------------------------
187,68 E: Nota de gastos Alberto enero 2021 (pasado a Sinver con conta febrero). 
Gastos de transportes del 11 al 15/01/21. Efectivo pte liquidar a Alberto cuenta socios
Transf. Caixa realizada el 30/03/21
</t>
        </r>
      </text>
    </comment>
    <comment ref="AS124" authorId="0" shapeId="0" xr:uid="{00000000-0006-0000-0100-000047010000}">
      <text>
        <r>
          <rPr>
            <sz val="9"/>
            <color indexed="81"/>
            <rFont val="Tahoma"/>
            <family val="2"/>
          </rPr>
          <t xml:space="preserve">70,49 E: Pentinfor
Fra: CC/866 (01/04/21):
Contaplus
Domiciliación:05/04/21
Cargado Caixa: 07/04/21.
------------------------
10,26 E: Suscripción Mailchimp del 23/02 al 22/03/21. Pagado con VISA Alberto: 05/04/21.
-----------------------------------------------
13,75 E: Copyur
Gasto de material de oficina de molino.
Fra del 29/03/21
Pagado con tarjeta de credito de Nixal:  29/03/21
Cargado en Caixa el 05/04/21.
----------------------------------------------------------------------------
294,40 E: Nota de gastos Alberto marzo 2021 (pasar a Sinver con cierre de Abril). 
Gastos de transportes y comida del 01 al 24/03/21.
Estos gastos pertencen a MDZ pero estan cargados en la VISA de Alberto de Nixal. 
128€ + 61,69€: Gastos de comida del 18 y 30/03/21. Efectivo pte liquidar a Alberto cuenta socios.
Pendiente de realizar transferencia por importe de 189,69€. 
Estos gastos pertencen a MDZ. 
----------------------------------------------------------------------------------------
81,10 Eur: DHL. 
Factura del 08/03/21 ya pasada a contabilidad. 
Pagado con de VISA Alfonso. 
Cargado en caixa: 05/04/21.
------------------------------------------------------------------------------------
38,34 E: Ticket de comida comercial Alfonso. 
Ticket del 22/03/21 ya pasado a contabilidad. 
Pagado con de VISA Alfonso. 
Cargado en caixa: 05/04/21.
-----------------------------------------------------------------------------------
0,01€: descuadre. 
</t>
        </r>
      </text>
    </comment>
    <comment ref="AT124" authorId="0" shapeId="0" xr:uid="{00000000-0006-0000-0100-000048010000}">
      <text>
        <r>
          <rPr>
            <sz val="9"/>
            <color indexed="81"/>
            <rFont val="Tahoma"/>
            <family val="2"/>
          </rPr>
          <t xml:space="preserve">70,49 E: Pentinfor
Fra: CC/1085 (03/05/21):
Contaplus
Domiciliación:05/05/21
Cargado Caixa: 06/05/21.
----------------------------------------
128€ + 61,69€: Gastos de comida del 18 y 30/03/21. Vienen en la Nota de gastos de Marzo. Efectivo pte liquidar a Alberto cuenta socios.
Pendiente de realizar transferencia por importe de 189,69€. 
Estos gastos pertencen a MDZ. 
Transferencia realizada el 12/05/21. 
-----------------------------------------------------------
525,29 Eur: Nota de gastos Alberto abril 2021 (pasar a Sinver con cierre de mayo). 
Gastos de transportes y comidas del 01 al 30/04/21.
Estos gastos pertencen a MDZ pero estan cargados en la VISA de Alberto de Nixal. 
-----------------------------------------------------------------
</t>
        </r>
      </text>
    </comment>
    <comment ref="AU124" authorId="2" shapeId="0" xr:uid="{95230A09-977D-4F28-8515-81C51A3CD7EF}">
      <text>
        <r>
          <rPr>
            <sz val="9"/>
            <color indexed="81"/>
            <rFont val="Tahoma"/>
            <family val="2"/>
          </rPr>
          <t xml:space="preserve">154,76 E: Copyur
Gasto de material de oficina de Nixal. 
Fra del 17/05/21
Pagado con tarjeta de credito de Nixal:  17/05/21
Cargado en Caixa el 05/06/21.
----------------------------------------------
3,94 E: Copyur
Gasto de material de oficina de Nixal. 
Fra del 13/05/21
Pagado con tarjeta de credito de Nixal:  13/05/21
Cargado en Caixa el 05/06/21
-----------------------------------------------
70,49 E: Pentinfor
Fra: CC/1404 (01/06/21):
Contaplus
Cargado: 08/06/21.
------------------------------------------------
387,27 Eur: Pago facturas The Wall Street Journal a Alberto. 
Enviar a contabilidad con el cierre de junio todas las facturas. 
Transferencia realizada el 08/06/21. 
-------------------------------------------------------------
Anulado porque se ha anotado en su correspondiente celda.
2300 E: Info Alberto 25/11/20:
Certificado ISCC
La factura irá contra analítica Brokerage.
Anotado en dic 2020
---------------------------------------------------------------
488,40 Eur: Nota de gastos Alberto Mayo.
Gastos de transporte y comida. 
Cargado en la VISA el 05/06/21. 
---------------------------------------------------------
0,16 EUR descuadre
</t>
        </r>
      </text>
    </comment>
    <comment ref="AV124" authorId="2" shapeId="0" xr:uid="{D0EA0391-5852-475F-BBCE-BABF7A62CF2E}">
      <text>
        <r>
          <rPr>
            <b/>
            <sz val="9"/>
            <color indexed="81"/>
            <rFont val="Tahoma"/>
            <family val="2"/>
          </rPr>
          <t xml:space="preserve">
</t>
        </r>
        <r>
          <rPr>
            <sz val="9"/>
            <color indexed="81"/>
            <rFont val="Tahoma"/>
            <family val="2"/>
          </rPr>
          <t>275 Eur: Sevilla te mueve. 
Gastos de transporte de Alberto. 
Analitica: Corporativo. 
Transferencia realizada el 15-07-21.
----------------------------------------------------------------
6.500 Eur: Mivian promoción inmobiliaria. 
Gastos alquiler oficina Madrid. 
Transferncia realiada el 16/07/21.
Fra del 04/07/21.
-------------------------------------------------------------
1,21Eur: Ticket Parking pagado VISA Alfonso el 14/07/21.
------------------------------------------------------------
50.818,8€ gastos compra inmueble - esta aqui provisional, falta asignar a cada casillla.
--------------------------------------------------------------
7.625,51: Consolidación perdida por diferencia negativa de cambio. 
-----------------------------------------------------------
Cargo Tarjeta VISA Alberto y Alfonso: 666,09</t>
        </r>
      </text>
    </comment>
    <comment ref="AW124" authorId="2" shapeId="0" xr:uid="{BBA3FC61-9610-4D88-9E15-5D8740FBF551}">
      <text>
        <r>
          <rPr>
            <sz val="9"/>
            <color indexed="81"/>
            <rFont val="Tahoma"/>
            <family val="2"/>
          </rPr>
          <t xml:space="preserve">1.365,00 Eur: IVA Fra Mivian promoción inmobiliaria. 
Gastos alquiler oficina Madrid. 
Fra del 04/07/21.
Transferncia realizada el 30/08/21.
----------------------------------------------
620,30€: Gastos VISA Alberto y Alfonso mes de Julio.
Cargado: 05/08/21. 
Pendiente recibir nota de gastos de Julio. </t>
        </r>
      </text>
    </comment>
    <comment ref="AY124" authorId="0" shapeId="0" xr:uid="{E4C8A3FD-2F2A-48BD-B625-4C496600F555}">
      <text>
        <r>
          <rPr>
            <sz val="9"/>
            <color indexed="81"/>
            <rFont val="Tahoma"/>
            <family val="2"/>
          </rPr>
          <t>830,94€: Gastos VISA Alberto mes de Agosto.
627,65€: Gastos Nixal
203,29€: Gastos Molino
Cargado: 05/09/21. 
-0,01: Descuadre</t>
        </r>
      </text>
    </comment>
    <comment ref="AZ124" authorId="0" shapeId="0" xr:uid="{DB878F7D-A4EA-44C1-AB4C-C93BBC52FEA9}">
      <text>
        <r>
          <rPr>
            <sz val="9"/>
            <color indexed="81"/>
            <rFont val="Tahoma"/>
            <family val="2"/>
          </rPr>
          <t xml:space="preserve">336,94€: Gastos VISA Alberto mes Septiembre.
181,58€: Gastos Nixal
155,36€: Gastos Molino
Cargado: 05/10/21. 
--------------------------------
</t>
        </r>
      </text>
    </comment>
    <comment ref="BA124" authorId="0" shapeId="0" xr:uid="{B8C193BD-6363-4B63-8C87-4EFEEABEBA7A}">
      <text>
        <r>
          <rPr>
            <sz val="9"/>
            <color indexed="81"/>
            <rFont val="Tahoma"/>
            <family val="2"/>
          </rPr>
          <t>470,06€: Gastos VISA Alberto mes Octubre.
31,39€: Gastos Nixal
438,67€: Gastos Molino
Cargado: 05/11/21. 
--------------------------------
27,37€: Gasto Visa Alfonso mes octubre
Cargado: 05/11/21
---------------------------------
-425,49€: Devolución gastos gestión compraventa inmueble - esta aqui provisional, falta asignar a cada casillla.
Abonado BBVA: 23/11/21
---------------------------------
-0,01€: Descuadre</t>
        </r>
      </text>
    </comment>
    <comment ref="BB124" authorId="0" shapeId="0" xr:uid="{5BA0BA8E-E814-45A5-8B9A-75832112C0C3}">
      <text>
        <r>
          <rPr>
            <sz val="9"/>
            <color indexed="81"/>
            <rFont val="Tahoma"/>
            <family val="2"/>
          </rPr>
          <t>-438,67€: Devolución a Nixal de Gastos Molino de octubre que fueron cargados en Caixa Nixal el 05/11/21. 
-155,36€: Devolución a Nixal de Gastos Molino de septiembre que fueron cargados en Caixa Nixal el 05/10/21.
-203,29€: Devolución a Nixal de Gastos Molino de agosto que fueron cargados en Caixa Nixal el  05/09/21
-797,32€: Devolución a Nixal de Gastos Molino
Transferencia Caixa de compensacion de gastos por el total 4.793,42€ realizada el 28/12/21
------------------------------------------------
702,21€: Gastos VISA Alberto mes noviembre.
31,55€: Suscripción Bloomberg-Gastos Nixal
473,48€: Donación- CPTVO Nixal
197,18€: Gastos Molino pndte devolución a Nixal
Cargado: 05/12/21. 
----------------------------------------------
0,56€: Descuadre</t>
        </r>
      </text>
    </comment>
    <comment ref="BC124" authorId="0" shapeId="0" xr:uid="{D218F63E-5649-4CF2-95B9-44566CA87438}">
      <text>
        <r>
          <rPr>
            <sz val="9"/>
            <color indexed="81"/>
            <rFont val="Tahoma"/>
            <family val="2"/>
          </rPr>
          <t xml:space="preserve">74,54€: Samtek
Fra: 1/000044 (17/01/22):
Ppto: 1/ 000011 (14/01/22):
Renovación 8 licencias Antivirus
Realizar transferencia 
Transferencia Caixa realizada el 17/01/22
---------------------------------------------------
439,11€: Pndte de pasar Alberto Gastos VISA Alberto mes diciembre.
Cargado: 05/01/22. </t>
        </r>
      </text>
    </comment>
    <comment ref="BD124" authorId="0" shapeId="0" xr:uid="{CC5FC743-8897-401B-A41E-744DC7309061}">
      <text>
        <r>
          <rPr>
            <sz val="9"/>
            <color indexed="81"/>
            <rFont val="Tahoma"/>
            <family val="2"/>
          </rPr>
          <t xml:space="preserve">-197,18€: Devolución a Nixal de Gastos Molino de noviembre que fueron cargados en Caixa Nixal el  05/12/21
Transferencia Caixa de compensacion de gastos por el total 4.185,49€ realizada el 15/02/22
------------------------------------
499,83€: Pndte de pasar Alberto Gastos VISA Alberto mes enero.
Cargado: 05/02/22. </t>
        </r>
      </text>
    </comment>
    <comment ref="BE124" authorId="0" shapeId="0" xr:uid="{B070CD68-FAE3-421E-B2CB-1AF77E40D344}">
      <text>
        <r>
          <rPr>
            <sz val="9"/>
            <color indexed="81"/>
            <rFont val="Tahoma"/>
            <family val="2"/>
          </rPr>
          <t>4547,58€: Pndte de pasar Alberto Gastos VISA Alberto mes febrero.
Cargado: 05/03/22</t>
        </r>
      </text>
    </comment>
    <comment ref="BF124" authorId="0" shapeId="0" xr:uid="{02E53390-7085-4664-8828-38544A62B12B}">
      <text>
        <r>
          <rPr>
            <sz val="9"/>
            <color indexed="81"/>
            <rFont val="Tahoma"/>
            <family val="2"/>
          </rPr>
          <t xml:space="preserve">
3133,29€: Pndte de pasar Alberto Gastos VISA Alberto mes marzo.
Cargado: 05/04/22</t>
        </r>
      </text>
    </comment>
    <comment ref="BG124" authorId="0" shapeId="0" xr:uid="{E730672A-480D-4084-A400-EC053CEE26AC}">
      <text>
        <r>
          <rPr>
            <sz val="9"/>
            <color indexed="81"/>
            <rFont val="Tahoma"/>
            <family val="2"/>
          </rPr>
          <t>José Olivares:
Fra Nº 564 (24/05/22):
432,73€ Alquiler de menaje para evento jornadas comerciales 22/05
Transferencia Caixa realizada el 31/05/22
-------------------------------
Playgrup: 
Fra Nº 22040 (18/05/22):
423,50€: Servicio de animación para jornadas comerciales 22/05
Transferencia Caixa realizada el 31/05/22
-------------------------------
7885,56€: Pndte de pasar Alberto Gastos VISA Alberto mes abril.
Cargado: 05/05/22
-----------------------------
0,23€: Descuadre</t>
        </r>
      </text>
    </comment>
    <comment ref="BH124" authorId="0" shapeId="0" xr:uid="{08A7D55B-D3A6-4979-B6AD-AE9D6ED030DF}">
      <text>
        <r>
          <rPr>
            <sz val="9"/>
            <color indexed="81"/>
            <rFont val="Tahoma"/>
            <family val="2"/>
          </rPr>
          <t>Setepima:
Fra Nº 220290 (31/05/22):
105,27€ Servicio de socorrista acuático para evento jornadas comerciales 22/05
Transferencia Caixa realizada el 30/06/22.
-------------------------------
Golimp: 
Fra Nº 381 (31/05/22):
60,50€: Gastos de limpieza  para jornadas comerciales 22/05
Transferencia Caixa realizada el 30/06/22.
-------------------------------
7145,11€: Pndte de pasar Alberto Gastos VISA Alberto mes mayo.
Cargado: 05/06/22
-----------------------------
0,25€: Descuadre
------------------------------
551,71€: Consolidación perdida por diferencia negativa de cambio. 
------------------------------------</t>
        </r>
      </text>
    </comment>
    <comment ref="BI124" authorId="0" shapeId="0" xr:uid="{40649B8F-5628-44FB-B59E-31BCBF797AFE}">
      <text>
        <r>
          <rPr>
            <sz val="9"/>
            <color indexed="81"/>
            <rFont val="Tahoma"/>
            <family val="2"/>
          </rPr>
          <t>3662,95€: Pndte de pasar Alberto Gastos VISA Alberto mes junio.
Cargado: 05/07/22
-----------------------------
0,33€: Descuadre
------------------------------
24,20€: Informe de riesgo Altosa
Fra del 30/06/22
Cargado Caixa: 12/07/22</t>
        </r>
      </text>
    </comment>
    <comment ref="BJ124" authorId="2" shapeId="0" xr:uid="{4679879F-0337-4306-96E3-C108D0F4A547}">
      <text>
        <r>
          <rPr>
            <sz val="9"/>
            <color indexed="81"/>
            <rFont val="Tahoma"/>
            <family val="2"/>
          </rPr>
          <t>Fra Cabify del 30/06/22.
Tpte Alfonso: 7,94€.
Pagado con tarjeta VISA Alfonso.</t>
        </r>
        <r>
          <rPr>
            <b/>
            <sz val="9"/>
            <color indexed="81"/>
            <rFont val="Tahoma"/>
            <family val="2"/>
          </rPr>
          <t xml:space="preserve"> 
Cargado Caixa: 05/08/22
--------------------------------
Fra Booking del 21/07/22.
Hotel Alfonso: 105,30€.
Pagado con tarjeta VISA Alfonso. 
Cargado Caixa: 05/08/22
--------------------------------
1317,38€: Pndte de pasar Alberto Gastos VISA Alberto mes julio.
Cargado: 05/08/22
</t>
        </r>
      </text>
    </comment>
    <comment ref="BL124" authorId="2" shapeId="0" xr:uid="{16829921-9855-40B7-A1B6-C28BA9E80014}">
      <text>
        <r>
          <rPr>
            <b/>
            <sz val="9"/>
            <color indexed="81"/>
            <rFont val="Tahoma"/>
            <family val="2"/>
          </rPr>
          <t xml:space="preserve">502,33€: Pndte de pasar Alberto Gastos VISA Alberto mes agosto.
Cargado: 05/09/22
</t>
        </r>
      </text>
    </comment>
    <comment ref="BM124" authorId="2" shapeId="0" xr:uid="{2851FE01-B747-4C7A-93F2-11863F15D8E9}">
      <text>
        <r>
          <rPr>
            <b/>
            <sz val="9"/>
            <color indexed="81"/>
            <rFont val="Tahoma"/>
            <family val="2"/>
          </rPr>
          <t>1632,37€: Pndte de pasar Alberto Gastos VISA Alberto mes septiembre.
Cargado: 05/10/22
------------------------------------
-0,74€: Diferencia positiva en Excel Paragon y Caixa por decimales en el Tc
---------------------------</t>
        </r>
      </text>
    </comment>
    <comment ref="BN124" authorId="0" shapeId="0" xr:uid="{867C8F59-61BA-47B6-8E57-8DD35A9FB59C}">
      <text>
        <r>
          <rPr>
            <sz val="9"/>
            <color indexed="81"/>
            <rFont val="Tahoma"/>
            <family val="2"/>
          </rPr>
          <t>136,17€: Samtek
Fra: 1/000601 (11/11/22):
Asistencia equipo Maria
Transferencia Caixa realizada el 17/11/22
-------------------------------------
2050,01€: Pndte de pasar Alberto Gastos VISA Alberto mes octubre.
Cargado: 05/11/22
------------------------------
-0,22€: Diferencia positiva en Excel Paragon por decimales en el Tc</t>
        </r>
      </text>
    </comment>
    <comment ref="BO124" authorId="0" shapeId="0" xr:uid="{20329E04-AC4E-4E67-B3BD-48D8820C1356}">
      <text>
        <r>
          <rPr>
            <sz val="9"/>
            <color indexed="81"/>
            <rFont val="Tahoma"/>
            <family val="2"/>
          </rPr>
          <t xml:space="preserve">Vybsa: 
Fra Nº A222808 (02/12/22):
16,14€: Copias 
Cargado Caixa: 19/12/22
----------------------------------
4779,67€: Pndte de pasar Alberto Gastos VISA Alberto mes noviembre.
Cargado: 05/12/22
----------------------------------
3,57€: Diferencia negativa en Excel Paragon y Caixa por decimales en el Tc
-----------------------------
</t>
        </r>
      </text>
    </comment>
    <comment ref="BP124" authorId="0" shapeId="0" xr:uid="{DB5A711A-AAD7-4271-8AAC-7844A8BED5B6}">
      <text>
        <r>
          <rPr>
            <sz val="9"/>
            <color indexed="81"/>
            <rFont val="Tahoma"/>
            <family val="2"/>
          </rPr>
          <t xml:space="preserve">
551,25€: Pndte de pasar Alberto Gastos VISA Alberto mes diciembre.
-240€: Anotado en European Gas
Cargado: 05/01/23
--------------------------------
118,10€: Samtek
Fra: 1/000050 (20/01/23):
Ppto: 1/ 00007 (13/01/23):
Renovación 8 licencias Antivirus Internet Security
Realizar transferencia 
Transferencia Caixa realizada el 24/01/23
------------------------------------
2176,28€: Consolidación perdida por diferencia negativa de cambio VFX. 
------------------------------------</t>
        </r>
      </text>
    </comment>
    <comment ref="BR124" authorId="0" shapeId="0" xr:uid="{B7AF5DB1-E36F-4CF0-A100-264818B48516}">
      <text>
        <r>
          <rPr>
            <sz val="9"/>
            <color indexed="81"/>
            <rFont val="Tahoma"/>
            <family val="2"/>
          </rPr>
          <t xml:space="preserve">1,07€: Diferencia positiva en Excel Paragon y VFX por decimales en el Tc
-----------------------------
</t>
        </r>
      </text>
    </comment>
    <comment ref="BS124" authorId="0" shapeId="0" xr:uid="{8282F3CB-3AED-4BCE-9FDE-CEF0DDE1CE5D}">
      <text>
        <r>
          <rPr>
            <sz val="9"/>
            <color indexed="81"/>
            <rFont val="Tahoma"/>
            <family val="2"/>
          </rPr>
          <t xml:space="preserve">1,54€: Diferencia negativa en Excel Paragon y VFX por decimales en el Tc
-----------------------------
</t>
        </r>
      </text>
    </comment>
    <comment ref="BU124" authorId="0" shapeId="0" xr:uid="{40454482-3809-4DDA-B14A-61A45887C760}">
      <text>
        <r>
          <rPr>
            <sz val="9"/>
            <color indexed="81"/>
            <rFont val="Tahoma"/>
            <family val="2"/>
          </rPr>
          <t xml:space="preserve">0,42€: Diferencia negativa en Excel Paragon y VFX por decimales en el Tc
-----------------------------
</t>
        </r>
      </text>
    </comment>
    <comment ref="BZ124" authorId="0" shapeId="0" xr:uid="{2FC25FE8-9D93-4DF4-9D6F-FD8D368F9AF9}">
      <text>
        <r>
          <rPr>
            <sz val="9"/>
            <color indexed="81"/>
            <rFont val="Tahoma"/>
            <family val="2"/>
          </rPr>
          <t xml:space="preserve">0,48€: Diferencia positiiva en Excel Paragon y VFX por decimales en el Tc
-----------------------------
</t>
        </r>
      </text>
    </comment>
    <comment ref="CA124" authorId="0" shapeId="0" xr:uid="{3CA0EBE0-A3C2-45CC-8B33-37492A9FF31A}">
      <text>
        <r>
          <rPr>
            <sz val="9"/>
            <color indexed="81"/>
            <rFont val="Tahoma"/>
            <family val="2"/>
          </rPr>
          <t xml:space="preserve">0,42€: Diferencia positiiva en Excel Paragon y VFX por decimales en el Tc
-----------------------------
</t>
        </r>
      </text>
    </comment>
    <comment ref="CF124" authorId="1" shapeId="0" xr:uid="{5ABEC983-6D5C-4B32-8D0D-F31F86CE1E22}">
      <text>
        <r>
          <rPr>
            <b/>
            <sz val="9"/>
            <color indexed="81"/>
            <rFont val="Tahoma"/>
            <family val="2"/>
          </rPr>
          <t>alfonso:</t>
        </r>
        <r>
          <rPr>
            <sz val="9"/>
            <color indexed="81"/>
            <rFont val="Tahoma"/>
            <family val="2"/>
          </rPr>
          <t xml:space="preserve">
30 suscripción amazon prime. Cambiar de tarjeta Molino a N. Commodities.</t>
        </r>
      </text>
    </comment>
    <comment ref="AL125" authorId="1" shapeId="0" xr:uid="{00000000-0006-0000-0100-000049010000}">
      <text>
        <r>
          <rPr>
            <sz val="9"/>
            <color indexed="81"/>
            <rFont val="Tahoma"/>
            <family val="2"/>
          </rPr>
          <t>4112,04 entra de caja molino y sale este mismo mes como dividendos Alberto</t>
        </r>
      </text>
    </comment>
    <comment ref="AV137" authorId="1" shapeId="0" xr:uid="{C64EE418-5753-41F9-B063-CB14F2B89197}">
      <text>
        <r>
          <rPr>
            <b/>
            <sz val="9"/>
            <color indexed="81"/>
            <rFont val="Tahoma"/>
            <family val="2"/>
          </rPr>
          <t xml:space="preserve">309.000 aportado de Nixal
400.000 en hipotecario BBVA
1.200 comision apertura
51568,8 gastos impuestos, registro, ...:
</t>
        </r>
        <r>
          <rPr>
            <sz val="9"/>
            <color indexed="81"/>
            <rFont val="Tahoma"/>
            <family val="2"/>
          </rPr>
          <t>IMPUESTOS    49.630 € 
NOTARIA    750,00 € 
REGISTRO    850,00 € 
OTROS SUPLIDOS    96,80 € 
GESTION +iva   200,00 + 42,00 € 
Cargado el 23/07/21 importe final de 50.818,8€</t>
        </r>
      </text>
    </comment>
    <comment ref="BL137" authorId="0" shapeId="0" xr:uid="{321E9AF1-B563-4CBD-BEDA-2406BA4DDCFB}">
      <text>
        <r>
          <rPr>
            <sz val="9"/>
            <color indexed="81"/>
            <rFont val="Tahoma"/>
            <family val="2"/>
          </rPr>
          <t xml:space="preserve">Porcelanosa: 
Fra: 2522102612 (30/09/22): 4119,28€
Fra: 2522102474 (16/09/22): 446,49€
Fra Proforma (08/09/22):
4565,77€: Compra
Transf. Caixa realizada el 14/09/22
-------------------------
menROC VII:
Fra: 42 (31/08/22):
12755,05€: Trabajos correspondiente a Certificación nº1
12755,05€: Transf. Caixa realizada el 14/09/22
</t>
        </r>
        <r>
          <rPr>
            <b/>
            <sz val="9"/>
            <color indexed="81"/>
            <rFont val="Tahoma"/>
            <family val="2"/>
          </rPr>
          <t>El importe correcto de esta fra es de 18.805,05€, pndte transferir 6.050€ de esta fra.</t>
        </r>
        <r>
          <rPr>
            <sz val="9"/>
            <color indexed="81"/>
            <rFont val="Tahoma"/>
            <family val="2"/>
          </rPr>
          <t xml:space="preserve">
-----------------------</t>
        </r>
      </text>
    </comment>
    <comment ref="BM137" authorId="0" shapeId="0" xr:uid="{C0184648-9B16-4826-962B-955236F76AEE}">
      <text>
        <r>
          <rPr>
            <sz val="9"/>
            <color indexed="81"/>
            <rFont val="Tahoma"/>
            <family val="2"/>
          </rPr>
          <t xml:space="preserve">Jose Luis Yañez Sempere:
Fra: 43 (17/10/22):
9871,98€: 1º pago a cuenta de suministro e instalación de mobiliario de cocina 
Realizar Transf. Caixa: 26/10/22
Transf. Caixa realizada el 28/10/22
-------------------------------------------
Roca:
Fra: 85/001122 (25/10/22):
2976,75€: Accesorios baño
Realizar Transf. Caixa: 26/10/22
Transf. Caixa realizada el 28/10/22
</t>
        </r>
      </text>
    </comment>
    <comment ref="BN137" authorId="0" shapeId="0" xr:uid="{609A2F40-9530-4F80-B3B1-33B21E2A02AC}">
      <text>
        <r>
          <rPr>
            <sz val="9"/>
            <color indexed="81"/>
            <rFont val="Tahoma"/>
            <family val="2"/>
          </rPr>
          <t xml:space="preserve">menROC VII:
Fra: 51 (11/10/22):
31560,10€: Trabajos correspondiente a Certificación realizada
Realizar Transf. Caixa: 02/11/22
Transf. Caixa realizada el 03/11/22
-------------------------------
menROC VII:
Fra: 42 (31/08/22):
12755,05€: Trabajos correspondiente a Certificación nº1
Transf. Caixa realizada el 14/09/22
</t>
        </r>
        <r>
          <rPr>
            <b/>
            <sz val="9"/>
            <color indexed="81"/>
            <rFont val="Tahoma"/>
            <family val="2"/>
          </rPr>
          <t xml:space="preserve">El importe correcto de esta fra es de 18.805,05€, pndte transferir 6.050€ de esta fra.
</t>
        </r>
        <r>
          <rPr>
            <sz val="9"/>
            <color indexed="81"/>
            <rFont val="Tahoma"/>
            <family val="2"/>
          </rPr>
          <t>6050€</t>
        </r>
        <r>
          <rPr>
            <b/>
            <sz val="9"/>
            <color indexed="81"/>
            <rFont val="Tahoma"/>
            <family val="2"/>
          </rPr>
          <t xml:space="preserve">: </t>
        </r>
        <r>
          <rPr>
            <sz val="9"/>
            <color indexed="81"/>
            <rFont val="Tahoma"/>
            <family val="2"/>
          </rPr>
          <t>Realizar Transf. Caixa: 02/11/22
Transf. Caixa realizada el 02/11/22
------------------------------------------
Jose Luis Yañez Sempere:
Fra: 44 (30/10/22):
1129,08€: 1º pago a cuenta de suministro de revestimiento porcelánico
Transf. Caixa realizada el 10/11/22</t>
        </r>
      </text>
    </comment>
    <comment ref="BO137" authorId="0" shapeId="0" xr:uid="{AE03CD9E-D854-495B-95FC-DF97995CABF1}">
      <text>
        <r>
          <rPr>
            <sz val="9"/>
            <color indexed="81"/>
            <rFont val="Tahoma"/>
            <family val="2"/>
          </rPr>
          <t>menROC VII:
Fra: 56 (14/11/22):
28805,09€: Trabajos correspondiente a Certificación realizada
Transf. Caixa realizada: 02/12/22
-------------------------------
José Castro Fuertes:
Fra: 05/2022 (14/11/22):
1484€: Dirección ejecución obras</t>
        </r>
        <r>
          <rPr>
            <b/>
            <sz val="9"/>
            <color indexed="81"/>
            <rFont val="Tahoma"/>
            <family val="2"/>
          </rPr>
          <t xml:space="preserve">
</t>
        </r>
        <r>
          <rPr>
            <sz val="9"/>
            <color indexed="81"/>
            <rFont val="Tahoma"/>
            <family val="2"/>
          </rPr>
          <t xml:space="preserve">Transf. Caixa realizada: 02/12/22
------------------------------------------
Jose Luis Yañez Sempere:
Fra: 45 (10/11/22):
1463,60€: Resto pago suministro de revestimiento porcelánico
Realizar Transf. Caixa: A final de mes nov
Transf. Caixa realizada: 02/12/22
--------------------------------------------
Jose Luis Yañez Sempere:
Fra: 50 (02/12/22):
2262,51€: Iluminación
Transf. Caixa realizada: 14/12/22
---------------------------------------------
menROC VII:
Fra: 58 (07/12/22):
15148,01€: Trabajos correspondiente a Certificación realizada
Transf. Caixa realizada: 21/12/22
-------------------------------
Aramburu Guzmán: 
Fra 304003793 (10/02/23):
Fra Proforma: 00-OV-2005638 (27/11/22): 
6488,40€: Radiadores irsap
Pagar el 20% del total de la fra proforma
1297,68€: Transf. Caixa realizada el 20/12/22
5190,72€: Resto pndte contra entrega e instalación
-----------------------------
</t>
        </r>
      </text>
    </comment>
    <comment ref="BP137" authorId="2" shapeId="0" xr:uid="{02007D62-B07A-48F3-BECD-5C8F899F751B}">
      <text>
        <r>
          <rPr>
            <sz val="9"/>
            <color indexed="81"/>
            <rFont val="Tahoma"/>
            <family val="2"/>
          </rPr>
          <t xml:space="preserve">menROC VII:
Fra: 1 (12/01/23):
28067,34€: Trabajos correspondiente a Certificación realizada
Realizar Transf. Caixa próxima remesa
Transferencia Caixa realizada el 31/01/23
-------------------------------------------------
Jose Luis Yañez Sempere:
Fra: 1 (03/01/23):
1751,61€: Iluminación 
Transf. Caixa realizada el 25/01/23
----------------------------------------------------------------
Jose Luis Yañez Sempere:
Fra: 4 (26/01/23):
9871,98€: 2º pago a cuenta de suministro e instalación mobiliario cocina 
Realizar Transf. Caixa: 
Transferencia Caixa realizada el 31/01/23
----------------------------------------------------------------
</t>
        </r>
      </text>
    </comment>
    <comment ref="BR137" authorId="2" shapeId="0" xr:uid="{C25B1D17-E9F9-4E7A-9BB8-3755B67A7C17}">
      <text>
        <r>
          <rPr>
            <sz val="9"/>
            <color indexed="81"/>
            <rFont val="Tahoma"/>
            <family val="2"/>
          </rPr>
          <t>Grupo Forma Solidaurface:
Fra 176 (01/06/23): 7.719,80€
Fra Proforma: 017 (06/02/23):
3859,90€: Encimeras y mobiliario de baño (50%)
3859,90€: Transf. Caixa realizada el 01/03/23
-------------------------------------------------
Jose Luis Yañez Sempere:
Fra: 7 (14/02/23):
1374,44€: Iluminación y cambio luces
1374,44€: Transf. Caixa reaizada el 01/03/23
-----------------------------------------------
José Castro Fuertes:
Fra: 02/2023 (02/03/23):
1484€: Dirección ejecución obras 2ª fra
Transf. Caixa realizada el 16/03/23
------------------------------------------
Zona Decor:
Fra: ZD2023/000018 (06/03/23):
3217,34€: Encargo toldos (Fra del 50%)
Transf. Caixa realizada el 16/03/23
------------------------------------------
Zona Decor:
Fra: ZD2023/000026 (27/03/23):
3338,33€: Resto 50% toldos (Fra descontando el 50% pagado al realizar el encargo)
Transf. Caixa realizada el 30/03/23
------------------------------------------
menROC VII:
Fra: 8 (01/03/23):
42096,98€: Trabajos correspondiente a Certificación realizada
Realizar Transf. Caixa próxima remesa
Transf. Caixa realizada el 24/03/23
------------------------------------------------
Aramburu Guzmán: 
Fra 304003793 (10/02/23):
Fra Proforma: 00-OV-2005638 (27/11/22): 
6488,40€: Radiadores irsap
Pndte el 80% del total de la fra proforma
1297,68€: Transf. Caixa realizada el 20/12/22
5190,72€: Resto pndte contra entrega e instalación
Tenemos fra, pndte ok Conchita para pagar
5190,72€: Cargado Caixa: 10/03/23
Ok Conchita fra correcta
----------------------------------------
Jose Luis Yañez Sempere:
Fra: 14 (06/03/23):
6742,80€: Suministro y colocación mobiliario cocina y electrodomésticos
6742,80€: Realizar transf. Caixa
Transf. Caixa realizada el 24/03/23
-------------------------------------
Jose Luis Yañez Sempere:
Fra: 17 (22/03/23):
725,26€: Iluminación
725,26€: Realizar transf. Caixa
Transf. Caixa realizada el 24/03/23
-------------------------------------
SPDecoración:
Fra: 1 230024 (28/03/23):
8242,69€: Enrollables exteriores e interiores 
Transf. Caixa realizada el 30/03/23
----------------------------------</t>
        </r>
      </text>
    </comment>
    <comment ref="BS137" authorId="2" shapeId="0" xr:uid="{C70AF2A4-B09E-4CEB-83F6-AA73573A319B}">
      <text>
        <r>
          <rPr>
            <sz val="9"/>
            <color indexed="81"/>
            <rFont val="Tahoma"/>
            <family val="2"/>
          </rPr>
          <t xml:space="preserve">Jose Luis Yañez Sempere:
Fra: 22 (31/03/23):
1639,60€: Iluminación
1639,60€: Realizar transf. Caixa
Próxima remesa pagos
Transf. Caixa realizada el 14/04/23
-------------------------------------
Jose Luis Yañez Sempere:
Fra: 19 (22/03/23):
6388,44€: Pago a cuenta mobiliario (50% sobre 12776,88€)
6388,44€: Realizar transf. Caixa
Próxima remesa pagos
Transf. Caixa realizada el 14/04/23
-------------------------------------
Jose Luis Yañez Sempere:
Fra: 24 (11/04/23):
874,23€: Accesorios baños
874,23€: Realizar transf. Caixa
Próxima remesa pagos
Transf. Caixa realizada el 14/04/23
------------------------------------
Email Alberto 24/11/22: El presupuesto total es de 200.000,00€. El resto lo debemos pagar entre diciembre y febrero. 
70k: reforma a pagar en diciembre.
70k: reforma a pagar en febrero. 
-136484,83€ fras ya pagadas a 07/02/23 (incluida el 80% de Aramburu)
-----------------------------------------------
</t>
        </r>
      </text>
    </comment>
    <comment ref="BT137" authorId="2" shapeId="0" xr:uid="{9C084862-2D80-4F69-9C00-6A803EDB5C91}">
      <text>
        <r>
          <rPr>
            <sz val="9"/>
            <color indexed="81"/>
            <rFont val="Tahoma"/>
            <family val="2"/>
          </rPr>
          <t>menROC VII:
Fra: 23 (08/05/23):
17.203,50€: Trabajos correspondientes a certificación realizada (50% sobre 34.406,99€) 
Ok Alberto pagar el 50% y realizar transf en junio del otro 50%
17203,50€: Transf. Caixa realizada el 31/05/23
-----------------------------------------------
Jose Luis Yañez Sempere:
Fra: 28 (05/05/23):
112,23€: Aplique de pared
Ok Alberto, esperar a que se la reclamen
112,23€: Transf. Caixa realizada el 31/05/23
-------------------------------------
Jose Luis Yañez Sempere:
Fra: 30 (23/05/23):
361,79€: Lampara de suspensión
Ok Alberto, pagar que es pequeña
361,79€: Transf. Caixa realizada el 31/05/23</t>
        </r>
      </text>
    </comment>
    <comment ref="BU137" authorId="0" shapeId="0" xr:uid="{65DCE2C5-48C1-4B80-8905-3E50C3440A2E}">
      <text>
        <r>
          <rPr>
            <sz val="9"/>
            <color indexed="81"/>
            <rFont val="Tahoma"/>
            <family val="2"/>
          </rPr>
          <t xml:space="preserve">Jose Luis Yañez Sempere:
Fra: 27 (05/05/23):
1498,10€: Pago a cuenta 50% pedido mobiliario ll fase
Ok Alberto, esperar a que se la reclamen
1498,10€: Transferencia Caixa realizada el 23/06/23
----------------------------------------------
Reforpinturas- Lorenzo Vázquez Gómez:
Fra: 0063 (31/05/2023):
363€: Limpieza Las Cantera
Transf. Caixa realizada el 06/06/23
------------------------------------------------
</t>
        </r>
      </text>
    </comment>
    <comment ref="BV137" authorId="2" shapeId="0" xr:uid="{3AB47BA1-17B6-4114-A980-EF86860F3B45}">
      <text>
        <r>
          <rPr>
            <sz val="9"/>
            <color indexed="81"/>
            <rFont val="Tahoma"/>
            <family val="2"/>
          </rPr>
          <t xml:space="preserve">Jose Luis Yañez Sempere:
Fra: 32 (21/06/23):
6850,46€: Varios
Ok Alberto, esperar unos días
6850,46€: Transferencia realizada el 19/07/23.
-----------------------------------------------
</t>
        </r>
      </text>
    </comment>
    <comment ref="CA137" authorId="0" shapeId="0" xr:uid="{136BAA08-9888-47DF-981B-E0473DAA831B}">
      <text>
        <r>
          <rPr>
            <sz val="9"/>
            <color indexed="81"/>
            <rFont val="Tahoma"/>
            <family val="2"/>
          </rPr>
          <t>menROC VII:
Fra: 15 (23/03/23):
1149,50€: Reparación por trabajos afectados de fontaneria ajenos ppto
Ok Alberto realizar transf en junio
Transf. Caixa realizada el 07/11/23</t>
        </r>
        <r>
          <rPr>
            <b/>
            <sz val="9"/>
            <color indexed="81"/>
            <rFont val="Tahoma"/>
            <family val="2"/>
          </rPr>
          <t xml:space="preserve">
---------------------------------
</t>
        </r>
        <r>
          <rPr>
            <sz val="9"/>
            <color indexed="81"/>
            <rFont val="Tahoma"/>
            <family val="2"/>
          </rPr>
          <t>Jose Luis Yañez Sempere:
Fra: 33 (21/06/23):
701,44€: Sofá cama, etc..
Ok Alberto, esperar unos días
701,44€: Transferencia Caixa a realizar
22/11/23: OK Alberto realizar transferencia
Transf. Caixa realizada el 23/11/23</t>
        </r>
        <r>
          <rPr>
            <b/>
            <sz val="9"/>
            <color indexed="81"/>
            <rFont val="Tahoma"/>
            <family val="2"/>
          </rPr>
          <t xml:space="preserve">
---------------------------------
</t>
        </r>
      </text>
    </comment>
    <comment ref="CB137" authorId="0" shapeId="0" xr:uid="{7142B418-2134-4EB2-8DF7-410350A8B6BC}">
      <text>
        <r>
          <rPr>
            <b/>
            <sz val="9"/>
            <color indexed="81"/>
            <rFont val="Tahoma"/>
            <family val="2"/>
          </rPr>
          <t xml:space="preserve">SPDecoración:
</t>
        </r>
        <r>
          <rPr>
            <sz val="9"/>
            <color indexed="81"/>
            <rFont val="Tahoma"/>
            <family val="2"/>
          </rPr>
          <t xml:space="preserve">Fra: 1 230067 (07/07/23):
557,33€: Transferencia Caixa a realizar el 18/12/23
14/12/23: OK Alberto pagar ya
557,33€: Transf. Caixa realizada el 18/12/23
----------------------------------
</t>
        </r>
        <r>
          <rPr>
            <b/>
            <sz val="9"/>
            <color indexed="81"/>
            <rFont val="Tahoma"/>
            <family val="2"/>
          </rPr>
          <t>José Castro Fuertes:</t>
        </r>
        <r>
          <rPr>
            <sz val="9"/>
            <color indexed="81"/>
            <rFont val="Tahoma"/>
            <family val="2"/>
          </rPr>
          <t xml:space="preserve">
Fra: 05/2023 (29/05/23):
902,67€: Dirección ejecución obras 3ª fra
14/12/23: OK Alberto pagar ya
902,67€Transferencia Caixa realizada el 18/12/23
----------------------------
</t>
        </r>
        <r>
          <rPr>
            <b/>
            <sz val="9"/>
            <color indexed="81"/>
            <rFont val="Tahoma"/>
            <family val="2"/>
          </rPr>
          <t>Jose Luis Yañez Sempere:</t>
        </r>
        <r>
          <rPr>
            <sz val="9"/>
            <color indexed="81"/>
            <rFont val="Tahoma"/>
            <family val="2"/>
          </rPr>
          <t xml:space="preserve">
Fra: 34 (13/07/23):
474,32€: Espejo y electrodoméstico
14/12/23: OK Alberto pagar ya
474,32€: Transf. Caixa realizada por el total 990,26€ el 15/12/23
-----------------------------------------------
</t>
        </r>
        <r>
          <rPr>
            <b/>
            <sz val="9"/>
            <color indexed="81"/>
            <rFont val="Tahoma"/>
            <family val="2"/>
          </rPr>
          <t>Jose Luis Yañez Sempere:</t>
        </r>
        <r>
          <rPr>
            <sz val="9"/>
            <color indexed="81"/>
            <rFont val="Tahoma"/>
            <family val="2"/>
          </rPr>
          <t xml:space="preserve">
Fra: 35 (18/07/23):
515,94€: Mesitas noche
14/12/23: OK Alberto pagar ya
515,94€: Transf. Caixa realizada por el total 990,26€ el 15/12/23
------------------------------------------</t>
        </r>
      </text>
    </comment>
    <comment ref="CC137" authorId="0" shapeId="0" xr:uid="{2CC808D7-A08E-4E64-8D5A-E2B036103F1C}">
      <text>
        <r>
          <rPr>
            <b/>
            <sz val="9"/>
            <color indexed="81"/>
            <rFont val="Tahoma"/>
            <family val="2"/>
          </rPr>
          <t xml:space="preserve">Fra 1 (05/01/24): 
</t>
        </r>
        <r>
          <rPr>
            <sz val="9"/>
            <color indexed="81"/>
            <rFont val="Tahoma"/>
            <family val="2"/>
          </rPr>
          <t>Fra por el 50% Honorarios arquitecto.
9.833,84+IVA 21%-IRPF 15%= 10.423,87€</t>
        </r>
        <r>
          <rPr>
            <b/>
            <sz val="9"/>
            <color indexed="81"/>
            <rFont val="Tahoma"/>
            <family val="2"/>
          </rPr>
          <t xml:space="preserve">
18/01/24: Ok Alberto pagar 50% en enero y 50% a mitad de febrero
Info Alberto: Queda una segunda fra del mismo importe para pagar en septiembre
</t>
        </r>
        <r>
          <rPr>
            <sz val="9"/>
            <color indexed="81"/>
            <rFont val="Tahoma"/>
            <family val="2"/>
          </rPr>
          <t>Transferencia realizada: 26/01/24</t>
        </r>
      </text>
    </comment>
    <comment ref="CD137" authorId="0" shapeId="0" xr:uid="{50EED7B7-206E-4570-B4BF-093B1534B71E}">
      <text>
        <r>
          <rPr>
            <b/>
            <sz val="9"/>
            <color indexed="81"/>
            <rFont val="Tahoma"/>
            <family val="2"/>
          </rPr>
          <t>menROC VII:</t>
        </r>
        <r>
          <rPr>
            <sz val="9"/>
            <color indexed="81"/>
            <rFont val="Tahoma"/>
            <family val="2"/>
          </rPr>
          <t xml:space="preserve">
Fra: 23 (08/05/23):
34.406,99€: Trabajos correspondientes a certificación realizada
17203,50€: 50% Transf. Caixa realizada el 31/05/23
3041€: Transf. Caixa realizada el 26/10/23
</t>
        </r>
        <r>
          <rPr>
            <b/>
            <sz val="9"/>
            <color indexed="81"/>
            <rFont val="Tahoma"/>
            <family val="2"/>
          </rPr>
          <t xml:space="preserve">VENCIMIENTO EL 20/02/23.
Cargado Caixa: 20/02/24
</t>
        </r>
        <r>
          <rPr>
            <sz val="9"/>
            <color indexed="81"/>
            <rFont val="Tahoma"/>
            <family val="2"/>
          </rPr>
          <t xml:space="preserve">
14.162,49€: Pndte realizar transferencia
-----------------------------------------------
</t>
        </r>
        <r>
          <rPr>
            <b/>
            <sz val="9"/>
            <color indexed="81"/>
            <rFont val="Tahoma"/>
            <family val="2"/>
          </rPr>
          <t>menROC VII:</t>
        </r>
        <r>
          <rPr>
            <sz val="9"/>
            <color indexed="81"/>
            <rFont val="Tahoma"/>
            <family val="2"/>
          </rPr>
          <t xml:space="preserve">
Fra: 33 (29/06/23):
2788,48€: Trabajos correspondientes a cierre de obra
2788,48€: Transf. Caixa realizada el 26/10/2
</t>
        </r>
        <r>
          <rPr>
            <b/>
            <sz val="9"/>
            <color indexed="81"/>
            <rFont val="Tahoma"/>
            <family val="2"/>
          </rPr>
          <t xml:space="preserve">VENCIMIENTO EL 20/02/24.
Cargado Caixa: 20/02/24
------------------------------------
</t>
        </r>
      </text>
    </comment>
    <comment ref="CH137" authorId="0" shapeId="0" xr:uid="{962E03D9-F10D-43AE-A154-13DBB67F5963}">
      <text>
        <r>
          <rPr>
            <b/>
            <sz val="9"/>
            <color indexed="81"/>
            <rFont val="Tahoma"/>
            <family val="2"/>
          </rPr>
          <t>Grupo Forma Solidaurface:</t>
        </r>
        <r>
          <rPr>
            <sz val="9"/>
            <color indexed="81"/>
            <rFont val="Tahoma"/>
            <family val="2"/>
          </rPr>
          <t xml:space="preserve">
Fra 176 (01/06/23): 7.719,80€:
3859,90€: Encimeras y mobiliario de baño (50% restante)
3859,90€: Transferencia Caixa a realizar
18/01/24: OK Alberto realizar pago a mediados de febrero
3.859,90€: Transf. Caixa realizada el 21/02/24
VENCIMIENTO EL 17/06/24.
-------------------------------------</t>
        </r>
        <r>
          <rPr>
            <b/>
            <sz val="9"/>
            <color indexed="81"/>
            <rFont val="Tahoma"/>
            <family val="2"/>
          </rPr>
          <t xml:space="preserve">
Fra 1 (05/01/24): 
Fra por el 50% Honorarios arquitecto.</t>
        </r>
        <r>
          <rPr>
            <sz val="9"/>
            <color indexed="81"/>
            <rFont val="Tahoma"/>
            <family val="2"/>
          </rPr>
          <t xml:space="preserve">
9.833,84+IVA 21%-IRPF 15%= 10.423,87€
18/01/24: Ok Alberto pagar 50% en enero y 50% a mitad de febrero
Info Alberto: Queda una segunda fra del mismo importe para pagar en septiembre
5.211,93€: Transf. Caixa realizada el 20/02/24
</t>
        </r>
        <r>
          <rPr>
            <b/>
            <sz val="9"/>
            <color indexed="81"/>
            <rFont val="Tahoma"/>
            <family val="2"/>
          </rPr>
          <t>VENCIMIENTO EL 17/06/24.</t>
        </r>
      </text>
    </comment>
    <comment ref="CL137" authorId="2" shapeId="0" xr:uid="{EA779FEF-4B30-471B-9CCC-33E0985827CC}">
      <text>
        <r>
          <rPr>
            <sz val="9"/>
            <color indexed="81"/>
            <rFont val="Tahoma"/>
            <family val="2"/>
          </rPr>
          <t xml:space="preserve">Email Alberto 24/11/22: El presupuesto total es de 200.000,00€. El resto lo debemos pagar entre diciembre y febrero. 
70k: reforma a pagar en diciembre.
70k: reforma a pagar en febrero. 
-202.550,86€+IVA: fras ya pagadas 
(Superada previsión en 3.086,54€)
Info Alb: </t>
        </r>
        <r>
          <rPr>
            <b/>
            <sz val="9"/>
            <color indexed="81"/>
            <rFont val="Tahoma"/>
            <family val="2"/>
          </rPr>
          <t>Incluida 10000€+IVA en julio</t>
        </r>
        <r>
          <rPr>
            <sz val="9"/>
            <color indexed="81"/>
            <rFont val="Tahoma"/>
            <family val="2"/>
          </rPr>
          <t xml:space="preserve">
-----------------------------------------------
menROC VII:
Fra: 23 (08/05/23):
34.406,99€: Trabajos correspondientes a certificación realizada
17203,50€: 50% Transf. Caixa realizada el 31/05/23
3041€: Transf. Caixa realizada el 26/10/23
</t>
        </r>
        <r>
          <rPr>
            <b/>
            <sz val="9"/>
            <color indexed="81"/>
            <rFont val="Tahoma"/>
            <family val="2"/>
          </rPr>
          <t>VENCIMIENTO EL 20/02/23.</t>
        </r>
        <r>
          <rPr>
            <sz val="9"/>
            <color indexed="81"/>
            <rFont val="Tahoma"/>
            <family val="2"/>
          </rPr>
          <t xml:space="preserve">
14.162,49€: Pndte realizar transferencia
-----------------------------------------------
</t>
        </r>
      </text>
    </comment>
    <comment ref="CM137" authorId="0" shapeId="0" xr:uid="{6A44CDD1-924A-4F05-88A2-A95BD7103AEF}">
      <text>
        <r>
          <rPr>
            <b/>
            <sz val="9"/>
            <color indexed="81"/>
            <rFont val="Tahoma"/>
            <family val="2"/>
          </rPr>
          <t xml:space="preserve">Fra 1 (05/01/24): 
</t>
        </r>
        <r>
          <rPr>
            <sz val="9"/>
            <color indexed="81"/>
            <rFont val="Tahoma"/>
            <family val="2"/>
          </rPr>
          <t>Fra por el 50% Honorarios arquitecto.
9.833,84+IVA 21%-IRPF 15%= 10.423,87€</t>
        </r>
        <r>
          <rPr>
            <b/>
            <sz val="9"/>
            <color indexed="81"/>
            <rFont val="Tahoma"/>
            <family val="2"/>
          </rPr>
          <t xml:space="preserve">
18/01/24: Ok Alberto pagar 50% en enero y 50% a mitad de febrero
Info Alberto: Queda una segunda fra del mismo importe para pagar en septiembre</t>
        </r>
      </text>
    </comment>
    <comment ref="BB138" authorId="2" shapeId="0" xr:uid="{3DDF0970-5B91-4D94-91E6-BB9F0A6743BC}">
      <text>
        <r>
          <rPr>
            <sz val="9"/>
            <color indexed="81"/>
            <rFont val="Tahoma"/>
            <family val="2"/>
          </rPr>
          <t xml:space="preserve">20.000€ Anticipo coche land rover.
Transferencia Caixa realizada el 14/12/21.
PENDIENTE: 
- Soporte contable de la compra completa. 
- Financiación. </t>
        </r>
      </text>
    </comment>
    <comment ref="BC138" authorId="2" shapeId="0" xr:uid="{CA9A7BC8-4F9F-4633-97AB-77AFF7509215}">
      <text>
        <r>
          <rPr>
            <sz val="9"/>
            <color indexed="81"/>
            <rFont val="Tahoma"/>
            <family val="2"/>
          </rPr>
          <t xml:space="preserve">58.900€ Anticipo a proveedores coche land rover.
19500€: Transferencia Caixa realizada el 17/01/22
19500€: Transferencia Caixa realizada el 17/01/22
19900€: Transferencia Caixa realizada el 17/01/22
Info Alberto 17/01/22: cuanto cerremos financiación, Gysa nos devuelve el dinero.
PENDIENTE: 
- Soporte contable de la compra completa. 
- Financiación. </t>
        </r>
      </text>
    </comment>
    <comment ref="BI138" authorId="2" shapeId="0" xr:uid="{A0DC13FE-812D-4170-B54D-7E709D527AF3}">
      <text>
        <r>
          <rPr>
            <sz val="9"/>
            <color indexed="81"/>
            <rFont val="Tahoma"/>
            <family val="2"/>
          </rPr>
          <t xml:space="preserve">1404,43€: Cuota Leasing Julio. 
Cargado el 15/07/22. 
</t>
        </r>
      </text>
    </comment>
    <comment ref="BJ138" authorId="2" shapeId="0" xr:uid="{72D63473-B973-4A01-BEE5-69C371093B75}">
      <text>
        <r>
          <rPr>
            <sz val="9"/>
            <color indexed="81"/>
            <rFont val="Tahoma"/>
            <family val="2"/>
          </rPr>
          <t>1.404,43€: Cuota Leasing Agosto. 
Cargado el 16/08/22</t>
        </r>
        <r>
          <rPr>
            <b/>
            <sz val="9"/>
            <color indexed="81"/>
            <rFont val="Tahoma"/>
            <family val="2"/>
          </rPr>
          <t xml:space="preserve">. 
</t>
        </r>
      </text>
    </comment>
    <comment ref="BL138" authorId="2" shapeId="0" xr:uid="{61B8C9C5-A7CD-480F-8B96-39618513927F}">
      <text>
        <r>
          <rPr>
            <sz val="9"/>
            <color indexed="81"/>
            <rFont val="Tahoma"/>
            <family val="2"/>
          </rPr>
          <t>1.404,43€: Cuota Leasing Septiembre. 
Cargado BBVA el 15/09/22</t>
        </r>
        <r>
          <rPr>
            <b/>
            <sz val="9"/>
            <color indexed="81"/>
            <rFont val="Tahoma"/>
            <family val="2"/>
          </rPr>
          <t xml:space="preserve">. 
</t>
        </r>
        <r>
          <rPr>
            <sz val="9"/>
            <color indexed="81"/>
            <rFont val="Tahoma"/>
            <family val="2"/>
          </rPr>
          <t>Dev. 78.900,00€ pndte ingreso en Caixa el 23/09
Abonado Caixa: 24/09/22</t>
        </r>
      </text>
    </comment>
    <comment ref="BM138" authorId="0" shapeId="0" xr:uid="{FEAEC6BF-77EF-41C5-B840-EB33FDA981B9}">
      <text>
        <r>
          <rPr>
            <b/>
            <sz val="9"/>
            <color indexed="81"/>
            <rFont val="Tahoma"/>
            <family val="2"/>
          </rPr>
          <t xml:space="preserve">1.404,43€: Cuota Leasing Octubre. 
Cargado BBVA el 17/10/22. </t>
        </r>
      </text>
    </comment>
    <comment ref="BN138" authorId="0" shapeId="0" xr:uid="{03E55B2B-02BA-4A8F-91B2-181D1C6944DC}">
      <text>
        <r>
          <rPr>
            <b/>
            <sz val="9"/>
            <color indexed="81"/>
            <rFont val="Tahoma"/>
            <family val="2"/>
          </rPr>
          <t xml:space="preserve">1.404,43€: Cuota Leasing Noviembre. 
Cargado BBVA el 15/11/22. </t>
        </r>
      </text>
    </comment>
    <comment ref="BO138" authorId="0" shapeId="0" xr:uid="{3E1A1878-CF2A-4968-B39A-4BC377818B1F}">
      <text>
        <r>
          <rPr>
            <b/>
            <sz val="9"/>
            <color indexed="81"/>
            <rFont val="Tahoma"/>
            <family val="2"/>
          </rPr>
          <t xml:space="preserve">1.404,43€: Cuota Leasing Diciembre. 
Cargado BBVA el 15/12/22. </t>
        </r>
      </text>
    </comment>
    <comment ref="BP138" authorId="0" shapeId="0" xr:uid="{965950BF-BA4E-4EBA-B25D-F11E7A69616F}">
      <text>
        <r>
          <rPr>
            <b/>
            <sz val="9"/>
            <color indexed="81"/>
            <rFont val="Tahoma"/>
            <family val="2"/>
          </rPr>
          <t xml:space="preserve">1.470,69€: Cuota Leasing Enero. 
Cargado BBVA el 16/01/23. </t>
        </r>
      </text>
    </comment>
    <comment ref="BQ138" authorId="0" shapeId="0" xr:uid="{7A6F4294-2C56-46DB-8F76-73130CDE85F2}">
      <text>
        <r>
          <rPr>
            <b/>
            <sz val="9"/>
            <color indexed="81"/>
            <rFont val="Tahoma"/>
            <family val="2"/>
          </rPr>
          <t xml:space="preserve">1.470,69€: Cuota Leasing Febrero. 
Cargado BBVA el 15/02/23. </t>
        </r>
      </text>
    </comment>
    <comment ref="BR138" authorId="0" shapeId="0" xr:uid="{EF54549E-D787-49D5-9D9B-BF06D09D69BD}">
      <text>
        <r>
          <rPr>
            <b/>
            <sz val="9"/>
            <color indexed="81"/>
            <rFont val="Tahoma"/>
            <family val="2"/>
          </rPr>
          <t xml:space="preserve">1.470,69€: Cuota Leasing marzo. 
Cargado BBVA el 15/03/23. </t>
        </r>
      </text>
    </comment>
    <comment ref="CC138" authorId="0" shapeId="0" xr:uid="{10FCF97E-3ED2-4928-AEA7-1B460157F4B5}">
      <text>
        <r>
          <rPr>
            <b/>
            <sz val="9"/>
            <color indexed="81"/>
            <rFont val="Tahoma"/>
            <family val="2"/>
          </rPr>
          <t xml:space="preserve">1.494,47€: Cuota Leasing enero 2024. 
Cargado BBVA el 15/01/24. </t>
        </r>
      </text>
    </comment>
    <comment ref="CJ138" authorId="0" shapeId="0" xr:uid="{055B0A2C-95FD-46A7-881F-F9D56EA9ED18}">
      <text>
        <r>
          <rPr>
            <b/>
            <sz val="9"/>
            <color indexed="81"/>
            <rFont val="Tahoma"/>
            <family val="2"/>
          </rPr>
          <t>Prolongar mismas cuotas hasta el 15/06/27 
(Total 60 cuotas)
15/07/2027: 1404,43€</t>
        </r>
      </text>
    </comment>
    <comment ref="CX138" authorId="0" shapeId="0" xr:uid="{B14237CD-F910-4365-96E7-5988F6F4124F}">
      <text>
        <r>
          <rPr>
            <b/>
            <sz val="9"/>
            <color indexed="81"/>
            <rFont val="Tahoma"/>
            <family val="2"/>
          </rPr>
          <t>Prolongar mismas cuotas hasta el 15/06/27 
(Total 60 cuotas)
15/07/2027: 1404,43€</t>
        </r>
      </text>
    </comment>
    <comment ref="BR139" authorId="0" shapeId="0" xr:uid="{15FAE530-82E6-4DE5-98A0-95C486AF3ABD}">
      <text>
        <r>
          <rPr>
            <sz val="9"/>
            <color indexed="81"/>
            <rFont val="Tahoma"/>
            <family val="2"/>
          </rPr>
          <t>Fra: 23/FVE00025 (16/03/23):
Fra Proforma: 23/PROF00001 (14/03/23):
25490€: Primer pago compra vivienda
20000€: Transferencia Caixa realizada: 15/03/23
5490€: Transferencia Caixa realizada: 15/03/23</t>
        </r>
        <r>
          <rPr>
            <b/>
            <sz val="9"/>
            <color indexed="81"/>
            <rFont val="Tahoma"/>
            <family val="2"/>
          </rPr>
          <t xml:space="preserve">
</t>
        </r>
        <r>
          <rPr>
            <sz val="9"/>
            <color indexed="81"/>
            <rFont val="Tahoma"/>
            <family val="2"/>
          </rPr>
          <t xml:space="preserve">
</t>
        </r>
      </text>
    </comment>
    <comment ref="CD139" authorId="0" shapeId="0" xr:uid="{B69B9573-0CDB-4797-98B1-0662609D02CF}">
      <text>
        <r>
          <rPr>
            <sz val="9"/>
            <color indexed="81"/>
            <rFont val="Tahoma"/>
            <family val="2"/>
          </rPr>
          <t>Fra: 23/FVE00091 (24/10/23):
25490€: Segundo pago compra vivienda
20000€: Transferencia Caixa realizada: 25/10/23
5490€: Transferencia Caixa realizada: 25/10/23</t>
        </r>
        <r>
          <rPr>
            <b/>
            <sz val="9"/>
            <color indexed="81"/>
            <rFont val="Tahoma"/>
            <family val="2"/>
          </rPr>
          <t xml:space="preserve">
VENCIMIENTOS EL 20/02/23.
</t>
        </r>
        <r>
          <rPr>
            <sz val="9"/>
            <color indexed="81"/>
            <rFont val="Tahoma"/>
            <family val="2"/>
          </rPr>
          <t>Cargado Caixa: 20/02/24
------------------------------
Fra: 24/FVE00032 (29/01/24):
Info Alberto 30/11/23: Tercer ingreso de 25.490€ en 12 cuotas mensuales de 2.124,17€, primer recibo domiciliado el 25/01/23
Cargado Caixa: 01/02/24
----------------------------------
Info Alberto 30/11/23: Tercer ingreso de 25.490€ en 12 cuotas mensuales de 2.124,17€, segundo recibo domiciliado el 25/02/23
Cargado Caixa: 26/02/24</t>
        </r>
      </text>
    </comment>
    <comment ref="CE139" authorId="0" shapeId="0" xr:uid="{1EF9D811-0EC5-496A-8717-8C76D8D8469B}">
      <text>
        <r>
          <rPr>
            <sz val="9"/>
            <color indexed="81"/>
            <rFont val="Tahoma"/>
            <family val="2"/>
          </rPr>
          <t>Info Alberto 30/11/23: Tercer ingreso de 25.490€ en 12 cuotas mensuales de 2.124,17€, primer recibo domiciliado el 25/01/23
Cargado: 25/03/24</t>
        </r>
      </text>
    </comment>
    <comment ref="CF139" authorId="0" shapeId="0" xr:uid="{A8A6FB7C-54A9-4004-B682-645671BE6F34}">
      <text>
        <r>
          <rPr>
            <sz val="9"/>
            <color indexed="81"/>
            <rFont val="Tahoma"/>
            <family val="2"/>
          </rPr>
          <t xml:space="preserve">Info Alberto 30/11/23: Tercer ingreso de 25.490€ en 12 cuotas mensuales de 2.124,17€, primer recibo domiciliado el 25/01/23
</t>
        </r>
      </text>
    </comment>
    <comment ref="CG139" authorId="0" shapeId="0" xr:uid="{A4A64501-CED3-47B2-82CC-F81FE7701446}">
      <text>
        <r>
          <rPr>
            <sz val="9"/>
            <color indexed="81"/>
            <rFont val="Tahoma"/>
            <family val="2"/>
          </rPr>
          <t xml:space="preserve">Info Alberto 30/11/23: Tercer ingreso de 25.490€ en 12 cuotas mensuales de 2.124,17€, primer recibo domiciliado el 25/01/23
</t>
        </r>
      </text>
    </comment>
    <comment ref="CH139" authorId="0" shapeId="0" xr:uid="{0C56A343-3CE7-4E49-84B2-FF19FCBD129C}">
      <text>
        <r>
          <rPr>
            <sz val="9"/>
            <color indexed="81"/>
            <rFont val="Tahoma"/>
            <family val="2"/>
          </rPr>
          <t xml:space="preserve">Info Alberto 30/11/23: Tercer ingreso de 25.490€ en 12 cuotas mensuales de 2.124,17€, primer recibo domiciliado el 25/01/23
</t>
        </r>
      </text>
    </comment>
    <comment ref="CI139" authorId="0" shapeId="0" xr:uid="{58FF1ADE-3FD1-4AF5-8667-DB6990B6AF27}">
      <text>
        <r>
          <rPr>
            <sz val="9"/>
            <color indexed="81"/>
            <rFont val="Tahoma"/>
            <family val="2"/>
          </rPr>
          <t xml:space="preserve">Info Alberto 30/11/23: Tercer ingreso de 25.490€ en 12 cuotas mensuales de 2.124,17€, primer recibo domiciliado el 25/01/23
</t>
        </r>
      </text>
    </comment>
    <comment ref="CJ139" authorId="0" shapeId="0" xr:uid="{F7C181E2-CDC4-4C97-968C-1C6A59782854}">
      <text>
        <r>
          <rPr>
            <sz val="9"/>
            <color indexed="81"/>
            <rFont val="Tahoma"/>
            <family val="2"/>
          </rPr>
          <t xml:space="preserve">Info Alberto 30/11/23: Tercer ingreso de 25.490€ en 12 cuotas mensuales de 2.124,17€, primer recibo domiciliado el 25/01/23
</t>
        </r>
      </text>
    </comment>
    <comment ref="CM139" authorId="0" shapeId="0" xr:uid="{755C84F7-5E2B-4821-BABB-86973378C908}">
      <text>
        <r>
          <rPr>
            <sz val="9"/>
            <color indexed="81"/>
            <rFont val="Tahoma"/>
            <family val="2"/>
          </rPr>
          <t xml:space="preserve">Info Alberto 30/11/23: Tercer ingreso de 25.490€ en 12 cuotas mensuales de 2.124,17€, primer recibo domiciliado el 25/01/23
</t>
        </r>
      </text>
    </comment>
    <comment ref="CN139" authorId="0" shapeId="0" xr:uid="{6EA0A8DB-6F37-46F6-B7BF-A12635857349}">
      <text>
        <r>
          <rPr>
            <sz val="9"/>
            <color indexed="81"/>
            <rFont val="Tahoma"/>
            <family val="2"/>
          </rPr>
          <t xml:space="preserve">Info Alberto 30/11/23: Tercer ingreso de 25.490€ en 12 cuotas mensuales de 2.124,17€, primer recibo domiciliado el 25/01/23
</t>
        </r>
      </text>
    </comment>
    <comment ref="CO139" authorId="0" shapeId="0" xr:uid="{CFB2CF6E-EBF4-4FFB-BE04-F8D14A445261}">
      <text>
        <r>
          <rPr>
            <sz val="9"/>
            <color indexed="81"/>
            <rFont val="Tahoma"/>
            <family val="2"/>
          </rPr>
          <t xml:space="preserve">Info Alberto 30/11/23: Tercer ingreso de 25.490€ en 12 cuotas mensuales de 2.124,17€, primer recibo domiciliado el 25/01/23
</t>
        </r>
      </text>
    </comment>
    <comment ref="CP139" authorId="0" shapeId="0" xr:uid="{6AB704AC-FB28-4688-A9FB-36A31E7A0F77}">
      <text>
        <r>
          <rPr>
            <sz val="9"/>
            <color indexed="81"/>
            <rFont val="Tahoma"/>
            <family val="2"/>
          </rPr>
          <t xml:space="preserve">Info Alberto 30/11/23: Tercer ingreso de 25.490€ en 12 cuotas mensuales de 2.124,17€, primer recibo domiciliado el 25/01/23
</t>
        </r>
      </text>
    </comment>
    <comment ref="B144" authorId="1" shapeId="0" xr:uid="{EE67C225-DD06-4F95-A2F7-F91822083137}">
      <text>
        <r>
          <rPr>
            <b/>
            <sz val="9"/>
            <color indexed="81"/>
            <rFont val="Tahoma"/>
            <family val="2"/>
          </rPr>
          <t>alfonso:</t>
        </r>
        <r>
          <rPr>
            <sz val="9"/>
            <color indexed="81"/>
            <rFont val="Tahoma"/>
            <family val="2"/>
          </rPr>
          <t xml:space="preserve">
prestamo hipotecario BBVA
Inicio: xx/7/2021
Fin: xx/7/2036 
Principal: 400.000 €
Recibos mensuales:  2563¿??? 
Fechas recibos: día xx de cada mes  
Capital pendiente a xx.xx.xx: ,00 €
Tipo: 1,92</t>
        </r>
      </text>
    </comment>
    <comment ref="BJ144" authorId="2" shapeId="0" xr:uid="{9DD37AF6-B782-458A-86E1-BFF4A22D5CDE}">
      <text>
        <r>
          <rPr>
            <sz val="9"/>
            <color indexed="81"/>
            <rFont val="Tahoma"/>
            <family val="2"/>
          </rPr>
          <t>1.956,38: Cuota amortizacion Julio. 
Cargada: 01/08/22.
1.956,51:Cuota amortizacion Julio. 
Cargada: 31/08/22.</t>
        </r>
      </text>
    </comment>
    <comment ref="B147" authorId="1" shapeId="0" xr:uid="{00000000-0006-0000-0100-00004A010000}">
      <text>
        <r>
          <rPr>
            <b/>
            <sz val="9"/>
            <color indexed="81"/>
            <rFont val="Tahoma"/>
            <family val="2"/>
          </rPr>
          <t>alfonso:</t>
        </r>
        <r>
          <rPr>
            <sz val="9"/>
            <color indexed="81"/>
            <rFont val="Tahoma"/>
            <family val="2"/>
          </rPr>
          <t xml:space="preserve">
prestamo ICO Caixa
Inicio: 7/4/2020
Fin: 7/4/2025 (con ampliación a 7/4/28)
Principal: 99.000,00 €
Recibos: 123,75 € cada mes hasta el 7/4/2021 (hasta 7/4/22 con ampliación).
                      2,126,28 cada mes desde el 7/5/2021 a fin.
Fechas recibos: día 7 de cada mes  
Capital pendiente a 31.12.20: 99.000,00 €
Tipo: 1,50</t>
        </r>
      </text>
    </comment>
    <comment ref="B150" authorId="0" shapeId="0" xr:uid="{C48CF1C6-4315-418D-AC98-E0ADB7DEA3F5}">
      <text>
        <r>
          <rPr>
            <b/>
            <sz val="9"/>
            <color indexed="81"/>
            <rFont val="Tahoma"/>
            <family val="2"/>
          </rPr>
          <t>Póliza de Crédito:</t>
        </r>
        <r>
          <rPr>
            <sz val="9"/>
            <color indexed="81"/>
            <rFont val="Tahoma"/>
            <family val="2"/>
          </rPr>
          <t xml:space="preserve">
Importe: 75.000€
Plazo: 1 año, renovable hasta 3
Comisiones de apertura y estudio: 0
Tipo de interés: Euribor+4,45%
</t>
        </r>
      </text>
    </comment>
    <comment ref="CE150" authorId="0" shapeId="0" xr:uid="{C5851FC7-BA05-4B82-8142-40EBB344CF28}">
      <text>
        <r>
          <rPr>
            <b/>
            <sz val="9"/>
            <color indexed="81"/>
            <rFont val="Tahoma"/>
            <family val="2"/>
          </rPr>
          <t>Anotada devolución por si no renuevan, al ser una poliza anual</t>
        </r>
      </text>
    </comment>
    <comment ref="B153" authorId="0" shapeId="0" xr:uid="{BB818695-6B57-4ABD-B9F6-AA67E9B08394}">
      <text>
        <r>
          <rPr>
            <sz val="9"/>
            <color indexed="81"/>
            <rFont val="Tahoma"/>
            <family val="2"/>
          </rPr>
          <t xml:space="preserve">Octubre 2023:
Importe: 75.000€
Plazo: 8 años, renovable año a año hasta 8
Comisiones de apertura y estudio: 0
Tipo de interés: Euribor+2,25%
Comisión de cancelación anticipada: 1%.
Comisión de apertura/renovación sobre el global de 175.000 euros: 0,55%
</t>
        </r>
      </text>
    </comment>
    <comment ref="CA153" authorId="0" shapeId="0" xr:uid="{921B6C21-8974-4A1C-9A2F-FEDEA349E5A3}">
      <text>
        <r>
          <rPr>
            <b/>
            <sz val="9"/>
            <color indexed="81"/>
            <rFont val="Tahoma"/>
            <family val="2"/>
          </rPr>
          <t xml:space="preserve">Anotado en previsión: 1031,16€
------------------------
</t>
        </r>
        <r>
          <rPr>
            <sz val="9"/>
            <color indexed="81"/>
            <rFont val="Tahoma"/>
            <family val="2"/>
          </rPr>
          <t>583,49€: Amortización de capital</t>
        </r>
        <r>
          <rPr>
            <b/>
            <sz val="9"/>
            <color indexed="81"/>
            <rFont val="Tahoma"/>
            <family val="2"/>
          </rPr>
          <t xml:space="preserve">
</t>
        </r>
        <r>
          <rPr>
            <sz val="9"/>
            <color indexed="81"/>
            <rFont val="Tahoma"/>
            <family val="2"/>
          </rPr>
          <t xml:space="preserve">
996,23€: Cargado Bankinter: 10/11/23</t>
        </r>
      </text>
    </comment>
    <comment ref="CB153" authorId="0" shapeId="0" xr:uid="{B3EBF47C-9486-4D37-8B24-A0DFADC40126}">
      <text>
        <r>
          <rPr>
            <b/>
            <sz val="9"/>
            <color indexed="81"/>
            <rFont val="Tahoma"/>
            <family val="2"/>
          </rPr>
          <t xml:space="preserve">Anotado en previsión: 1031,16€
------------------------
</t>
        </r>
        <r>
          <rPr>
            <sz val="9"/>
            <color indexed="81"/>
            <rFont val="Tahoma"/>
            <family val="2"/>
          </rPr>
          <t xml:space="preserve">613,37€: Amortización de capital
</t>
        </r>
        <r>
          <rPr>
            <b/>
            <sz val="9"/>
            <color indexed="81"/>
            <rFont val="Tahoma"/>
            <family val="2"/>
          </rPr>
          <t xml:space="preserve">
</t>
        </r>
        <r>
          <rPr>
            <sz val="9"/>
            <color indexed="81"/>
            <rFont val="Tahoma"/>
            <family val="2"/>
          </rPr>
          <t>1.001,33€: Cargado Bankinter: 11/12/23</t>
        </r>
      </text>
    </comment>
    <comment ref="CC153" authorId="0" shapeId="0" xr:uid="{62B8F44E-562A-46AA-86D9-DF69FAA445FD}">
      <text>
        <r>
          <rPr>
            <b/>
            <sz val="9"/>
            <color indexed="81"/>
            <rFont val="Tahoma"/>
            <family val="2"/>
          </rPr>
          <t xml:space="preserve">Anotado en previsión: 1031,16€
------------------------
</t>
        </r>
        <r>
          <rPr>
            <sz val="9"/>
            <color indexed="81"/>
            <rFont val="Tahoma"/>
            <family val="2"/>
          </rPr>
          <t>621,85€: Amortización de capital
997,32€: Cargado Bankinter: 10/01/24</t>
        </r>
      </text>
    </comment>
    <comment ref="CD153" authorId="0" shapeId="0" xr:uid="{D8D737A0-D117-40C9-9084-238718810F76}">
      <text>
        <r>
          <rPr>
            <b/>
            <sz val="9"/>
            <color indexed="81"/>
            <rFont val="Tahoma"/>
            <family val="2"/>
          </rPr>
          <t xml:space="preserve">Anotado en previsión: 1031,16€
------------------------
</t>
        </r>
        <r>
          <rPr>
            <sz val="9"/>
            <color indexed="81"/>
            <rFont val="Tahoma"/>
            <family val="2"/>
          </rPr>
          <t>623,58€: Amortización de capital
993,12€: Cargado Bankinter: 10/02/24</t>
        </r>
      </text>
    </comment>
    <comment ref="CE153" authorId="0" shapeId="0" xr:uid="{A9B20E09-AD75-49A7-84D3-A261436991F1}">
      <text>
        <r>
          <rPr>
            <b/>
            <sz val="9"/>
            <color indexed="81"/>
            <rFont val="Tahoma"/>
            <family val="2"/>
          </rPr>
          <t xml:space="preserve">Anotado en previsión: 1031,16€
------------------------
</t>
        </r>
        <r>
          <rPr>
            <sz val="9"/>
            <color indexed="81"/>
            <rFont val="Tahoma"/>
            <family val="2"/>
          </rPr>
          <t>624,08€: Amortización de capital
970,32€: Cargado Bankinter: 11/03/24</t>
        </r>
      </text>
    </comment>
    <comment ref="B156" authorId="0" shapeId="0" xr:uid="{3844E18E-FE38-469B-9AD5-FB951BBD84C5}">
      <text>
        <r>
          <rPr>
            <b/>
            <sz val="9"/>
            <color indexed="81"/>
            <rFont val="Tahoma"/>
            <family val="2"/>
          </rPr>
          <t>Póliza de Crédito:</t>
        </r>
        <r>
          <rPr>
            <sz val="9"/>
            <color indexed="81"/>
            <rFont val="Tahoma"/>
            <family val="2"/>
          </rPr>
          <t xml:space="preserve">
Importe: 100.000€
Plazo: 8 años, renovable año a año
Comisiones de apertura y estudio: 0
Tipo de interés: Euribor+1,80%
Comisión saldo medio no dispuesto: 1,25%
Comisión de cancelación anticipada: 0.
Comisión de apertura/renovación sobre el global de 175.000 euros: 0,55%
</t>
        </r>
      </text>
    </comment>
    <comment ref="V162" authorId="1" shapeId="0" xr:uid="{00000000-0006-0000-0100-00004B010000}">
      <text>
        <r>
          <rPr>
            <b/>
            <sz val="8"/>
            <color indexed="81"/>
            <rFont val="Tahoma"/>
            <family val="2"/>
          </rPr>
          <t>alfonso:</t>
        </r>
        <r>
          <rPr>
            <sz val="8"/>
            <color indexed="81"/>
            <rFont val="Tahoma"/>
            <family val="2"/>
          </rPr>
          <t xml:space="preserve">
Nomina + S.Social Juan Pedro pagada por Nixal:
Liquido
</t>
        </r>
        <r>
          <rPr>
            <b/>
            <sz val="8"/>
            <color indexed="81"/>
            <rFont val="Tahoma"/>
            <family val="2"/>
          </rPr>
          <t>1265,25</t>
        </r>
        <r>
          <rPr>
            <sz val="8"/>
            <color indexed="81"/>
            <rFont val="Tahoma"/>
            <family val="2"/>
          </rPr>
          <t xml:space="preserve">*2 (Hay dos nominas pq una es de junio que se paga el 1/7)
S.Social
487,50 Empresa
95,25 Trabajador
</t>
        </r>
        <r>
          <rPr>
            <b/>
            <sz val="8"/>
            <color indexed="81"/>
            <rFont val="Tahoma"/>
            <family val="2"/>
          </rPr>
          <t xml:space="preserve">TOTAL582,75
</t>
        </r>
        <r>
          <rPr>
            <sz val="8"/>
            <color indexed="81"/>
            <rFont val="Tahoma"/>
            <family val="2"/>
          </rPr>
          <t xml:space="preserve">
No anotamos aquí el IRPF
</t>
        </r>
      </text>
    </comment>
    <comment ref="W162" authorId="1" shapeId="0" xr:uid="{00000000-0006-0000-0100-00004C010000}">
      <text>
        <r>
          <rPr>
            <b/>
            <sz val="8"/>
            <color indexed="81"/>
            <rFont val="Tahoma"/>
            <family val="2"/>
          </rPr>
          <t>alfonso:</t>
        </r>
        <r>
          <rPr>
            <sz val="8"/>
            <color indexed="81"/>
            <rFont val="Tahoma"/>
            <family val="2"/>
          </rPr>
          <t xml:space="preserve">
Nomina + S.Social Juan Pedro pagada por Nixal:
1265,25+582,75
</t>
        </r>
      </text>
    </comment>
    <comment ref="AL162" authorId="1" shapeId="0" xr:uid="{00000000-0006-0000-0100-00004D010000}">
      <text>
        <r>
          <rPr>
            <sz val="9"/>
            <color indexed="81"/>
            <rFont val="Tahoma"/>
            <family val="2"/>
          </rPr>
          <t>4112,04 entra de caja molino y sale este mismo mes como devolución  Alberto
1710,88 se restan aquí y se añaden en otra fila para separarlo de Molino sociedad</t>
        </r>
      </text>
    </comment>
    <comment ref="AT162" authorId="2" shapeId="0" xr:uid="{D2232FC4-0552-4192-9FB3-BC90518312E4}">
      <text>
        <r>
          <rPr>
            <sz val="9"/>
            <color indexed="81"/>
            <rFont val="Tahoma"/>
            <family val="2"/>
          </rPr>
          <t xml:space="preserve">Traspaso Caixa Nixal a Caixa Molino.  
Cargado el 25/05/21.
</t>
        </r>
      </text>
    </comment>
    <comment ref="BG162" authorId="2" shapeId="0" xr:uid="{FCA20D2F-E424-4D17-9FD9-2E54930A3FA0}">
      <text>
        <r>
          <rPr>
            <sz val="9"/>
            <color indexed="81"/>
            <rFont val="Tahoma"/>
            <family val="2"/>
          </rPr>
          <t>2.000,00€ : Prestamo nixal-molino el 06/05/22.
2.500,00€ : Prestamo nixal-molino el 06/05/22.
3.000,00€ : Prestamo nixal-molino el 12/05/22.
8.930,00 : Prestamo nixal-molino el 24/05/22. 
15.129,86€ : Prestamo nixal-molino el 24/05/22.
10.000,00€: Prestamo nixal-molino el 31/05/22.</t>
        </r>
      </text>
    </comment>
    <comment ref="BH162" authorId="2" shapeId="0" xr:uid="{BB333219-7458-4861-800E-AE02A77EA89B}">
      <text>
        <r>
          <rPr>
            <sz val="9"/>
            <color indexed="81"/>
            <rFont val="Tahoma"/>
            <family val="2"/>
          </rPr>
          <t xml:space="preserve">3.000,00€ : Prestamo nixal-molino el 02/06/22.
2.000,00€ : Prestamo nixal-molino el 03/06/22.
20.000,00€ : Prestamo nixal-molino el 07/06/22.
23.000,00€: Prestamo nixal-molino el 14/06/22. 
6.500,00€: Prestamo nixal-molino el 30/06/22. </t>
        </r>
      </text>
    </comment>
    <comment ref="BJ162" authorId="2" shapeId="0" xr:uid="{1D417CD5-872C-4196-A5AA-45EAEE71B650}">
      <text>
        <r>
          <rPr>
            <sz val="9"/>
            <color indexed="81"/>
            <rFont val="Tahoma"/>
            <family val="2"/>
          </rPr>
          <t>7.000,00€ : Prestamo nixal-molino el 01/08/22.
46.000,00€ : Prestamo nixal-molino el 10/08/22.
3.000,00€ : Prestamo nixal-molino el 18/08/22.
2.000,00€ : Prestamo nixal-molino el 25/08/22.
8.930,00€: PRESTAMO PARA HIOTECARIO. 
16.000,00€ : Prestamo nixal-molino el 31/08/22.
-----------------------------------------------------------------
32.400,00€: prestamo Nixal-Las corchas.</t>
        </r>
      </text>
    </comment>
    <comment ref="BL162" authorId="2" shapeId="0" xr:uid="{7F9BAB73-2C33-4A33-A848-715242E151AF}">
      <text>
        <r>
          <rPr>
            <sz val="9"/>
            <color indexed="81"/>
            <rFont val="Tahoma"/>
            <family val="2"/>
          </rPr>
          <t>17.000€ : Prestamo nixal-molino el 14/09/22.
92.000€ : Prestamo nixal-molino el 23/09/22.
20.000,00€: Prestamo nixal-molino el 23/09/22.
7.000€: Prestamo nixal-molino el 29/09/22. 
-----------------------------------------------------------------
1.400,00€: prestamo Nixal-Las corchas 16/09/22.</t>
        </r>
      </text>
    </comment>
    <comment ref="BM162" authorId="2" shapeId="0" xr:uid="{3C99E782-D279-4143-B4D4-A37224202D66}">
      <text>
        <r>
          <rPr>
            <sz val="9"/>
            <color indexed="81"/>
            <rFont val="Tahoma"/>
            <family val="2"/>
          </rPr>
          <t>2.000€ : Prestamo nixal-molino el 10/10/22.
4.000€ : Prestamo nixal-molino el 11/10/22.
8.700€ : Prestamo nixal-molino el 11/10/22.
10.000€ : Prestamo nixal-molino el 13/10/22.
11.000€ : Prestamo nixal-molino el 13/10/22.
2.000€ : Prestamo nixal-molino el 17/10/22.
13.000,00: Prestamo nixal-molino el 21/10/22.</t>
        </r>
      </text>
    </comment>
    <comment ref="BN162" authorId="0" shapeId="0" xr:uid="{95168504-2EED-4E6C-BAD6-DCC825CC166C}">
      <text>
        <r>
          <rPr>
            <sz val="9"/>
            <color indexed="81"/>
            <rFont val="Tahoma"/>
            <family val="2"/>
          </rPr>
          <t>-3.000€ : Prestamo nixal-molino el 04/11/22.
-23.000€ : Prestamo nixal-molino el 09/11/22.
-19.000€: Prestamo Nixal-Molino el 16/11/22.
-22.000€ : Prestamo nixal-molino el 24/11/22.
-8.930€ : Prestamo nixal-molino el 25/11/22.
-6.000€ : Prestamo nixal-molino el 29/11/22.</t>
        </r>
      </text>
    </comment>
    <comment ref="BO162" authorId="0" shapeId="0" xr:uid="{C2143817-81F1-402B-9FAD-0071F6BE8AF0}">
      <text>
        <r>
          <rPr>
            <sz val="9"/>
            <color indexed="81"/>
            <rFont val="Tahoma"/>
            <family val="2"/>
          </rPr>
          <t>2.000€ : Prestamo nixal-molino el 01/12/22.
20.000€ : Prestamo nixal-molino el 07/12/22
5.000€ : Prestamo nixal-molino el 01/12/22
78.000€: Prestamo nixal-molino el 28/12/22
1.500€: Prestamo nixal-molino el 30/12/22</t>
        </r>
      </text>
    </comment>
    <comment ref="BP162" authorId="0" shapeId="0" xr:uid="{7273C504-6517-461F-8591-05DD61996C70}">
      <text>
        <r>
          <rPr>
            <sz val="9"/>
            <color indexed="81"/>
            <rFont val="Tahoma"/>
            <family val="2"/>
          </rPr>
          <t>2.000€: prestamo nixal-molino el 04/01/23.
2.000€: prestamo nixal-molino el 12/01/23
8.000€: prestamo nixal-molino el 19/01/23
28.000€: prestamo nixal-molino el 24/01/23.
5.000€: prestamo nixal-molino el 26/01/23.
68.000€: prestamo nixal-molino el 30/01/23.</t>
        </r>
      </text>
    </comment>
    <comment ref="BQ162" authorId="0" shapeId="0" xr:uid="{D583634D-BF29-49EE-8E08-E3B284D1C73A}">
      <text>
        <r>
          <rPr>
            <sz val="9"/>
            <color indexed="81"/>
            <rFont val="Tahoma"/>
            <family val="2"/>
          </rPr>
          <t>5.000€: prestamo nixal-molino el 10/02/23.
3.000€: prestamo nixal-molino el 17/02/23.
12.000€: prestamo nixal-molino el 17/02/23.
8.930,00€ : prestamo nixal-molino el 25/02/23.
2.000€: prestamo nixal-molino el 27/02/23.</t>
        </r>
      </text>
    </comment>
    <comment ref="BR162" authorId="0" shapeId="0" xr:uid="{8EA00138-B944-40F5-8AFA-42E95DC6EBC2}">
      <text>
        <r>
          <rPr>
            <sz val="9"/>
            <color indexed="81"/>
            <rFont val="Tahoma"/>
            <family val="2"/>
          </rPr>
          <t xml:space="preserve">4.000€: prestamo nixal-molino el 01/03/23.
3.000€: prestamo nixal-molino el 03/03/23.
5.000€: prestamo nixal-molino el 09/03/23.
6.000€: prestamo nixal-molino el 16/03/23.
10.000€: prestamo nixal-molino el 17/03/23.
11.000€: prestamo nixal-molino el 24/03/23.
3.000€: prestamo nixal-molino el 29/03/23.
2.000€: prestamo nixal-molino el 31/03/23.
</t>
        </r>
      </text>
    </comment>
    <comment ref="BS162" authorId="0" shapeId="0" xr:uid="{1E4F5A00-4D8C-4CC8-90D3-4994715A635C}">
      <text>
        <r>
          <rPr>
            <sz val="9"/>
            <color indexed="81"/>
            <rFont val="Tahoma"/>
            <family val="2"/>
          </rPr>
          <t xml:space="preserve">10.000€: prestamo nixal-molino el 04/04/23.
6.000€: prestamo nixal-molino el 05/04/23.
3.000€: prestamo nixal-molino el 28/04/23.
820€: prestamo nixal-molino REFO el 28/04/23.
</t>
        </r>
        <r>
          <rPr>
            <b/>
            <sz val="9"/>
            <color indexed="81"/>
            <rFont val="Tahoma"/>
            <family val="2"/>
          </rPr>
          <t xml:space="preserve">
</t>
        </r>
      </text>
    </comment>
    <comment ref="BT162" authorId="0" shapeId="0" xr:uid="{38D83C42-FCA7-4929-BBEF-4EE78AE20C8C}">
      <text>
        <r>
          <rPr>
            <sz val="9"/>
            <color indexed="81"/>
            <rFont val="Tahoma"/>
            <family val="2"/>
          </rPr>
          <t>23.000€: prestamo nixal-molino el 08/05/23.
4.425€: prestamo nixal-molino REFO el 08/05/23.
25.000€: prestamo nixal-molino el 15/05/23.
3.000€: prestamo nixal-molino el 24/05/23.
8.930€ : prestamo nixal-molino el 25/05/23.
2.000€: prestamo nixal-molino el 26/05/23.
-10.000€: prestamo molino-nixal el 31/05/23.</t>
        </r>
      </text>
    </comment>
    <comment ref="BU162" authorId="0" shapeId="0" xr:uid="{84EDE5A8-1025-4A72-9772-61850C43D107}">
      <text>
        <r>
          <rPr>
            <sz val="9"/>
            <color indexed="81"/>
            <rFont val="Tahoma"/>
            <family val="2"/>
          </rPr>
          <t xml:space="preserve">7635€: prestamo nixal-molino REFO el 07/06/23.
10.945€: préstamo Nixal - Molino REFO el 28/06/23.
</t>
        </r>
      </text>
    </comment>
    <comment ref="BV162" authorId="0" shapeId="0" xr:uid="{D907FD38-5475-4E11-BCD6-F72084D392FB}">
      <text>
        <r>
          <rPr>
            <sz val="9"/>
            <color indexed="81"/>
            <rFont val="Tahoma"/>
            <family val="2"/>
          </rPr>
          <t xml:space="preserve">4.024€: prestamo nixal-REFO el 17/07/23.
13.000€:prestamo nixal-REFO el 19/07/23.
2.000€:prestamo nixal el 27/07/23.
</t>
        </r>
      </text>
    </comment>
    <comment ref="BW162" authorId="2" shapeId="0" xr:uid="{7C7DA1DA-319D-494C-BD12-7D368E521DBA}">
      <text>
        <r>
          <rPr>
            <sz val="9"/>
            <color indexed="81"/>
            <rFont val="Tahoma"/>
            <family val="2"/>
          </rPr>
          <t>3.365€: prestamo nixal-REFO el 03/08/23.
99,54€: Prestamo nixal-molino el 29/08/23 por el total 6.000€ (resto en compensación gastos).
6.000€: Prestamo nixal-molino el 25/08/23</t>
        </r>
      </text>
    </comment>
    <comment ref="AQ165" authorId="0" shapeId="0" xr:uid="{C18B177F-1FF8-4929-A382-3B9649D9D3DE}">
      <text>
        <r>
          <rPr>
            <b/>
            <sz val="9"/>
            <color indexed="81"/>
            <rFont val="Tahoma"/>
            <family val="2"/>
          </rPr>
          <t>3000E: Aportación de capital NIXAL AGRI, cargado en caixa 02/02/21.
---------------------------</t>
        </r>
      </text>
    </comment>
    <comment ref="BW165" authorId="0" shapeId="0" xr:uid="{115DE79C-2EBE-4177-8280-D83FC4BF9B0A}">
      <text>
        <r>
          <rPr>
            <b/>
            <sz val="9"/>
            <color indexed="81"/>
            <rFont val="Tahoma"/>
            <family val="2"/>
          </rPr>
          <t>4000€: Préstamo Nixal 29/08/23</t>
        </r>
      </text>
    </comment>
    <comment ref="BY165" authorId="2" shapeId="0" xr:uid="{913703AF-D8EA-4DCF-8B1B-F2311B0A60CF}">
      <text>
        <r>
          <rPr>
            <sz val="9"/>
            <color indexed="81"/>
            <rFont val="Tahoma"/>
            <family val="2"/>
          </rPr>
          <t>2.000,00€: Traspaso de fondos 15/09/23.
3.000€: Traspaso de fondos 29/09/23.</t>
        </r>
      </text>
    </comment>
    <comment ref="BZ165" authorId="2" shapeId="0" xr:uid="{FC483BD4-3DE0-4063-88C7-7A0AE2528FFB}">
      <text>
        <r>
          <rPr>
            <sz val="9"/>
            <color indexed="81"/>
            <rFont val="Tahoma"/>
            <family val="2"/>
          </rPr>
          <t>3.000€: Traspaso de fondos 03/10/23.
--------------------------------
6.000€: Traspaso de fondos 04/10/23.</t>
        </r>
      </text>
    </comment>
    <comment ref="B167" authorId="1" shapeId="0" xr:uid="{00000000-0006-0000-0100-00004E010000}">
      <text>
        <r>
          <rPr>
            <b/>
            <sz val="9"/>
            <color indexed="81"/>
            <rFont val="Tahoma"/>
            <family val="2"/>
          </rPr>
          <t>alfonso:</t>
        </r>
        <r>
          <rPr>
            <sz val="9"/>
            <color indexed="81"/>
            <rFont val="Tahoma"/>
            <family val="2"/>
          </rPr>
          <t xml:space="preserve">
prestamos a Molino diferentes a transferencias de prestamos (salarios JP, devoluciones de socios…)</t>
        </r>
      </text>
    </comment>
    <comment ref="AL168" authorId="1" shapeId="0" xr:uid="{00000000-0006-0000-0100-00004F010000}">
      <text>
        <r>
          <rPr>
            <sz val="9"/>
            <color indexed="81"/>
            <rFont val="Tahoma"/>
            <family val="2"/>
          </rPr>
          <t>+139,5 irpf de JP que no se desglosa en el prestamo nixal-molino</t>
        </r>
      </text>
    </comment>
    <comment ref="AM168" authorId="1" shapeId="0" xr:uid="{00000000-0006-0000-0100-000050010000}">
      <text>
        <r>
          <rPr>
            <sz val="9"/>
            <color indexed="81"/>
            <rFont val="Tahoma"/>
            <family val="2"/>
          </rPr>
          <t>139,5 irpf de JP que no se desglosa en el prestamo nixal-molino</t>
        </r>
      </text>
    </comment>
    <comment ref="AP168" authorId="1" shapeId="0" xr:uid="{1B2D5B9A-08EF-459F-BF82-13BB37AC7E62}">
      <text>
        <r>
          <rPr>
            <b/>
            <sz val="9"/>
            <color indexed="81"/>
            <rFont val="Tahoma"/>
            <family val="2"/>
          </rPr>
          <t>alfonso:</t>
        </r>
        <r>
          <rPr>
            <sz val="9"/>
            <color indexed="81"/>
            <rFont val="Tahoma"/>
            <family val="2"/>
          </rPr>
          <t xml:space="preserve">
65000+55000 aportación de Alberto via transferencias</t>
        </r>
      </text>
    </comment>
    <comment ref="AY168" authorId="2" shapeId="0" xr:uid="{5A83A493-442E-4D38-9D2A-3157213FC06F}">
      <text>
        <r>
          <rPr>
            <b/>
            <sz val="9"/>
            <color indexed="81"/>
            <rFont val="Tahoma"/>
            <family val="2"/>
          </rPr>
          <t>Aportación de socios Alberto: 
128.000€ transferido de caixa a Paragon.</t>
        </r>
      </text>
    </comment>
    <comment ref="BH168" authorId="2" shapeId="0" xr:uid="{B11EF544-BCE3-4B7E-9889-0FB4B65F3E05}">
      <text>
        <r>
          <rPr>
            <sz val="9"/>
            <color indexed="81"/>
            <rFont val="Tahoma"/>
            <family val="2"/>
          </rPr>
          <t>60.000,00 Eur: devolucion prestamo a Alberto el 29/06/22.
15.000,00 Eur: devolucion prestamo a Alberto el 30/06/22.</t>
        </r>
      </text>
    </comment>
    <comment ref="BO168" authorId="2" shapeId="0" xr:uid="{D495FD9F-41DF-4FEF-8942-CAC47F562C48}">
      <text>
        <r>
          <rPr>
            <b/>
            <sz val="9"/>
            <color indexed="81"/>
            <rFont val="Tahoma"/>
            <family val="2"/>
          </rPr>
          <t xml:space="preserve">Aportación de socios de Alberto.
</t>
        </r>
        <r>
          <rPr>
            <sz val="9"/>
            <color indexed="81"/>
            <rFont val="Tahoma"/>
            <family val="2"/>
          </rPr>
          <t>25000€: Ingresado en Caixa: 05/12/22
50000€: Ingresado en Caixa: 07/12/22
50000€: Ingresado en Caixa: 09/12/22
15000€: Ingresado en Caixa: 20/12/22</t>
        </r>
      </text>
    </comment>
    <comment ref="BY168" authorId="0" shapeId="0" xr:uid="{9B38B592-2727-41C6-9842-8239CF40B895}">
      <text>
        <r>
          <rPr>
            <sz val="9"/>
            <color indexed="81"/>
            <rFont val="Tahoma"/>
            <family val="2"/>
          </rPr>
          <t>2000€: Info Alf 01/09/23: Facturar a Welfare 2000 Eur de nov 22 a oct 23
Fra del 01/09/23
Cobro previsto: septiembre
Abonado Caixa: 05/09/23
Info Alf 04/09/23: Cuando entren los fondos realizar devolución de aportación a Alberto por el mismo importe. 
2000€: Transf. Caixa realizada el 05/09/23</t>
        </r>
      </text>
    </comment>
    <comment ref="BZ168" authorId="0" shapeId="0" xr:uid="{43D75C12-3BB4-429B-976B-53862F035341}">
      <text>
        <r>
          <rPr>
            <sz val="9"/>
            <color indexed="81"/>
            <rFont val="Tahoma"/>
            <family val="2"/>
          </rPr>
          <t>3007,64€= 3165,84 USD/1,0526: Info Alberto 03/10/23: Transferir el importe de los gastos de viaje de Mozambique como aportación socios ya que los pagó con su VISA personal.
3007,64€: Transf. Caixa realizada el 06/10/23</t>
        </r>
      </text>
    </comment>
    <comment ref="CB168" authorId="2" shapeId="0" xr:uid="{75874CEB-334C-437D-B7F7-798B41D52F55}">
      <text>
        <r>
          <rPr>
            <b/>
            <sz val="9"/>
            <color indexed="81"/>
            <rFont val="Tahoma"/>
            <family val="2"/>
          </rPr>
          <t xml:space="preserve">Aportación de socios de Alberto.
</t>
        </r>
        <r>
          <rPr>
            <sz val="9"/>
            <color indexed="81"/>
            <rFont val="Tahoma"/>
            <family val="2"/>
          </rPr>
          <t>140000€: Ingresado en Caixa: 05/12/23
---------------------------
1.051,96€= 3918,75 AED (0,2684): Info Alberto 29/12/23: Transferir el importe del hotel en Dubai pagado con su VISA personal.
1.051,96€: Transf. Caixa realizada el 29/12/23</t>
        </r>
      </text>
    </comment>
    <comment ref="CT168" authorId="0" shapeId="0" xr:uid="{2581A3E2-6299-4272-A044-21902F583514}">
      <text>
        <r>
          <rPr>
            <sz val="9"/>
            <color indexed="81"/>
            <rFont val="Tahoma"/>
            <family val="2"/>
          </rPr>
          <t>140.000€: Devolución a Alberto en abril 2025</t>
        </r>
      </text>
    </comment>
    <comment ref="AP169" authorId="1" shapeId="0" xr:uid="{00000000-0006-0000-0100-000051010000}">
      <text>
        <r>
          <rPr>
            <b/>
            <sz val="9"/>
            <color indexed="81"/>
            <rFont val="Tahoma"/>
            <family val="2"/>
          </rPr>
          <t>alfonso:</t>
        </r>
        <r>
          <rPr>
            <sz val="9"/>
            <color indexed="81"/>
            <rFont val="Tahoma"/>
            <family val="2"/>
          </rPr>
          <t xml:space="preserve">
65000+55000 aportación de Alberto via transferencias</t>
        </r>
      </text>
    </comment>
    <comment ref="AY169" authorId="2" shapeId="0" xr:uid="{0D2A96E0-36F2-4986-8F79-ABF4480F6152}">
      <text>
        <r>
          <rPr>
            <b/>
            <sz val="9"/>
            <color indexed="81"/>
            <rFont val="Tahoma"/>
            <family val="2"/>
          </rPr>
          <t>Aportación de socios Alberto: 
128.000€ transferido de caixa a Paragon.</t>
        </r>
      </text>
    </comment>
    <comment ref="BM180" authorId="0" shapeId="0" xr:uid="{101A8D55-72C2-4800-8156-ED49B2243C9B}">
      <text>
        <r>
          <rPr>
            <b/>
            <sz val="9"/>
            <color indexed="81"/>
            <rFont val="Tahoma"/>
            <family val="2"/>
          </rPr>
          <t>30000€: Comunicado por ALF transferencia a realizar cuando él nos de el ok
Transf. Realizada desde Cta VFX en € el 28/10/22</t>
        </r>
      </text>
    </comment>
    <comment ref="BP180" authorId="0" shapeId="0" xr:uid="{38F469E0-820C-48E0-8251-2C3F838360D6}">
      <text>
        <r>
          <rPr>
            <b/>
            <sz val="9"/>
            <color indexed="81"/>
            <rFont val="Tahoma"/>
            <family val="2"/>
          </rPr>
          <t>9600€: Comunicado por ALF transferencia a realizar 
Transf. Realizada desde Cta Caixa el 09/01/23</t>
        </r>
      </text>
    </comment>
    <comment ref="BQ180" authorId="0" shapeId="0" xr:uid="{09A73268-A42D-4DA5-AB85-BB13248B26CD}">
      <text>
        <r>
          <rPr>
            <b/>
            <sz val="9"/>
            <color indexed="81"/>
            <rFont val="Tahoma"/>
            <family val="2"/>
          </rPr>
          <t>8000€: Comunicado por ALB transferencia a realizar 
Transf. Realizada desde Cta Caixa el 08/02/23</t>
        </r>
      </text>
    </comment>
    <comment ref="BP183" authorId="0" shapeId="0" xr:uid="{DD2BFC44-AE93-4961-BD02-3CBFD8273798}">
      <text>
        <r>
          <rPr>
            <b/>
            <sz val="9"/>
            <color indexed="81"/>
            <rFont val="Tahoma"/>
            <family val="2"/>
          </rPr>
          <t>15000€: Comunicado por Alberto transferencia a realizar 
Transf. Realizada desde Cta Caixa el 31/01/23</t>
        </r>
      </text>
    </comment>
    <comment ref="BI186" authorId="0" shapeId="0" xr:uid="{6684D4F8-A38E-47D4-8355-AA65A8BFEA7E}">
      <text>
        <r>
          <rPr>
            <sz val="9"/>
            <color indexed="81"/>
            <rFont val="Tahoma"/>
            <family val="2"/>
          </rPr>
          <t>Control Union Brasil
15000$: Fra del 15/06/22
Proyecto Congo. 
Vcto: Antes del 07/07/22
Info Alberto 22/06/22: Esperar 15 días por si entran los fondos de RAA
Transferencia realizada desde VFX en USD el 14/07/22
Tc: 1,0192</t>
        </r>
      </text>
    </comment>
    <comment ref="BP186" authorId="0" shapeId="0" xr:uid="{81128C37-C59E-4289-9166-79A728E80A29}">
      <text>
        <r>
          <rPr>
            <b/>
            <sz val="9"/>
            <color indexed="81"/>
            <rFont val="Tahoma"/>
            <family val="2"/>
          </rPr>
          <t>3000€: Comunicado por Alberto transferencia a realizar 
Transf. Realizada desde Cta Caixa el 26/01/23</t>
        </r>
      </text>
    </comment>
    <comment ref="BR186" authorId="0" shapeId="0" xr:uid="{05999637-E234-4C83-BD4D-9DAFEFDD010F}">
      <text>
        <r>
          <rPr>
            <sz val="9"/>
            <color indexed="81"/>
            <rFont val="Tahoma"/>
            <family val="2"/>
          </rPr>
          <t>211,47€: Aranguren y Guajardo-Fajardo CB.
Fra Proforma: P- 0008097 del 10/02/23. 
Constitución de Sociedad y Suplidos 
211,47€: Ok Alberto realizar transferencia desde Cta BBVA
08/03: Info ALF realizar ya transfer desde Caixa
Transferencia Caixa realizada el 09/03/23
------------------------------------------
Agustin Cid (entrazos):
Fra: WN-23-13 (24/02/23):
Fra realizada a Agro Energy de Africa:
75€: Imagen -diseño tarjeta visita
385€: Imagen-diseño Logotipo
190+20= 210€: Servidor + dominio
+IVA-IRPF
710,20€: Realizar transf. Caixa
Transf. Caixa realizada el 16/03/23
Se corresponde con pptos:
PRESU397 (19/07/22): 
222,60€: Servidor + dominio
PRESU398 (20/07/22): 
75€+IVA-IRPF: Imagen -diseño tarjeta visita
150€+IVA-IRPF: Web-diseño web aterrizaje basico (no lo incluyen en fra)
385€+IVA-IRPF: Imagen-diseño Logotipo
--------------------------------</t>
        </r>
      </text>
    </comment>
    <comment ref="BU186" authorId="0" shapeId="0" xr:uid="{3A7F96C3-92E5-46F9-9EA4-795AF98C2ED7}">
      <text>
        <r>
          <rPr>
            <sz val="9"/>
            <color indexed="81"/>
            <rFont val="Tahoma"/>
            <family val="2"/>
          </rPr>
          <t xml:space="preserve">Sinver (Liquidación provisión de fondos):
Fra: 23-09 (10/06/23):
Incluye fra honorarios de Sinver Fra realizada a Nixal:
673,29€: Realizar transf. Caixa
Transf. Caixa realizada el 21/06/23
</t>
        </r>
      </text>
    </comment>
    <comment ref="BZ186" authorId="0" shapeId="0" xr:uid="{10378734-ED60-4BA5-9616-95697E26E48F}">
      <text>
        <r>
          <rPr>
            <sz val="9"/>
            <color indexed="81"/>
            <rFont val="Tahoma"/>
            <family val="2"/>
          </rPr>
          <t>Una vez se constituya la sociedad recibiremos el 100% de las facturas pagadas por Nixal relacionadas con el proyecto Congo</t>
        </r>
      </text>
    </comment>
    <comment ref="CA186" authorId="0" shapeId="0" xr:uid="{FEA5C71E-175E-42E9-A404-CCF9D397197B}">
      <text>
        <r>
          <rPr>
            <b/>
            <sz val="9"/>
            <color indexed="81"/>
            <rFont val="Tahoma"/>
            <family val="2"/>
          </rPr>
          <t xml:space="preserve">Fra Legal Sur del 24/03/23. </t>
        </r>
        <r>
          <rPr>
            <sz val="9"/>
            <color indexed="81"/>
            <rFont val="Tahoma"/>
            <family val="2"/>
          </rPr>
          <t xml:space="preserve">
363€: Servicios prestados a Agroenergia pndte devoluc. A MDZ
Pendienter realizar transferencia. 
22/11/23: Ok Alberto realizar transferencia
Transf. Caixa realizada el 23/11/23</t>
        </r>
      </text>
    </comment>
    <comment ref="CB186" authorId="0" shapeId="0" xr:uid="{B1ACA70F-C87E-4E25-BA64-FF050077FDD4}">
      <text>
        <r>
          <rPr>
            <b/>
            <sz val="9"/>
            <color indexed="81"/>
            <rFont val="Tahoma"/>
            <family val="2"/>
          </rPr>
          <t xml:space="preserve">Fra Legal Sur del 26/05/23. 
</t>
        </r>
        <r>
          <rPr>
            <sz val="9"/>
            <color indexed="81"/>
            <rFont val="Tahoma"/>
            <family val="2"/>
          </rPr>
          <t>60,50€: Servicios prestados a Agroenergia pndte devoluc. A MDZ
60,50€: Ok Alberto, realizar transferencia a mediados de junio
Transf. realizada por el total 892,38€ el 15/12/23
---------------------------------------</t>
        </r>
      </text>
    </comment>
    <comment ref="CL186" authorId="0" shapeId="0" xr:uid="{073433C2-8726-404D-9EE2-FB4720EBAE89}">
      <text>
        <r>
          <rPr>
            <sz val="9"/>
            <color indexed="81"/>
            <rFont val="Tahoma"/>
            <family val="2"/>
          </rPr>
          <t xml:space="preserve">
</t>
        </r>
        <r>
          <rPr>
            <b/>
            <sz val="9"/>
            <color indexed="81"/>
            <rFont val="Tahoma"/>
            <family val="2"/>
          </rPr>
          <t xml:space="preserve">Agro Forest Energy:
PRESU398 (20/07/22): </t>
        </r>
        <r>
          <rPr>
            <sz val="9"/>
            <color indexed="81"/>
            <rFont val="Tahoma"/>
            <family val="2"/>
          </rPr>
          <t xml:space="preserve">
150€+IVA-IRPF: Web-diseño web no incluido en fra de febrero
--------------------------------
</t>
        </r>
        <r>
          <rPr>
            <b/>
            <sz val="9"/>
            <color indexed="81"/>
            <rFont val="Tahoma"/>
            <family val="2"/>
          </rPr>
          <t xml:space="preserve">Impresionsur: </t>
        </r>
        <r>
          <rPr>
            <sz val="9"/>
            <color indexed="81"/>
            <rFont val="Tahoma"/>
            <family val="2"/>
          </rPr>
          <t xml:space="preserve">
45€*3= 135€: 200 tarjetas por 3 personas
Mail ALF 25/07/22</t>
        </r>
        <r>
          <rPr>
            <sz val="9"/>
            <color indexed="81"/>
            <rFont val="Tahoma"/>
            <family val="2"/>
          </rPr>
          <t xml:space="preserve">
--------------------------------</t>
        </r>
        <r>
          <rPr>
            <b/>
            <sz val="9"/>
            <color indexed="81"/>
            <rFont val="Tahoma"/>
            <family val="2"/>
          </rPr>
          <t xml:space="preserve">----
</t>
        </r>
      </text>
    </comment>
    <comment ref="BY187" authorId="2" shapeId="0" xr:uid="{9E289258-5E84-47BD-87DC-8D08E77C9E23}">
      <text>
        <r>
          <rPr>
            <b/>
            <sz val="9"/>
            <color indexed="81"/>
            <rFont val="Tahoma"/>
            <family val="2"/>
          </rPr>
          <t xml:space="preserve">Fra Legal Sur del 03/01/23. 
</t>
        </r>
        <r>
          <rPr>
            <sz val="9"/>
            <color indexed="81"/>
            <rFont val="Tahoma"/>
            <family val="2"/>
          </rPr>
          <t>Servicios prestados a Piernaseca, agroenergia y a MDZ : 2.041,88€.
De Agro energía: 637,50*1,21= 771,38 E
Transferencia realizada el 16/03/23.
-------------------------------------------</t>
        </r>
      </text>
    </comment>
    <comment ref="BQ189" authorId="0" shapeId="0" xr:uid="{A4B26840-F92D-4F09-A2CB-43DDAE259B57}">
      <text>
        <r>
          <rPr>
            <b/>
            <sz val="9"/>
            <color indexed="81"/>
            <rFont val="Tahoma"/>
            <family val="2"/>
          </rPr>
          <t>3000€: Comunicado por Alberto transferencia a realizar 
Transf. Realizada desde Cta Caixa el 01/02/23</t>
        </r>
      </text>
    </comment>
    <comment ref="BR189" authorId="0" shapeId="0" xr:uid="{AFA44613-9D41-4221-9873-965955D7280D}">
      <text>
        <r>
          <rPr>
            <sz val="9"/>
            <color indexed="81"/>
            <rFont val="Tahoma"/>
            <family val="2"/>
          </rPr>
          <t>270,76€: Aranguren y Guajardo-Fajardo CB.
Constitución de Sociedad y Suplidos 
270,76€: Ok Alberto realizar transferencia desde Cta BBVA,
08/03: Info ALF realizar ya transfer desde Caixa
Transferencia Caixa realizada el 09/03/23</t>
        </r>
      </text>
    </comment>
    <comment ref="BU189" authorId="0" shapeId="0" xr:uid="{4CAC8C59-E78A-4425-B7D9-9DD3272459F8}">
      <text>
        <r>
          <rPr>
            <sz val="9"/>
            <color indexed="81"/>
            <rFont val="Tahoma"/>
            <family val="2"/>
          </rPr>
          <t xml:space="preserve">Sinver (Liquidación provisión de fondos):
Fra: 23-08 (10/06/23):
Incluye fra honorarios de Sinver Fra realizada a Nixal:
618,34€: Realizar transf. Caixa
Transf. Caixa realizada el 21/06/23
</t>
        </r>
      </text>
    </comment>
    <comment ref="BZ189" authorId="0" shapeId="0" xr:uid="{2609F5A7-F420-4DD7-AB7F-603B05968D62}">
      <text>
        <r>
          <rPr>
            <sz val="9"/>
            <color indexed="81"/>
            <rFont val="Tahoma"/>
            <family val="2"/>
          </rPr>
          <t>Una vez se constituya la sociedad recibiremos el 100% de las facturas pagadas por Nixal relacionadas con el proyecto Congo</t>
        </r>
      </text>
    </comment>
    <comment ref="BY190" authorId="2" shapeId="0" xr:uid="{F761D3FD-9C07-4D98-BAD3-281F13FA90DF}">
      <text>
        <r>
          <rPr>
            <b/>
            <sz val="9"/>
            <color indexed="81"/>
            <rFont val="Tahoma"/>
            <family val="2"/>
          </rPr>
          <t xml:space="preserve">Fra Tecnitasa del 21/02/23.
</t>
        </r>
        <r>
          <rPr>
            <sz val="9"/>
            <color indexed="81"/>
            <rFont val="Tahoma"/>
            <family val="2"/>
          </rPr>
          <t xml:space="preserve">Tasacion finca: 3.211,34€.
Transferencia realizada el 24/02/23.
------------------------
Fra Legal Sur del 03/01/23. 
1134,38 E: 937,50*1,21 E: Servicios prestados a Piernaseca, agroenergia y a MDZ : 2.041,88€.
Transferencia realizada el 16/03/23.
</t>
        </r>
      </text>
    </comment>
    <comment ref="CC197" authorId="2" shapeId="0" xr:uid="{BB1AEF15-0170-4352-9A5C-CAB644D75212}">
      <text>
        <r>
          <rPr>
            <sz val="9"/>
            <color indexed="81"/>
            <rFont val="Tahoma"/>
            <family val="2"/>
          </rPr>
          <t xml:space="preserve">
</t>
        </r>
        <r>
          <rPr>
            <b/>
            <sz val="9"/>
            <color indexed="81"/>
            <rFont val="Tahoma"/>
            <family val="2"/>
          </rPr>
          <t>Fra 83 La Gestora del Kiosko del 24/04/23.</t>
        </r>
        <r>
          <rPr>
            <sz val="9"/>
            <color indexed="81"/>
            <rFont val="Tahoma"/>
            <family val="2"/>
          </rPr>
          <t xml:space="preserve">
9 chuletones: 339,05€. 
Abonado:18/01/24 en Caixa de NA, pendiente hacer transfer. 
Transferencia desde Cta Nixal Agri abonada el 29/01/24
-------------------------------------------------------
</t>
        </r>
        <r>
          <rPr>
            <b/>
            <sz val="9"/>
            <color indexed="81"/>
            <rFont val="Tahoma"/>
            <family val="2"/>
          </rPr>
          <t>Fra 90 GMI del 12/06/23.</t>
        </r>
        <r>
          <rPr>
            <sz val="9"/>
            <color indexed="81"/>
            <rFont val="Tahoma"/>
            <family val="2"/>
          </rPr>
          <t xml:space="preserve">
9 chuletones: 170,12€. 
Abonado: 16/01/24</t>
        </r>
      </text>
    </comment>
    <comment ref="CD197" authorId="2" shapeId="0" xr:uid="{40E0436C-AF9F-4CB8-937A-88705E23D644}">
      <text>
        <r>
          <rPr>
            <b/>
            <sz val="9"/>
            <color indexed="81"/>
            <rFont val="Tahoma"/>
            <family val="2"/>
          </rPr>
          <t>Factura 67 gestkitchen restauracion del 23/02/23.</t>
        </r>
        <r>
          <rPr>
            <sz val="9"/>
            <color indexed="81"/>
            <rFont val="Tahoma"/>
            <family val="2"/>
          </rPr>
          <t xml:space="preserve">
6 chuletones: 134,58€. 
Abonado: 20/02/24
--------------------------------------------
</t>
        </r>
        <r>
          <rPr>
            <sz val="9"/>
            <color indexed="81"/>
            <rFont val="Tahoma"/>
            <family val="2"/>
          </rPr>
          <t xml:space="preserve">
</t>
        </r>
      </text>
    </comment>
    <comment ref="CF197" authorId="2" shapeId="0" xr:uid="{D952BF3D-288D-4210-AB89-86384AA0B85E}">
      <text>
        <r>
          <rPr>
            <b/>
            <sz val="9"/>
            <color indexed="81"/>
            <rFont val="Tahoma"/>
            <family val="2"/>
          </rPr>
          <t>Fra 55 de José Camacho Orta 30/09/22.</t>
        </r>
        <r>
          <rPr>
            <sz val="9"/>
            <color indexed="81"/>
            <rFont val="Tahoma"/>
            <family val="2"/>
          </rPr>
          <t xml:space="preserve">
Lomo alto, lomo bajo y Entraña de vaca: 559,64€. + iva=615,60
50% molino y 50% masero.
Abonado: 
-------------------------------------------------------</t>
        </r>
        <r>
          <rPr>
            <sz val="9"/>
            <color indexed="81"/>
            <rFont val="Tahoma"/>
            <family val="2"/>
          </rPr>
          <t xml:space="preserve">
</t>
        </r>
        <r>
          <rPr>
            <b/>
            <sz val="9"/>
            <color indexed="81"/>
            <rFont val="Tahoma"/>
            <family val="2"/>
          </rPr>
          <t>Fra 78 Jose Camacho Orta del 28/03/23.</t>
        </r>
        <r>
          <rPr>
            <sz val="9"/>
            <color indexed="81"/>
            <rFont val="Tahoma"/>
            <family val="2"/>
          </rPr>
          <t xml:space="preserve">
6 chuletones: 121,93€. 
Abonado:
--------------------------------------------------------
</t>
        </r>
      </text>
    </comment>
    <comment ref="BY198" authorId="2" shapeId="0" xr:uid="{2DAF3736-E9E4-4FB6-991C-044B2606596F}">
      <text>
        <r>
          <rPr>
            <sz val="9"/>
            <color indexed="81"/>
            <rFont val="Tahoma"/>
            <family val="2"/>
          </rPr>
          <t>Previsión Alfonso ventas fresco:
compras Sebas piezas nobles a 150 kg/mes para consumir stock propio de 750 Kg en nobles, se gasta en 5 meses
----------------------------------------------</t>
        </r>
        <r>
          <rPr>
            <b/>
            <sz val="9"/>
            <color indexed="81"/>
            <rFont val="Tahoma"/>
            <family val="2"/>
          </rPr>
          <t xml:space="preserve">
Fra 92 Gapestore del 10/07/23.
</t>
        </r>
        <r>
          <rPr>
            <sz val="9"/>
            <color indexed="81"/>
            <rFont val="Tahoma"/>
            <family val="2"/>
          </rPr>
          <t xml:space="preserve">Varios: 2.277,03€. 
Abonado: 29/09/23.
</t>
        </r>
      </text>
    </comment>
    <comment ref="CA202" authorId="2" shapeId="0" xr:uid="{FDB01CFA-097F-4CA8-9795-93E993B975CC}">
      <text>
        <r>
          <rPr>
            <b/>
            <sz val="9"/>
            <color indexed="81"/>
            <rFont val="Tahoma"/>
            <family val="2"/>
          </rPr>
          <t xml:space="preserve">Fra Agencia Puente del 17/08/23. </t>
        </r>
        <r>
          <rPr>
            <sz val="9"/>
            <color indexed="81"/>
            <rFont val="Tahoma"/>
            <family val="2"/>
          </rPr>
          <t>Transporte de Cal
Abono: 471,90€ 
Pendiente realizar transferencia. 
Transferencia Caixa realizada el 16/11/23</t>
        </r>
      </text>
    </comment>
    <comment ref="CB203" authorId="1" shapeId="0" xr:uid="{FBF25659-EC86-4B75-B9C6-DF81A7DC480F}">
      <text>
        <r>
          <rPr>
            <b/>
            <sz val="9"/>
            <color indexed="81"/>
            <rFont val="Tahoma"/>
            <family val="2"/>
          </rPr>
          <t>Fra Eduardo Manuel Masero del 16/05/23.</t>
        </r>
        <r>
          <rPr>
            <sz val="9"/>
            <color indexed="81"/>
            <rFont val="Tahoma"/>
            <family val="2"/>
          </rPr>
          <t xml:space="preserve">
4.425,06€: 6 terneros
Transferencia Caixa realizada: 15/12/23
---------------------------------------------
</t>
        </r>
      </text>
    </comment>
    <comment ref="BY204" authorId="2" shapeId="0" xr:uid="{DF11CF5B-1F44-425A-8937-5385F6CD50BA}">
      <text>
        <r>
          <rPr>
            <b/>
            <sz val="9"/>
            <color indexed="81"/>
            <rFont val="Tahoma"/>
            <family val="2"/>
          </rPr>
          <t xml:space="preserve">Fra Prozovet del 04/08/23.
</t>
        </r>
        <r>
          <rPr>
            <sz val="9"/>
            <color indexed="81"/>
            <rFont val="Tahoma"/>
            <family val="2"/>
          </rPr>
          <t>Medicinas: 32,00€ 
Domiciliado el 03/09/23.- Cargado el 05/09/23. (antinflamatorio y antibioticos botiquín)</t>
        </r>
        <r>
          <rPr>
            <b/>
            <sz val="9"/>
            <color indexed="81"/>
            <rFont val="Tahoma"/>
            <family val="2"/>
          </rPr>
          <t xml:space="preserve">
------------------------------------
Fra Ovipor pendiente de pedir: 54,03€.
</t>
        </r>
      </text>
    </comment>
    <comment ref="BZ204" authorId="2" shapeId="0" xr:uid="{9AF38FBD-FDD1-4936-B9A6-DBBC74768E4C}">
      <text>
        <r>
          <rPr>
            <b/>
            <sz val="9"/>
            <color indexed="81"/>
            <rFont val="Tahoma"/>
            <family val="2"/>
          </rPr>
          <t xml:space="preserve">Fra Prozovet del 28/08/23.
</t>
        </r>
        <r>
          <rPr>
            <sz val="9"/>
            <color indexed="81"/>
            <rFont val="Tahoma"/>
            <family val="2"/>
          </rPr>
          <t>Medicinas: 486,20€ 
Domiciliado el 27/09/23.(IBR madres).- Cargado: 01/10/23.
-----------------------------------------------
Fra Ovipor _.
4,84€. 
Caragdo: 23/10/23.
Pendiente recibir factura.</t>
        </r>
      </text>
    </comment>
    <comment ref="CB204" authorId="2" shapeId="0" xr:uid="{4E0B522E-588F-46AA-9F27-4005088A2C55}">
      <text>
        <r>
          <rPr>
            <sz val="9"/>
            <color indexed="81"/>
            <rFont val="Tahoma"/>
            <family val="2"/>
          </rPr>
          <t xml:space="preserve">Fra Ovipor (29/11/23):
44,41€. 
Caragdo: 05/12/23.
</t>
        </r>
      </text>
    </comment>
    <comment ref="CD204" authorId="2" shapeId="0" xr:uid="{6AE59680-C9F9-41C5-BDFF-EBA0DA5EC73B}">
      <text>
        <r>
          <rPr>
            <sz val="9"/>
            <color indexed="81"/>
            <rFont val="Tahoma"/>
            <family val="2"/>
          </rPr>
          <t>Fra Ovipor (29/11/23):
33,09€. 
Transf. Caixa 3116 realizada el 06/02/24.
----------------------------------------
Fra Ovipor a nombre de Federico (30/06/23):
36,30€: Retirada de cadáveres
Fra Ovipor a nombre de Federico (30/06/23):
37,21€: Crotales
05/02/24: OK ALF pagar estas fras
73,51€: Transf. Caixa 3116 realizada el 06/02/24.
----------------------------------------
Fra abono Ovipor (31/12/23):
698,22€. 
Abonado Cta Caixa 3116: 17/02/24.</t>
        </r>
      </text>
    </comment>
    <comment ref="BZ205" authorId="2" shapeId="0" xr:uid="{253E1D5D-19E4-4615-A121-79D3E79AFC2A}">
      <text>
        <r>
          <rPr>
            <sz val="9"/>
            <color indexed="81"/>
            <rFont val="Tahoma"/>
            <family val="2"/>
          </rPr>
          <t>AGROSEGURO: 5.030,76€ pago fraccionado en 4 plazos hasta 9 meses. 
Primer pago  638,24 domiciliado el 17/04/2023. 
Segundo pago 1.464,03€ domiciliado el 03/07/23. 
Tercer pago 1.464,17€ domiciliado el 02/10/23.
Cuarto pago 1.464,17€ domiciliado el _.
--------------------------------------------------------------
Indemnizacion Agroseguro: 
- 827,41€.
- 179,87€. 
Pendiente ingreso. 
1007,28€: Ingresado Caixa: 27/10/23</t>
        </r>
      </text>
    </comment>
    <comment ref="CA205" authorId="2" shapeId="0" xr:uid="{81859DD1-8662-48D9-B33D-4CBE0F17C5BE}">
      <text>
        <r>
          <rPr>
            <sz val="9"/>
            <color indexed="81"/>
            <rFont val="Tahoma"/>
            <family val="2"/>
          </rPr>
          <t>AGROSEGURO - Nueva garantía de Partos.
Cargado: 09/11/23.
preguntar a Alfonso.
-------------------------------------------
Indemnización agroseguro: 412,78€.
Abonado Caixa: 17/11/23</t>
        </r>
      </text>
    </comment>
    <comment ref="CC205" authorId="2" shapeId="0" xr:uid="{65B41590-05F9-4688-9EA8-FE5D3EDA58BD}">
      <text>
        <r>
          <rPr>
            <sz val="9"/>
            <color indexed="81"/>
            <rFont val="Tahoma"/>
            <family val="2"/>
          </rPr>
          <t>AGROSEGURO: 5.030,76€ pago fraccionado en 4 plazos hasta 9 meses. 
Primer pago  638,24 domiciliado el 17/04/2023. 
Segundo pago 1.464,03€ domiciliado el 03/07/23. 
Tercer pago 1.464,17€ domiciliado el 02/10/23.
Cuarto pago 1.464,46€ domiciliado el 03/01/24.
Cargado Caixa: 03/01/24
----------------------------------------------------
Indemnizacion Agroseguro por muerte de vaca y ternero: 
- 1.262,70€. 
Pendiente ingreso. 
1.262,70: Pndte Ingreso Caixa
Ingresado Caixa: 06/01/24
----------------------------------------------
Indemnizacion Agroseguro por muerte de vaca y ternero: 
- 315,67€.
- 1.452,10€. 
Pendiente ingreso. 
1.767,77€: Pndte Ingreso Caixa
Ingresado Caixa: 26/01/24</t>
        </r>
      </text>
    </comment>
    <comment ref="CC206" authorId="2" shapeId="0" xr:uid="{EDF9F774-5A75-491B-B59C-076C42CCC3B6}">
      <text>
        <r>
          <rPr>
            <sz val="9"/>
            <color indexed="81"/>
            <rFont val="Tahoma"/>
            <family val="2"/>
          </rPr>
          <t>208€: domiciliación cuota anuela Asaja. 
Cargado Unicaja: 25/01/24</t>
        </r>
      </text>
    </comment>
    <comment ref="CA207" authorId="2" shapeId="0" xr:uid="{E054C167-3DE9-43F8-8735-3D8F0451A6CC}">
      <text>
        <r>
          <rPr>
            <b/>
            <sz val="9"/>
            <color indexed="81"/>
            <rFont val="Tahoma"/>
            <family val="2"/>
          </rPr>
          <t>Fra Cereales Mendez del 18/10/23.</t>
        </r>
        <r>
          <rPr>
            <sz val="9"/>
            <color indexed="81"/>
            <rFont val="Tahoma"/>
            <family val="2"/>
          </rPr>
          <t xml:space="preserve">
Cebada: 6.185,70€. 
Pendiente realizar transferencia. 
Transf. Caixa realizada el 23/11/23
-----------------------------------------------
</t>
        </r>
        <r>
          <rPr>
            <b/>
            <sz val="9"/>
            <color indexed="81"/>
            <rFont val="Tahoma"/>
            <family val="2"/>
          </rPr>
          <t>Fra Ovipor del 26/10/23.</t>
        </r>
        <r>
          <rPr>
            <sz val="9"/>
            <color indexed="81"/>
            <rFont val="Tahoma"/>
            <family val="2"/>
          </rPr>
          <t xml:space="preserve">
Capota de Almendra: 1.853,50€.
Transfrencia realizada el 07/11/23.
-----------------------------------------------
</t>
        </r>
        <r>
          <rPr>
            <b/>
            <sz val="9"/>
            <color indexed="81"/>
            <rFont val="Tahoma"/>
            <family val="2"/>
          </rPr>
          <t>Fra Ovipor del 26/10/23.</t>
        </r>
        <r>
          <rPr>
            <sz val="9"/>
            <color indexed="81"/>
            <rFont val="Tahoma"/>
            <family val="2"/>
          </rPr>
          <t xml:space="preserve">
Capota de Almendra: 1.623,60€.
Transfrencia realizada el 07/11/23.
-----------------------------------------------
</t>
        </r>
        <r>
          <rPr>
            <b/>
            <sz val="9"/>
            <color indexed="81"/>
            <rFont val="Tahoma"/>
            <family val="2"/>
          </rPr>
          <t>Fra Agroquivir del 30/10/23.</t>
        </r>
        <r>
          <rPr>
            <sz val="9"/>
            <color indexed="81"/>
            <rFont val="Tahoma"/>
            <family val="2"/>
          </rPr>
          <t xml:space="preserve">
Hoja de Olivo: 1.422,85€
Pendiente realizar transferencia. 
Transfrencia realizada el 29/11/23.
-----------------------------------------------</t>
        </r>
      </text>
    </comment>
    <comment ref="CB207" authorId="2" shapeId="0" xr:uid="{EBD26003-3E47-4FD4-B8C3-27B2B9B56D5C}">
      <text>
        <r>
          <rPr>
            <b/>
            <sz val="9"/>
            <color indexed="81"/>
            <rFont val="Tahoma"/>
            <family val="2"/>
          </rPr>
          <t>FACTURA 95 del 27/10/23 NC:</t>
        </r>
        <r>
          <rPr>
            <sz val="9"/>
            <color indexed="81"/>
            <rFont val="Tahoma"/>
            <family val="2"/>
          </rPr>
          <t xml:space="preserve">
Por Fra Agroquivir del 30/10/23.
Hoja de Olivo: 1.422,85€
Pndte abono Caixa: 
1.422,85€: Abonado Caixa por el total 16.931,25€ el 20/12/23
-----------------------------------
</t>
        </r>
        <r>
          <rPr>
            <b/>
            <sz val="9"/>
            <color indexed="81"/>
            <rFont val="Tahoma"/>
            <family val="2"/>
          </rPr>
          <t xml:space="preserve">FACTURA 93 del 30/10/23 de NC:. </t>
        </r>
        <r>
          <rPr>
            <sz val="9"/>
            <color indexed="81"/>
            <rFont val="Tahoma"/>
            <family val="2"/>
          </rPr>
          <t xml:space="preserve">
Por pago Fra Cereales Mendez del 18/10/23.
Cebada: 6.185,70€. 
Pndte abono Caixa:
6.185,70€: Abonado Caixa por el total 16.931,25€ el 20/12/23
--------------------------------------
</t>
        </r>
        <r>
          <rPr>
            <b/>
            <sz val="9"/>
            <color indexed="81"/>
            <rFont val="Tahoma"/>
            <family val="2"/>
          </rPr>
          <t>FACTURA 96 del 27/11/23 de NC</t>
        </r>
        <r>
          <rPr>
            <sz val="9"/>
            <color indexed="81"/>
            <rFont val="Tahoma"/>
            <family val="2"/>
          </rPr>
          <t>:
Fra Ovipor del 26/10/23: 1853,50€. 
Fra Ovipor del 26/10/23: 1.623,60€.
Pndte abono en Caixa
3.477,10€: Abonado Caixa por el total 16.931,25€ el 20/12/23
-----------------------------------------------</t>
        </r>
      </text>
    </comment>
    <comment ref="CC207" authorId="2" shapeId="0" xr:uid="{FCF11035-A648-4318-830D-44569D274125}">
      <text>
        <r>
          <rPr>
            <b/>
            <sz val="9"/>
            <color indexed="81"/>
            <rFont val="Tahoma"/>
            <family val="2"/>
          </rPr>
          <t xml:space="preserve">Factura de Antonio Manuel Gonzalez del 28/11/23.
</t>
        </r>
        <r>
          <rPr>
            <sz val="9"/>
            <color indexed="81"/>
            <rFont val="Tahoma"/>
            <family val="2"/>
          </rPr>
          <t>Estiercol: 522,29€.
Transferencia realizada el 11/01/24.</t>
        </r>
        <r>
          <rPr>
            <b/>
            <sz val="9"/>
            <color indexed="81"/>
            <rFont val="Tahoma"/>
            <family val="2"/>
          </rPr>
          <t xml:space="preserve">
-----------------------------------------------
Fra Vertex del 18/05/23.
</t>
        </r>
        <r>
          <rPr>
            <sz val="9"/>
            <color indexed="81"/>
            <rFont val="Tahoma"/>
            <family val="2"/>
          </rPr>
          <t>DDGS: 25,90Ton x 389,00 = 11.082,61€.
Transferncia realizada el 29/09/23.</t>
        </r>
        <r>
          <rPr>
            <b/>
            <sz val="9"/>
            <color indexed="81"/>
            <rFont val="Tahoma"/>
            <family val="2"/>
          </rPr>
          <t xml:space="preserve">
</t>
        </r>
        <r>
          <rPr>
            <sz val="9"/>
            <color indexed="81"/>
            <rFont val="Tahoma"/>
            <family val="2"/>
          </rPr>
          <t xml:space="preserve">VENCIMIENTO EL 26/01/23.
Cargado Caixa: 26/01/24
--------------------------------------------------------
</t>
        </r>
        <r>
          <rPr>
            <b/>
            <sz val="9"/>
            <color indexed="81"/>
            <rFont val="Tahoma"/>
            <family val="2"/>
          </rPr>
          <t>Fra Iberica Feeding del 25/10/23.</t>
        </r>
        <r>
          <rPr>
            <sz val="9"/>
            <color indexed="81"/>
            <rFont val="Tahoma"/>
            <family val="2"/>
          </rPr>
          <t xml:space="preserve">
Alimento Vacas: 10.234,68€ 
Domiciliado el 25/12/23 en caixa.
Cargado Caixa: 02/01/24
FACTURA 98 del 16/01/24 de NC:
Por pago Fra Iberica Feeding del 25/10/23: 10.234,68€. 
Cargo: 02/01/24.
10.234,68€: Abonado Caixa por el total 19.906,51€ el 18/01/24
--------------------------------------------------------
</t>
        </r>
        <r>
          <rPr>
            <b/>
            <sz val="9"/>
            <color indexed="81"/>
            <rFont val="Tahoma"/>
            <family val="2"/>
          </rPr>
          <t>Fra Iberica Feeding del 30/10/23.</t>
        </r>
        <r>
          <rPr>
            <sz val="9"/>
            <color indexed="81"/>
            <rFont val="Tahoma"/>
            <family val="2"/>
          </rPr>
          <t xml:space="preserve">
Alimento Vacas: 9.671,83€ 
Domiciliado el 30/12/23 en caixa.
Cargado Caixa: 02/01/24
FACTURA 99 del 16/01/24 de NC:
Por pago Fra Iberica Feeding del 30/10/23: 9.671,83€. 
Cargo: 02/01/24.
9.671,83€: Abonado Caixa por el total 19.906,51€ el 18/01/24
------------------------------------------------
</t>
        </r>
        <r>
          <rPr>
            <sz val="9"/>
            <color indexed="81"/>
            <rFont val="Tahoma"/>
            <family val="2"/>
          </rPr>
          <t xml:space="preserve">
</t>
        </r>
      </text>
    </comment>
    <comment ref="CD207" authorId="2" shapeId="0" xr:uid="{5EBDB786-C1AE-48D3-90FD-34341ECA1AF6}">
      <text>
        <r>
          <rPr>
            <b/>
            <sz val="9"/>
            <color indexed="81"/>
            <rFont val="Tahoma"/>
            <family val="2"/>
          </rPr>
          <t xml:space="preserve">Fra Agroquivir del 07/07/23. </t>
        </r>
        <r>
          <rPr>
            <sz val="9"/>
            <color indexed="81"/>
            <rFont val="Tahoma"/>
            <family val="2"/>
          </rPr>
          <t xml:space="preserve">
Cebada: 6.629,40€. 
Cargo el 01/02/24
Cargado Caixa: 01/02/24
-----------------------------------------
</t>
        </r>
        <r>
          <rPr>
            <b/>
            <sz val="9"/>
            <color indexed="81"/>
            <rFont val="Tahoma"/>
            <family val="2"/>
          </rPr>
          <t>Fra Agroquivir del 27/07/23.</t>
        </r>
        <r>
          <rPr>
            <sz val="9"/>
            <color indexed="81"/>
            <rFont val="Tahoma"/>
            <family val="2"/>
          </rPr>
          <t xml:space="preserve"> 
Cebada: 6.517,44€. 
Cargo el 01/02/24
Cargado Caixa: 01/02/24
-----------------------------------------
</t>
        </r>
        <r>
          <rPr>
            <b/>
            <sz val="9"/>
            <color indexed="81"/>
            <rFont val="Tahoma"/>
            <family val="2"/>
          </rPr>
          <t>Fra Cereales Mendez del 25/10/23,</t>
        </r>
        <r>
          <rPr>
            <sz val="9"/>
            <color indexed="81"/>
            <rFont val="Tahoma"/>
            <family val="2"/>
          </rPr>
          <t xml:space="preserve">
Cebada: 12.734,56€. 
Cargo: 23/02/23.
Cargado Caixa: 23/02/24
</t>
        </r>
        <r>
          <rPr>
            <b/>
            <sz val="9"/>
            <color indexed="81"/>
            <rFont val="Tahoma"/>
            <family val="2"/>
          </rPr>
          <t xml:space="preserve">
</t>
        </r>
        <r>
          <rPr>
            <sz val="9"/>
            <color indexed="81"/>
            <rFont val="Tahoma"/>
            <family val="2"/>
          </rPr>
          <t xml:space="preserve">
-----------------------------------------------
</t>
        </r>
      </text>
    </comment>
    <comment ref="CE207" authorId="2" shapeId="0" xr:uid="{7BA44376-CADF-4E94-9D64-1B67DC5BDCB5}">
      <text>
        <r>
          <rPr>
            <b/>
            <sz val="9"/>
            <color indexed="81"/>
            <rFont val="Tahoma"/>
            <family val="2"/>
          </rPr>
          <t xml:space="preserve">Fra Nanta del 27/10/23.
</t>
        </r>
        <r>
          <rPr>
            <sz val="9"/>
            <color indexed="81"/>
            <rFont val="Tahoma"/>
            <family val="2"/>
          </rPr>
          <t xml:space="preserve">Pienso: 10.541,75€. 
Transfrencia realizada el 10/11/23.
VENCIMIENTO : 07/03/23
Cargado Caixa: 07/03/24
-----------------------------------------------
</t>
        </r>
        <r>
          <rPr>
            <b/>
            <sz val="9"/>
            <color indexed="81"/>
            <rFont val="Tahoma"/>
            <family val="2"/>
          </rPr>
          <t>Fra Cereales Mendez del 12/03/24.</t>
        </r>
        <r>
          <rPr>
            <sz val="9"/>
            <color indexed="81"/>
            <rFont val="Tahoma"/>
            <family val="2"/>
          </rPr>
          <t xml:space="preserve">
Mezcla y Granel: 8.751,60€. 
Vcmto: 27/03/24.
Realizar pago por financiación proveedores
Transferencia Caixa: Antes del 27/03/24
</t>
        </r>
        <r>
          <rPr>
            <b/>
            <sz val="9"/>
            <color indexed="81"/>
            <rFont val="Tahoma"/>
            <family val="2"/>
          </rPr>
          <t>Fra Cereales Mendez del 12/03/24.</t>
        </r>
        <r>
          <rPr>
            <sz val="9"/>
            <color indexed="81"/>
            <rFont val="Tahoma"/>
            <family val="2"/>
          </rPr>
          <t xml:space="preserve">
Prestación de serviciosl: 272,25€. 
Vcmto: 27/03/24.
Realizar pago por financiación proveedores
Transferencia Caixa: Antes del 27/03/24
Hacer FACTURA  de NC:
Por pago Fra Cereales Mendez del 12/03/24.
Mezcla y Granel: 8.751,60€.
Prestación servicios: 272,25€
Antes del 
Pndte abono Caixa: </t>
        </r>
      </text>
    </comment>
    <comment ref="CF207" authorId="2" shapeId="0" xr:uid="{FB644232-CA5D-4A43-BC4E-A2C7A9F29F6E}">
      <text>
        <r>
          <rPr>
            <b/>
            <sz val="9"/>
            <color indexed="81"/>
            <rFont val="Tahoma"/>
            <family val="2"/>
          </rPr>
          <t xml:space="preserve">FACTURA 93 del 30/10/23 de NC:
</t>
        </r>
        <r>
          <rPr>
            <sz val="9"/>
            <color indexed="81"/>
            <rFont val="Tahoma"/>
            <family val="2"/>
          </rPr>
          <t>Por pago Fra Cereales Mendez del 25/10/23.
Cebada: 12.734,56€. 
Cargo: 23/02/23.
Realizar transferencia de NA a NC
Pndte abono Caixa
---------------------------------</t>
        </r>
        <r>
          <rPr>
            <b/>
            <sz val="9"/>
            <color indexed="81"/>
            <rFont val="Tahoma"/>
            <family val="2"/>
          </rPr>
          <t xml:space="preserve">
FACTURA 94 del 27/11/23 de NC:</t>
        </r>
        <r>
          <rPr>
            <sz val="9"/>
            <color indexed="81"/>
            <rFont val="Tahoma"/>
            <family val="2"/>
          </rPr>
          <t xml:space="preserve">
Por pago Fra Nanta del 27/10/23.
Pienso: 10.541,75€. 
Antes del 07/03/24.
Pndte abono Caixa: 
-----------------------------------------------
</t>
        </r>
      </text>
    </comment>
    <comment ref="CG207" authorId="0" shapeId="0" xr:uid="{614A7730-A3B0-4BDC-9A52-3FD609762B61}">
      <text>
        <r>
          <rPr>
            <b/>
            <sz val="9"/>
            <color indexed="81"/>
            <rFont val="Tahoma"/>
            <family val="2"/>
          </rPr>
          <t xml:space="preserve">Fra Nanta del 17/01/24.
</t>
        </r>
        <r>
          <rPr>
            <sz val="9"/>
            <color indexed="81"/>
            <rFont val="Tahoma"/>
            <family val="2"/>
          </rPr>
          <t>Pienso montanera cochinos: 4.202€. 
Fra de abono Nanta del 18/01/24.
-6 pallets: -101,18€. 
4.100,82€: Vcmto: 25/01/24.
Domiciliado Caixa: 24/01/24
VENCIMIENTO EL 22/05/24.</t>
        </r>
        <r>
          <rPr>
            <b/>
            <sz val="9"/>
            <color indexed="81"/>
            <rFont val="Tahoma"/>
            <family val="2"/>
          </rPr>
          <t xml:space="preserve">
FACTURA 100 del 19/01/24 de NC:</t>
        </r>
        <r>
          <rPr>
            <sz val="9"/>
            <color indexed="81"/>
            <rFont val="Tahoma"/>
            <family val="2"/>
          </rPr>
          <t xml:space="preserve">
Por pago Fra Nanta del 17/01/24.
Pienso: 4.100,82€. 
Antes del 22/05/24.
Pndte abono Caixa: </t>
        </r>
        <r>
          <rPr>
            <b/>
            <sz val="9"/>
            <color indexed="81"/>
            <rFont val="Tahoma"/>
            <family val="2"/>
          </rPr>
          <t xml:space="preserve">
-----------------------------------------
Fra Iberica Feeding del 27/11/23.
</t>
        </r>
        <r>
          <rPr>
            <sz val="9"/>
            <color indexed="81"/>
            <rFont val="Tahoma"/>
            <family val="2"/>
          </rPr>
          <t xml:space="preserve">Alimento Vacas: 11.194,80€ 
Domiciliado el 27/01/24 en caixa.
Cargado Caixa: 29/01/24
VENCIMIENTO EL 24/05/24.
</t>
        </r>
        <r>
          <rPr>
            <b/>
            <sz val="9"/>
            <color indexed="81"/>
            <rFont val="Tahoma"/>
            <family val="2"/>
          </rPr>
          <t>FACTURA 101 del 29/01/24 de NC:</t>
        </r>
        <r>
          <rPr>
            <sz val="9"/>
            <color indexed="81"/>
            <rFont val="Tahoma"/>
            <family val="2"/>
          </rPr>
          <t xml:space="preserve">
Por pago Fra Iberica Feeding del 27/11/23: 11.194,80€. 
Cargo: 
Pndte abono Caixa:
--------------------------------------------------------
</t>
        </r>
        <r>
          <rPr>
            <b/>
            <sz val="9"/>
            <color indexed="81"/>
            <rFont val="Tahoma"/>
            <family val="2"/>
          </rPr>
          <t>Fra Iberica Feeding del 29/11/23.</t>
        </r>
        <r>
          <rPr>
            <sz val="9"/>
            <color indexed="81"/>
            <rFont val="Tahoma"/>
            <family val="2"/>
          </rPr>
          <t xml:space="preserve">
Alimento Vacas: 10.214,42€ 
Domiciliado el 29/01/24 en caixa.
Cargado Caixa: 01/02/24
VENCIMIENTO EL 30/05/24.
</t>
        </r>
        <r>
          <rPr>
            <b/>
            <sz val="9"/>
            <color indexed="81"/>
            <rFont val="Tahoma"/>
            <family val="2"/>
          </rPr>
          <t xml:space="preserve">
FACTURA 102 del 29/01/24 de NC:</t>
        </r>
        <r>
          <rPr>
            <sz val="9"/>
            <color indexed="81"/>
            <rFont val="Tahoma"/>
            <family val="2"/>
          </rPr>
          <t xml:space="preserve">
Por pago Fra Iberica Feeding del 29/11/23: 10.214,42€. 
Cargo: 
Pndte abono Caixa:
-------------------------------------------------------</t>
        </r>
      </text>
    </comment>
    <comment ref="CH207" authorId="2" shapeId="0" xr:uid="{08DB537B-44D6-4D97-A67E-36AA3783BAC9}">
      <text>
        <r>
          <rPr>
            <b/>
            <sz val="9"/>
            <color indexed="81"/>
            <rFont val="Tahoma"/>
            <family val="2"/>
          </rPr>
          <t>Fra Nanta del 06/02/24.</t>
        </r>
        <r>
          <rPr>
            <sz val="9"/>
            <color indexed="81"/>
            <rFont val="Tahoma"/>
            <family val="2"/>
          </rPr>
          <t xml:space="preserve">
Pienso montanera cochinos: 5.027,48€. 
</t>
        </r>
        <r>
          <rPr>
            <b/>
            <sz val="9"/>
            <color indexed="81"/>
            <rFont val="Tahoma"/>
            <family val="2"/>
          </rPr>
          <t>Fra de abono Nanta del 16/02/24.</t>
        </r>
        <r>
          <rPr>
            <sz val="9"/>
            <color indexed="81"/>
            <rFont val="Tahoma"/>
            <family val="2"/>
          </rPr>
          <t xml:space="preserve">
-11 pallets: -185,49€. 
4.841,99€: Vcmto: 13/02/24.
Domiciliado Caixa: 13/02/24
Cargado Caixa 3116: 13/02/24
VENCIMIENTO EL 07/06/24.
</t>
        </r>
        <r>
          <rPr>
            <b/>
            <sz val="9"/>
            <color indexed="81"/>
            <rFont val="Tahoma"/>
            <family val="2"/>
          </rPr>
          <t>FACTURA 103 del 09/02/24 de NC:</t>
        </r>
        <r>
          <rPr>
            <sz val="9"/>
            <color indexed="81"/>
            <rFont val="Tahoma"/>
            <family val="2"/>
          </rPr>
          <t xml:space="preserve">
Por pago Fra Nanta del 06/02/24.
Pienso: 4.841,99€. 
Antes del 07/06/24.
Pndte abono Caixa: 
------------------------------------------------
</t>
        </r>
        <r>
          <rPr>
            <b/>
            <sz val="9"/>
            <color indexed="81"/>
            <rFont val="Tahoma"/>
            <family val="2"/>
          </rPr>
          <t>Fra Cereales Mendez del 17/01/24.</t>
        </r>
        <r>
          <rPr>
            <sz val="9"/>
            <color indexed="81"/>
            <rFont val="Tahoma"/>
            <family val="2"/>
          </rPr>
          <t xml:space="preserve">
Cebada: 6.164,32€. 
Vcmto: 17/02/24.
Realizar pago por financiación proveedores
Transferencia Caixa realizada el 16/02/24
VENCIMIENTO EL 13/06/24.
</t>
        </r>
        <r>
          <rPr>
            <b/>
            <sz val="9"/>
            <color indexed="81"/>
            <rFont val="Tahoma"/>
            <family val="2"/>
          </rPr>
          <t>FACTURA 104 del 19/02/24 de NC:</t>
        </r>
        <r>
          <rPr>
            <sz val="9"/>
            <color indexed="81"/>
            <rFont val="Tahoma"/>
            <family val="2"/>
          </rPr>
          <t xml:space="preserve">
Por pago Fra Cereales Mendez del 17/01/24.
Cebada: 6.164,32€.
Antes del 13/06/24.
Pndte abono Caixa: 
-------------------------------------------</t>
        </r>
      </text>
    </comment>
    <comment ref="CI207" authorId="0" shapeId="0" xr:uid="{856E7E07-B3CA-4608-8BF4-9401065E263F}">
      <text>
        <r>
          <rPr>
            <b/>
            <sz val="9"/>
            <color indexed="81"/>
            <rFont val="Tahoma"/>
            <family val="2"/>
          </rPr>
          <t>Fra Iberica Feeding del 16/01/24.</t>
        </r>
        <r>
          <rPr>
            <sz val="9"/>
            <color indexed="81"/>
            <rFont val="Tahoma"/>
            <family val="2"/>
          </rPr>
          <t xml:space="preserve">
Alimento Vacas: 5.233,25€ 
Realizar transferencia antes del 15/03/24.
Transferencia Caixa realizada el 15/03/24
VENCIMIENTO EL 10/07/24.
</t>
        </r>
        <r>
          <rPr>
            <b/>
            <sz val="9"/>
            <color indexed="81"/>
            <rFont val="Tahoma"/>
            <family val="2"/>
          </rPr>
          <t>FACTURA 105 del 26/02/24 de NC:</t>
        </r>
        <r>
          <rPr>
            <sz val="9"/>
            <color indexed="81"/>
            <rFont val="Tahoma"/>
            <family val="2"/>
          </rPr>
          <t xml:space="preserve">
Por pago Fra Iberica Feeding del 16/01/24: 5.233,25€. 
Cargo: 15/03/24
Pndte abono Caixa: Antes del 10/07/24.
</t>
        </r>
      </text>
    </comment>
    <comment ref="BY208" authorId="2" shapeId="0" xr:uid="{A8769CB7-E146-4ED4-9D99-775DF80E3D60}">
      <text>
        <r>
          <rPr>
            <b/>
            <sz val="9"/>
            <color indexed="81"/>
            <rFont val="Tahoma"/>
            <family val="2"/>
          </rPr>
          <t xml:space="preserve">Fra Narval del 31/07/23.
</t>
        </r>
        <r>
          <rPr>
            <sz val="9"/>
            <color indexed="81"/>
            <rFont val="Tahoma"/>
            <family val="2"/>
          </rPr>
          <t>Transporte carne: 363,00€.
Cargado: 01/09/23.</t>
        </r>
      </text>
    </comment>
    <comment ref="BZ208" authorId="2" shapeId="0" xr:uid="{C23F41CD-D020-4D19-BBFF-3D36DF0A5424}">
      <text>
        <r>
          <rPr>
            <b/>
            <sz val="9"/>
            <color indexed="81"/>
            <rFont val="Tahoma"/>
            <family val="2"/>
          </rPr>
          <t xml:space="preserve">Fra Narval del 31/08/23.
</t>
        </r>
        <r>
          <rPr>
            <sz val="9"/>
            <color indexed="81"/>
            <rFont val="Tahoma"/>
            <family val="2"/>
          </rPr>
          <t>Transporte carne: 363,00€.
Cargado: 02/10/23
Anular y hacer contrato con NA en unos meses, cd se reanude la actividad de Gapestore</t>
        </r>
      </text>
    </comment>
    <comment ref="CA208" authorId="2" shapeId="0" xr:uid="{A2726675-570B-48D6-A230-9FE666A51E54}">
      <text>
        <r>
          <rPr>
            <b/>
            <sz val="9"/>
            <color indexed="81"/>
            <rFont val="Tahoma"/>
            <family val="2"/>
          </rPr>
          <t xml:space="preserve">Fra Narval del 30/09/23.
</t>
        </r>
        <r>
          <rPr>
            <sz val="9"/>
            <color indexed="81"/>
            <rFont val="Tahoma"/>
            <family val="2"/>
          </rPr>
          <t>Transporte carne: 364,79€.
Cargado: 01/11/23</t>
        </r>
        <r>
          <rPr>
            <b/>
            <sz val="9"/>
            <color indexed="81"/>
            <rFont val="Tahoma"/>
            <family val="2"/>
          </rPr>
          <t xml:space="preserve">
</t>
        </r>
      </text>
    </comment>
    <comment ref="CB208" authorId="2" shapeId="0" xr:uid="{013FC351-C88F-409C-BA6B-452115C67B4D}">
      <text>
        <r>
          <rPr>
            <b/>
            <sz val="9"/>
            <color indexed="81"/>
            <rFont val="Tahoma"/>
            <family val="2"/>
          </rPr>
          <t xml:space="preserve">
Fra Narval del 31/10/23.
</t>
        </r>
        <r>
          <rPr>
            <sz val="9"/>
            <color indexed="81"/>
            <rFont val="Tahoma"/>
            <family val="2"/>
          </rPr>
          <t>Transporte carne: 363,00€.
+5,81€ Variable combustible
Domiciliado: 30/11/23.
Cargado Caixa: 01/12/23</t>
        </r>
      </text>
    </comment>
    <comment ref="BY209" authorId="2" shapeId="0" xr:uid="{B16608C0-98E4-41F3-BA55-23A462459EBD}">
      <text>
        <r>
          <rPr>
            <b/>
            <sz val="9"/>
            <color indexed="81"/>
            <rFont val="Tahoma"/>
            <family val="2"/>
          </rPr>
          <t>Fra La Serania de Jabugo del 02/06/23.</t>
        </r>
        <r>
          <rPr>
            <sz val="9"/>
            <color indexed="81"/>
            <rFont val="Tahoma"/>
            <family val="2"/>
          </rPr>
          <t xml:space="preserve">
Pluma: 1.150,07€.
Transferencia realizada el 06/09/23. 
---------------------------------------------
</t>
        </r>
        <r>
          <rPr>
            <b/>
            <sz val="9"/>
            <color indexed="81"/>
            <rFont val="Tahoma"/>
            <family val="2"/>
          </rPr>
          <t>Fra La Serania de Jabugo del 02/06/23.</t>
        </r>
        <r>
          <rPr>
            <sz val="9"/>
            <color indexed="81"/>
            <rFont val="Tahoma"/>
            <family val="2"/>
          </rPr>
          <t xml:space="preserve">
Pluma: 160,94€.
Transferencia realizada el 06/09/23.
---------------------------------------------
</t>
        </r>
        <r>
          <rPr>
            <b/>
            <sz val="9"/>
            <color indexed="81"/>
            <rFont val="Tahoma"/>
            <family val="2"/>
          </rPr>
          <t>Fra La Serania de Jabugo del 16/06/23.</t>
        </r>
        <r>
          <rPr>
            <sz val="9"/>
            <color indexed="81"/>
            <rFont val="Tahoma"/>
            <family val="2"/>
          </rPr>
          <t xml:space="preserve">
Pluma y Solomillo: 2.008,15€.
Transferencia realizada el 06/09/23.
-------------------------------------------
</t>
        </r>
        <r>
          <rPr>
            <b/>
            <sz val="9"/>
            <color indexed="81"/>
            <rFont val="Tahoma"/>
            <family val="2"/>
          </rPr>
          <t>Fra La Serania de Jabugo del 30/06/23.</t>
        </r>
        <r>
          <rPr>
            <sz val="9"/>
            <color indexed="81"/>
            <rFont val="Tahoma"/>
            <family val="2"/>
          </rPr>
          <t xml:space="preserve">
Existencias: 150,25€.
Transferencia realizada el 06/09/23.
</t>
        </r>
      </text>
    </comment>
    <comment ref="BZ209" authorId="2" shapeId="0" xr:uid="{C5BE79FE-99E1-4BA8-A053-C5154839A257}">
      <text>
        <r>
          <rPr>
            <b/>
            <sz val="9"/>
            <color indexed="81"/>
            <rFont val="Tahoma"/>
            <family val="2"/>
          </rPr>
          <t xml:space="preserve">
Fra La Serania de Jabugo del 31/07/23.</t>
        </r>
        <r>
          <rPr>
            <sz val="9"/>
            <color indexed="81"/>
            <rFont val="Tahoma"/>
            <family val="2"/>
          </rPr>
          <t xml:space="preserve">
Pluma y secreto y lagarto: 144,21€
Transferencia realizada el 03/10/23.
------------------------------------------------
</t>
        </r>
      </text>
    </comment>
    <comment ref="CC209" authorId="2" shapeId="0" xr:uid="{1B9C7CC1-0E49-4A15-9244-10992B8E8094}">
      <text>
        <r>
          <rPr>
            <b/>
            <sz val="9"/>
            <color indexed="81"/>
            <rFont val="Tahoma"/>
            <family val="2"/>
          </rPr>
          <t>Fra La Serania de Jabugo del 10/07/23.</t>
        </r>
        <r>
          <rPr>
            <sz val="9"/>
            <color indexed="81"/>
            <rFont val="Tahoma"/>
            <family val="2"/>
          </rPr>
          <t xml:space="preserve">
Pluma y secreto y lagarto: 1.326,42€
Transferencia realizada el 03/10/23.
VENCIMIENTO EL 26/01/24.
Cargado Caixa: 26/01/24
------------------------------------------
</t>
        </r>
        <r>
          <rPr>
            <b/>
            <sz val="9"/>
            <color indexed="81"/>
            <rFont val="Tahoma"/>
            <family val="2"/>
          </rPr>
          <t>Fra La Serania de Jabugo del 11/08/23.</t>
        </r>
        <r>
          <rPr>
            <sz val="9"/>
            <color indexed="81"/>
            <rFont val="Tahoma"/>
            <family val="2"/>
          </rPr>
          <t xml:space="preserve">
Pluma y secreto y lagarto: 2.893,70€
Transferencia realizada el 03/10/23.
VENCIMIENTO EL 26/01/24.
Cargado Caixa: 26/01/24</t>
        </r>
      </text>
    </comment>
    <comment ref="CB211" authorId="2" shapeId="0" xr:uid="{D7CDD030-0809-4022-8E7D-7AA808247500}">
      <text>
        <r>
          <rPr>
            <b/>
            <sz val="9"/>
            <color indexed="81"/>
            <rFont val="Tahoma"/>
            <family val="2"/>
          </rPr>
          <t xml:space="preserve">Fra Logisierra del 21/03/23. *la factura esta mal ha duplicado los portes del 08/02 y 16/02 que ya estan pagados.
</t>
        </r>
        <r>
          <rPr>
            <sz val="9"/>
            <color indexed="81"/>
            <rFont val="Tahoma"/>
            <family val="2"/>
          </rPr>
          <t>transporte de las tres matanzas de cochinos, del matadero a la sala de almacen y refrigerado en la Serranía de Jabugo: 250,00 + iva = 302,50€.
Pendiente que nos la reclame y ya la pagaremos.
Reclamada y solicitada fra correcta y de abono: 01/12/23
Recibida el 05/12/23:
-992,20€: Fra abono (30/11/23)
302,50€: Fra (30/11/23)
Transferencia a realizar: Ok ALF del 05/12/23
Transf. Caixa realizada el 18/12/23
----------------------------------------</t>
        </r>
      </text>
    </comment>
    <comment ref="CC211" authorId="2" shapeId="0" xr:uid="{B232E3E1-1396-4177-9DE7-7A666ABBF815}">
      <text>
        <r>
          <rPr>
            <b/>
            <sz val="9"/>
            <color indexed="81"/>
            <rFont val="Tahoma"/>
            <family val="2"/>
          </rPr>
          <t>Fra de Jimenez Pariente del 15/12/23.</t>
        </r>
        <r>
          <rPr>
            <sz val="9"/>
            <color indexed="81"/>
            <rFont val="Tahoma"/>
            <family val="2"/>
          </rPr>
          <t xml:space="preserve">
Recogida: 55,00€. 
Domiciliada el 10/01/24. - Cargada el 10/01/24.
27/12/23: Las próximas fras llegarán a nombre de Nixal Agri</t>
        </r>
      </text>
    </comment>
    <comment ref="CD211" authorId="2" shapeId="0" xr:uid="{D2FF241F-4011-434A-97E1-F789A008D7D7}">
      <text>
        <r>
          <rPr>
            <b/>
            <sz val="9"/>
            <color indexed="81"/>
            <rFont val="Tahoma"/>
            <family val="2"/>
          </rPr>
          <t>Fra Transportes Fernando Trujillo S.L. del 24/04/23.</t>
        </r>
        <r>
          <rPr>
            <sz val="9"/>
            <color indexed="81"/>
            <rFont val="Tahoma"/>
            <family val="2"/>
          </rPr>
          <t xml:space="preserve">
Portes: 1.282,60€. 
Transferencia realizada, VENCIMIENTO EL 29/02/23.
Cargado Caixa: 29/02/24
-----------------------------------------</t>
        </r>
      </text>
    </comment>
    <comment ref="CF211" authorId="2" shapeId="0" xr:uid="{65AC1186-E4E6-4D9D-83D0-96B891C50197}">
      <text>
        <r>
          <rPr>
            <sz val="9"/>
            <color indexed="81"/>
            <rFont val="Tahoma"/>
            <family val="2"/>
          </rPr>
          <t xml:space="preserve">
260,00€: matanza de 41 cochinos del 19/3/23 de la finca al matadero de la Jabugueña</t>
        </r>
      </text>
    </comment>
    <comment ref="BY216" authorId="1" shapeId="0" xr:uid="{638BA648-2A51-4940-82BD-33E7FD25AAF3}">
      <text>
        <r>
          <rPr>
            <sz val="9"/>
            <color indexed="81"/>
            <rFont val="Tahoma"/>
            <family val="2"/>
          </rPr>
          <t>Seguro empacadora y ensiladora: 145,60 Eur: 113,09+32,51= 145,60 seguro obligatorio a Claas por ensiladora y empacadora. 
Domic Rural 26/09/22.
Cargado: 25/09/23.</t>
        </r>
      </text>
    </comment>
    <comment ref="BZ216" authorId="2" shapeId="0" xr:uid="{345A6826-E9A9-4305-A75A-34A26CB5AEAF}">
      <text>
        <r>
          <rPr>
            <sz val="9"/>
            <color indexed="81"/>
            <rFont val="Tahoma"/>
            <family val="2"/>
          </rPr>
          <t xml:space="preserve">145,60 Eur: 113,09+32,51= 145,60 seguro obligatorio a Claas por ensiladora y empacadora. 
Domic Rural 25/10/22.
</t>
        </r>
      </text>
    </comment>
    <comment ref="CC216" authorId="2" shapeId="0" xr:uid="{743EC498-F25C-4EB5-9B32-DF186EBA48CA}">
      <text>
        <r>
          <rPr>
            <sz val="9"/>
            <color indexed="81"/>
            <rFont val="Tahoma"/>
            <family val="2"/>
          </rPr>
          <t>261,99€: Seguro coche Clio 0602BYN Finca
Seguro del 07/12/23 al 07/12/24.
Cargado: 03/01/23.
-------------------------------------
374,99€: Seguro coche Opel Frontera ll H4437Z Finca
Seguro del 07/12/23 al 07/12/24.
Cargado: 03/01/23.</t>
        </r>
      </text>
    </comment>
    <comment ref="CM216" authorId="1" shapeId="0" xr:uid="{EDD0C46C-8E6D-4C83-AC93-0E1A6D6CC482}">
      <text>
        <r>
          <rPr>
            <sz val="9"/>
            <color indexed="81"/>
            <rFont val="Tahoma"/>
            <family val="2"/>
          </rPr>
          <t xml:space="preserve">Seguro empacadora y ensiladora: 145,60 Eur: 113,09+32,51= 145,60 seguro obligatorio a Claas por ensiladora y empacadora. 
Domic Rural 26/09/22.
</t>
        </r>
      </text>
    </comment>
    <comment ref="CN216" authorId="2" shapeId="0" xr:uid="{DC979F48-B409-45C0-8B15-8779668A32A5}">
      <text>
        <r>
          <rPr>
            <sz val="9"/>
            <color indexed="81"/>
            <rFont val="Tahoma"/>
            <family val="2"/>
          </rPr>
          <t xml:space="preserve">145,60 Eur: 113,09+32,51= 145,60 seguro obligatorio a Claas por ensiladora y empacadora. 
Domic Rural 25/10/22.
</t>
        </r>
      </text>
    </comment>
    <comment ref="CQ216" authorId="2" shapeId="0" xr:uid="{F79CC944-3ED1-44AC-857D-F8D7C8834634}">
      <text>
        <r>
          <rPr>
            <sz val="9"/>
            <color indexed="81"/>
            <rFont val="Tahoma"/>
            <family val="2"/>
          </rPr>
          <t>245,41€: Seguro coche Clio 0602BYN Finca
Seguro del 07/12/23 al 07/12/24.
Cargado: 03/01/23.
-------------------------------------
374,99€: Seguro coche Opel Frontera H4437Z Finca
Seguro del 07/12/23 al 07/12/24.
Cargado: 03/01/23.</t>
        </r>
      </text>
    </comment>
    <comment ref="B217" authorId="1" shapeId="0" xr:uid="{DE352B62-1D00-429A-9B57-FD82C3F9179D}">
      <text>
        <r>
          <rPr>
            <b/>
            <sz val="9"/>
            <color indexed="81"/>
            <rFont val="Tahoma"/>
            <family val="2"/>
          </rPr>
          <t>alfonso:</t>
        </r>
        <r>
          <rPr>
            <sz val="9"/>
            <color indexed="81"/>
            <rFont val="Tahoma"/>
            <family val="2"/>
          </rPr>
          <t xml:space="preserve">
IBI, Registro mercantil, Impuesto vehiculos</t>
        </r>
      </text>
    </comment>
    <comment ref="CA217" authorId="1" shapeId="0" xr:uid="{337A6184-FD2E-4EA3-9AA9-635724017F4D}">
      <text>
        <r>
          <rPr>
            <sz val="9"/>
            <color indexed="81"/>
            <rFont val="Tahoma"/>
            <family val="2"/>
          </rPr>
          <t xml:space="preserve">IBI finca y casa:165,15+88,21 
253,36€: IBI finca y casa. 
Cargado Caixa: 15/11/23.
---------------------------------------------
</t>
        </r>
      </text>
    </comment>
    <comment ref="CC217" authorId="2" shapeId="0" xr:uid="{07979DD1-ACE6-4020-B0F3-9CF557F5F671}">
      <text>
        <r>
          <rPr>
            <sz val="9"/>
            <color indexed="81"/>
            <rFont val="Tahoma"/>
            <family val="2"/>
          </rPr>
          <t>107,53€: IVTM del vehiculo CC9103N Opel Frontera I
Realizar transferencia: 17/01/24
Transferencia Caixa realizada el 18/01/24
-------------------------------------</t>
        </r>
      </text>
    </comment>
    <comment ref="CF217" authorId="1" shapeId="0" xr:uid="{FD995876-1245-46B5-9275-7F4BEA179581}">
      <text>
        <r>
          <rPr>
            <sz val="9"/>
            <color indexed="81"/>
            <rFont val="Tahoma"/>
            <family val="2"/>
          </rPr>
          <t xml:space="preserve">
IBI Finca Las Corchas. Ya pagado por Federico, pero se lo debemos. Nos lo descuenta de la Subv (3.718,33Eur). 
IBI=92,88 + 23,41 + 284,28.
</t>
        </r>
      </text>
    </comment>
    <comment ref="CG217" authorId="2" shapeId="0" xr:uid="{48095111-E691-470F-B7E7-6C3DF0203672}">
      <text>
        <r>
          <rPr>
            <sz val="9"/>
            <color indexed="81"/>
            <rFont val="Tahoma"/>
            <family val="2"/>
          </rPr>
          <t xml:space="preserve">Impuesto sobre vehículos del 01/01/22 al 31/12/22
Domic. En caja rural. </t>
        </r>
      </text>
    </comment>
    <comment ref="CH217" authorId="1" shapeId="0" xr:uid="{B36C77C6-6073-4DC9-9509-62863C42320C}">
      <text>
        <r>
          <rPr>
            <sz val="8"/>
            <color indexed="81"/>
            <rFont val="Tahoma"/>
            <family val="2"/>
          </rPr>
          <t xml:space="preserve">
149,62 E: Impuesto sobre vehículos del 01/01 al 31/12/22
----------------------------
Anotado rn diciembre</t>
        </r>
      </text>
    </comment>
    <comment ref="CO217" authorId="1" shapeId="0" xr:uid="{76E281EB-12D8-4EE8-9B91-5B095408DB23}">
      <text>
        <r>
          <rPr>
            <sz val="9"/>
            <color indexed="81"/>
            <rFont val="Tahoma"/>
            <family val="2"/>
          </rPr>
          <t xml:space="preserve">IBI finca y casa:165,15+88,21 
253,36€: IBI finca y casa. 
Cargado Caixa: 16/11/22.
</t>
        </r>
      </text>
    </comment>
    <comment ref="CP217" authorId="1" shapeId="0" xr:uid="{DDDC6D52-9D0F-417E-B7E9-C81468851E3A}">
      <text>
        <r>
          <rPr>
            <sz val="8"/>
            <color indexed="81"/>
            <rFont val="Tahoma"/>
            <family val="2"/>
          </rPr>
          <t xml:space="preserve">
149,62 E: Impuesto sobre vehículos del 01/01 al 31/12/22
----------------------------</t>
        </r>
      </text>
    </comment>
    <comment ref="CU217" authorId="2" shapeId="0" xr:uid="{49C21A01-F68D-4508-AC3B-9B8CE81C8EBF}">
      <text>
        <r>
          <rPr>
            <sz val="9"/>
            <color indexed="81"/>
            <rFont val="Tahoma"/>
            <family val="2"/>
          </rPr>
          <t xml:space="preserve">Impuesto sobre vehículos del 01/01/22 al 31/12/22
Domic. En caja rural. </t>
        </r>
      </text>
    </comment>
    <comment ref="BY218" authorId="2" shapeId="0" xr:uid="{8DEA5440-E45D-4E37-AA21-E0C7A2A680E1}">
      <text>
        <r>
          <rPr>
            <b/>
            <sz val="9"/>
            <color indexed="81"/>
            <rFont val="Tahoma"/>
            <family val="2"/>
          </rPr>
          <t>Fra La casa del gandero del 29/06/23.</t>
        </r>
        <r>
          <rPr>
            <sz val="9"/>
            <color indexed="81"/>
            <rFont val="Tahoma"/>
            <family val="2"/>
          </rPr>
          <t xml:space="preserve">
Varios: 1.575,79€ 
Transferencia realizada el 06/09/23.
---------------------------------------
</t>
        </r>
        <r>
          <rPr>
            <b/>
            <sz val="9"/>
            <color indexed="81"/>
            <rFont val="Tahoma"/>
            <family val="2"/>
          </rPr>
          <t>Fra La casa del gandero del 29/06/23.</t>
        </r>
        <r>
          <rPr>
            <sz val="9"/>
            <color indexed="81"/>
            <rFont val="Tahoma"/>
            <family val="2"/>
          </rPr>
          <t xml:space="preserve">
Varios: 133,61€.
Transferencia realizada el 06/09/23.</t>
        </r>
      </text>
    </comment>
    <comment ref="CA218" authorId="2" shapeId="0" xr:uid="{F2638368-6CF9-4AF5-8E2B-768DC1EF6FA8}">
      <text>
        <r>
          <rPr>
            <b/>
            <sz val="9"/>
            <color indexed="81"/>
            <rFont val="Tahoma"/>
            <family val="2"/>
          </rPr>
          <t xml:space="preserve">Fra Amazon 04/10/23. 
</t>
        </r>
        <r>
          <rPr>
            <sz val="9"/>
            <color indexed="81"/>
            <rFont val="Tahoma"/>
            <family val="2"/>
          </rPr>
          <t xml:space="preserve">Llaves de vaso: 36,44€
Cargado VISA: 01/11/23.
</t>
        </r>
      </text>
    </comment>
    <comment ref="B219" authorId="1" shapeId="0" xr:uid="{2B96C846-302A-4D22-913A-4EC735B0C9CE}">
      <text>
        <r>
          <rPr>
            <b/>
            <sz val="9"/>
            <color indexed="81"/>
            <rFont val="Tahoma"/>
            <family val="2"/>
          </rPr>
          <t>Cada 3 o 4 meses se suman los litros consumidos (que se anotan al echar), y desde Molino le pedimos a Hnos Horata que rellene esos litros y nos los facture a Molino, como pago a Antonio, quedando al día este concepto</t>
        </r>
      </text>
    </comment>
    <comment ref="BY219" authorId="2" shapeId="0" xr:uid="{890E1592-2D0A-42D1-B2B4-7CED3264BB40}">
      <text>
        <r>
          <rPr>
            <b/>
            <sz val="9"/>
            <color indexed="81"/>
            <rFont val="Tahoma"/>
            <family val="2"/>
          </rPr>
          <t>Transferencia a Fran -</t>
        </r>
        <r>
          <rPr>
            <sz val="9"/>
            <color indexed="81"/>
            <rFont val="Tahoma"/>
            <family val="2"/>
          </rPr>
          <t xml:space="preserve">
Fra E.S Rosal de la Frontera 04/09/23. 
Gasolina: 20,00€. 
Fra E.S Rosal de la Frontera 07/09/23. 
Gasolina: 80,00€. 
Fra Maria Luisa Lopez del 04/08/23. 
Anticongelante: 17,85€. 
Transferncia realizada el 29/09/23.
-------------------------------------------
</t>
        </r>
        <r>
          <rPr>
            <b/>
            <sz val="9"/>
            <color indexed="81"/>
            <rFont val="Tahoma"/>
            <family val="2"/>
          </rPr>
          <t>Transferencia a Miguel -</t>
        </r>
        <r>
          <rPr>
            <sz val="9"/>
            <color indexed="81"/>
            <rFont val="Tahoma"/>
            <family val="2"/>
          </rPr>
          <t xml:space="preserve">
Fra Maria Luisa Lopez del 04/08/23. 
Gasolina: 60,00€. 
Fra Maria Luisa Lopez del 08/08/23. 
Gasolina: 40,00€.
Transferncia realizada el 29/09/23.
-------------------------------------------
</t>
        </r>
        <r>
          <rPr>
            <b/>
            <sz val="9"/>
            <color indexed="81"/>
            <rFont val="Tahoma"/>
            <family val="2"/>
          </rPr>
          <t xml:space="preserve">Fra Solred 31/08/23. </t>
        </r>
        <r>
          <rPr>
            <sz val="9"/>
            <color indexed="81"/>
            <rFont val="Tahoma"/>
            <family val="2"/>
          </rPr>
          <t xml:space="preserve">
E.S. CHUCENA NORTE: 94,02€. 
E.S Cuadrado aliseda: 96,76€. 
Cargado VISA: 01/09/23.</t>
        </r>
      </text>
    </comment>
    <comment ref="BZ219" authorId="2" shapeId="0" xr:uid="{989CEC97-5CFB-43B8-83EC-BB2C861D6015}">
      <text>
        <r>
          <rPr>
            <b/>
            <sz val="9"/>
            <color indexed="81"/>
            <rFont val="Tahoma"/>
            <family val="2"/>
          </rPr>
          <t xml:space="preserve">Fra Solred 30/09/23. 
</t>
        </r>
        <r>
          <rPr>
            <sz val="9"/>
            <color indexed="81"/>
            <rFont val="Tahoma"/>
            <family val="2"/>
          </rPr>
          <t>E.S El SANCHO: 96,81€</t>
        </r>
        <r>
          <rPr>
            <b/>
            <sz val="9"/>
            <color indexed="81"/>
            <rFont val="Tahoma"/>
            <family val="2"/>
          </rPr>
          <t xml:space="preserve">
</t>
        </r>
        <r>
          <rPr>
            <sz val="9"/>
            <color indexed="81"/>
            <rFont val="Tahoma"/>
            <family val="2"/>
          </rPr>
          <t>E.S. CHUCENA NORTE: 106,47€. 
Cargado VISA: 01/09/23.</t>
        </r>
      </text>
    </comment>
    <comment ref="CA219" authorId="2" shapeId="0" xr:uid="{F7B0A31C-64A9-4B3B-8A68-062D0B581437}">
      <text>
        <r>
          <rPr>
            <b/>
            <sz val="9"/>
            <color indexed="81"/>
            <rFont val="Tahoma"/>
            <family val="2"/>
          </rPr>
          <t xml:space="preserve">Fra Solred 30/09/23. 
</t>
        </r>
        <r>
          <rPr>
            <sz val="9"/>
            <color indexed="81"/>
            <rFont val="Tahoma"/>
            <family val="2"/>
          </rPr>
          <t>E.S VALVERDE: 91,17€</t>
        </r>
        <r>
          <rPr>
            <b/>
            <sz val="9"/>
            <color indexed="81"/>
            <rFont val="Tahoma"/>
            <family val="2"/>
          </rPr>
          <t xml:space="preserve">
</t>
        </r>
        <r>
          <rPr>
            <sz val="9"/>
            <color indexed="81"/>
            <rFont val="Tahoma"/>
            <family val="2"/>
          </rPr>
          <t xml:space="preserve">
Cargado VISA: 01/11/23.
</t>
        </r>
        <r>
          <rPr>
            <b/>
            <sz val="9"/>
            <color indexed="81"/>
            <rFont val="Tahoma"/>
            <family val="2"/>
          </rPr>
          <t xml:space="preserve">
Fra Solred 31/10/23</t>
        </r>
        <r>
          <rPr>
            <sz val="9"/>
            <color indexed="81"/>
            <rFont val="Tahoma"/>
            <family val="2"/>
          </rPr>
          <t>. 
E.S CHUCENA: 96,30€
Cargado VISA: 01/11/23</t>
        </r>
      </text>
    </comment>
    <comment ref="BY220" authorId="0" shapeId="0" xr:uid="{A6A9590F-91A7-463D-9A2B-36F527173ED7}">
      <text>
        <r>
          <rPr>
            <sz val="9"/>
            <color indexed="81"/>
            <rFont val="Tahoma"/>
            <family val="2"/>
          </rPr>
          <t>Info Alf 21/09/23:
Mariano sigue en NC hasta final de este mes de septiembre. Desde el 1/10 estará ya en NA.
Y para cuadrar la tesorería, pasar de NC a NA una trasnsfer como pago del salario de Mariano de Agosto. En NA que ese pago que hicieron lo compensen con este. 
1200€: Transferencia Caixa de NC a NA el 21/09/23
-------------------------------
1200€: Nómina sept
Transf. Caixa realixada: 29/09/23</t>
        </r>
      </text>
    </comment>
    <comment ref="BY221" authorId="2" shapeId="0" xr:uid="{30D39812-85B4-421C-829B-773316A80514}">
      <text>
        <r>
          <rPr>
            <b/>
            <sz val="9"/>
            <color indexed="81"/>
            <rFont val="Tahoma"/>
            <family val="2"/>
          </rPr>
          <t xml:space="preserve">Fra Registro de la Propiedad del 04/08/23.
</t>
        </r>
        <r>
          <rPr>
            <sz val="9"/>
            <color indexed="81"/>
            <rFont val="Tahoma"/>
            <family val="2"/>
          </rPr>
          <t>Nota simple: 10,91€.</t>
        </r>
        <r>
          <rPr>
            <b/>
            <sz val="9"/>
            <color indexed="81"/>
            <rFont val="Tahoma"/>
            <family val="2"/>
          </rPr>
          <t xml:space="preserve">
</t>
        </r>
        <r>
          <rPr>
            <sz val="9"/>
            <color indexed="81"/>
            <rFont val="Tahoma"/>
            <family val="2"/>
          </rPr>
          <t>Pagado con VISA Alberto el 04/08/23.
Cargado Caixa Nixal: 05/09/23</t>
        </r>
        <r>
          <rPr>
            <b/>
            <sz val="9"/>
            <color indexed="81"/>
            <rFont val="Tahoma"/>
            <family val="2"/>
          </rPr>
          <t xml:space="preserve">
----------------------------------------
</t>
        </r>
      </text>
    </comment>
    <comment ref="CA221" authorId="2" shapeId="0" xr:uid="{8C872230-6E70-4C8A-BDD9-F65B3B776161}">
      <text>
        <r>
          <rPr>
            <b/>
            <sz val="9"/>
            <color indexed="81"/>
            <rFont val="Tahoma"/>
            <family val="2"/>
          </rPr>
          <t xml:space="preserve">
Fra Legal Sur del 24/03/23. </t>
        </r>
        <r>
          <rPr>
            <sz val="9"/>
            <color indexed="81"/>
            <rFont val="Tahoma"/>
            <family val="2"/>
          </rPr>
          <t xml:space="preserve">
363€: Servicios prestados a Agroenergia pndte devoluc. A MDZ
136,13€: Servicios prestados a MDZ 499,13€: Realizar transferencia 
22/11/23: Ok Alberto realizar transferencia
Transf. Caixa realizada el 23/11/23
-------------------------------------------
</t>
        </r>
      </text>
    </comment>
    <comment ref="CB221" authorId="2" shapeId="0" xr:uid="{56EAED3A-2E66-43F0-BC99-A3D75B180592}">
      <text>
        <r>
          <rPr>
            <b/>
            <sz val="9"/>
            <color indexed="81"/>
            <rFont val="Tahoma"/>
            <family val="2"/>
          </rPr>
          <t>Fra Legal Sur del 25/04/23.</t>
        </r>
        <r>
          <rPr>
            <sz val="9"/>
            <color indexed="81"/>
            <rFont val="Tahoma"/>
            <family val="2"/>
          </rPr>
          <t xml:space="preserve"> 
408,38€: Servicios prestados a MDZ 408,38€: Realizar transferencia 
Transf. realizada por el total 892,38€ el 15/12/23
-------------------------------------------
</t>
        </r>
        <r>
          <rPr>
            <b/>
            <sz val="9"/>
            <color indexed="81"/>
            <rFont val="Tahoma"/>
            <family val="2"/>
          </rPr>
          <t xml:space="preserve">Fra Legal Sur del 26/05/23. </t>
        </r>
        <r>
          <rPr>
            <sz val="9"/>
            <color indexed="81"/>
            <rFont val="Tahoma"/>
            <family val="2"/>
          </rPr>
          <t xml:space="preserve">
60,50€: Servicios prestados a Agroenergia pndte devoluc. A MDZ
423,50€: Servicios prestados a MDZ 484€: Ok Alberto, realizar transferencia a mediados de junio
Transf. realizada por el total 892,38€ el 15/12/23
--------------------------------------------
</t>
        </r>
      </text>
    </comment>
    <comment ref="CC221" authorId="2" shapeId="0" xr:uid="{CB2BD6E8-D0A4-427D-8A58-B9F306198A35}">
      <text>
        <r>
          <rPr>
            <b/>
            <sz val="9"/>
            <color indexed="81"/>
            <rFont val="Tahoma"/>
            <family val="2"/>
          </rPr>
          <t>Fra LegalSur del 23/06/23.</t>
        </r>
        <r>
          <rPr>
            <sz val="9"/>
            <color indexed="81"/>
            <rFont val="Tahoma"/>
            <family val="2"/>
          </rPr>
          <t xml:space="preserve">
Honorarios finca: 605,00€. 
Pendienter ealizar transferencia. 
Transferencia realizada el 26/01/24</t>
        </r>
      </text>
    </comment>
    <comment ref="CJ221" authorId="1" shapeId="0" xr:uid="{71B9BC23-1095-4D30-B31E-C7EFF1D23B7A}">
      <text>
        <r>
          <rPr>
            <b/>
            <sz val="8"/>
            <color indexed="81"/>
            <rFont val="Tahoma"/>
            <family val="2"/>
          </rPr>
          <t>Notaria Pablo Gutierrez Alviz/Francisco Trigo Lozano:</t>
        </r>
        <r>
          <rPr>
            <sz val="8"/>
            <color indexed="81"/>
            <rFont val="Tahoma"/>
            <family val="2"/>
          </rPr>
          <t xml:space="preserve">
Fra Francisco Trigo Lozano del 14/04/21. 
100,56€: Tramites escritura. 
Fra Notaria Pablo Gutierrez Alviz del 29/12/20.
79,38€: revocación poder/autorizacion poder. 
Fra Notaria Pablo Gutierrez Alviz del 29/12/20.
38,51€: Acta de titular real. 
Fra Rº Mercantil- Notaria Pablo Gutierrez Alviz del 22/03/21.
216,50€: inscripcion derechos. 
Total a pagar a la Notaria Pablo Gutierrez Alviz : 434,95€ 
Descontando la provision de fondospor importe de 525€
Saldo a nuestro favor con la Notaria Pablo Gutierrez Alviz : a ingresar 90,05€
(Documento de Liquidación provisión notario-registro-gestoria Poderes JP, 25/05/21)
</t>
        </r>
        <r>
          <rPr>
            <b/>
            <sz val="8"/>
            <color indexed="81"/>
            <rFont val="Tahoma"/>
            <family val="2"/>
          </rPr>
          <t>Notaría Pablo Gutiérrez-Alviz:</t>
        </r>
        <r>
          <rPr>
            <sz val="8"/>
            <color indexed="81"/>
            <rFont val="Tahoma"/>
            <family val="2"/>
          </rPr>
          <t xml:space="preserve">
-700 E: Devolución Provisión de fondos por escritura de constitución de SL otorgada por NIXAL AGRI S.L, con núm. 753/2.021 de protocolo 
Info ALF 26/02/21: cuando quede registrada llegará factura y liquidación de esta provisión de fondos
Pagada desde Nixal Caixa y a devolver en un mes, y cuando quede registrada y se libere la cuenta de Agri, hacemos la devolución
</t>
        </r>
        <r>
          <rPr>
            <sz val="8"/>
            <color indexed="81"/>
            <rFont val="Tahoma"/>
            <family val="2"/>
          </rPr>
          <t xml:space="preserve">
</t>
        </r>
      </text>
    </comment>
    <comment ref="B222" authorId="1" shapeId="0" xr:uid="{7652C732-CC24-4827-A46A-B18CF241C3AF}">
      <text>
        <r>
          <rPr>
            <sz val="9"/>
            <color indexed="81"/>
            <rFont val="Tahoma"/>
            <family val="2"/>
          </rPr>
          <t xml:space="preserve">Contratado con Creativa Nov 2020
45€ por gestion laboral empresa + 8€/mes por empleado = </t>
        </r>
        <r>
          <rPr>
            <b/>
            <sz val="9"/>
            <color indexed="81"/>
            <rFont val="Tahoma"/>
            <family val="2"/>
          </rPr>
          <t xml:space="preserve">85 al mes + IVA 21%
</t>
        </r>
        <r>
          <rPr>
            <sz val="9"/>
            <color indexed="81"/>
            <rFont val="Tahoma"/>
            <family val="2"/>
          </rPr>
          <t xml:space="preserve">
*Facturación cada día 22
*Cobro mediante recibo domiciliado los días 27
</t>
        </r>
      </text>
    </comment>
    <comment ref="BZ222" authorId="2" shapeId="0" xr:uid="{520CC883-A89C-41FA-8C79-14E00843B33E}">
      <text>
        <r>
          <rPr>
            <sz val="9"/>
            <color indexed="81"/>
            <rFont val="Tahoma"/>
            <family val="2"/>
          </rPr>
          <t xml:space="preserve">Fra Creativa del 22/09/23.
Gestoria: 93,17€. 
Cargado: 01/10/23
-----------------------------------
Fra Creativa del 22/10/23.
Gestoria: 82,28€.
Cargado: 27/10/23.
</t>
        </r>
      </text>
    </comment>
    <comment ref="CA222" authorId="2" shapeId="0" xr:uid="{9F765093-6E38-487A-B271-9057AA4B0289}">
      <text>
        <r>
          <rPr>
            <sz val="9"/>
            <color indexed="81"/>
            <rFont val="Tahoma"/>
            <family val="2"/>
          </rPr>
          <t>Fra Creativa del 22/11/23.
Gestoria: 82,28€.
Cargado: 27/11/23</t>
        </r>
      </text>
    </comment>
    <comment ref="CC222" authorId="2" shapeId="0" xr:uid="{6DEFA55A-E3E7-452A-9326-FA3A17F996A2}">
      <text>
        <r>
          <rPr>
            <sz val="9"/>
            <color indexed="81"/>
            <rFont val="Tahoma"/>
            <family val="2"/>
          </rPr>
          <t xml:space="preserve">Fra Creativa del 22/12/23.
Gestoria: 93,17€. 
Cargado: 01/01/24
-----------------------------------
</t>
        </r>
      </text>
    </comment>
    <comment ref="CD222" authorId="0" shapeId="0" xr:uid="{EBFF3A33-BA9D-4530-8380-2AA4727934DE}">
      <text>
        <r>
          <rPr>
            <b/>
            <sz val="9"/>
            <color indexed="81"/>
            <rFont val="Tahoma"/>
            <family val="2"/>
          </rPr>
          <t xml:space="preserve">Fra Creativa del 22/01/24.
</t>
        </r>
        <r>
          <rPr>
            <sz val="9"/>
            <color indexed="81"/>
            <rFont val="Tahoma"/>
            <family val="2"/>
          </rPr>
          <t>Gestoria: 96,16€. 
Cargado:</t>
        </r>
        <r>
          <rPr>
            <b/>
            <sz val="9"/>
            <color indexed="81"/>
            <rFont val="Tahoma"/>
            <family val="2"/>
          </rPr>
          <t xml:space="preserve"> </t>
        </r>
        <r>
          <rPr>
            <sz val="9"/>
            <color indexed="81"/>
            <rFont val="Tahoma"/>
            <family val="2"/>
          </rPr>
          <t>01/02/24</t>
        </r>
        <r>
          <rPr>
            <b/>
            <sz val="9"/>
            <color indexed="81"/>
            <rFont val="Tahoma"/>
            <family val="2"/>
          </rPr>
          <t xml:space="preserve">
-----------------------------------
</t>
        </r>
      </text>
    </comment>
    <comment ref="CE222" authorId="0" shapeId="0" xr:uid="{40B5C1BB-5CED-471B-BAF7-5E61F51110AF}">
      <text>
        <r>
          <rPr>
            <b/>
            <sz val="9"/>
            <color indexed="81"/>
            <rFont val="Tahoma"/>
            <family val="2"/>
          </rPr>
          <t xml:space="preserve">Fra Creativa del 22/02/24.
</t>
        </r>
        <r>
          <rPr>
            <sz val="9"/>
            <color indexed="81"/>
            <rFont val="Tahoma"/>
            <family val="2"/>
          </rPr>
          <t>Gestoria: 107,40€. 
Cargado: 01/03/24</t>
        </r>
        <r>
          <rPr>
            <b/>
            <sz val="9"/>
            <color indexed="81"/>
            <rFont val="Tahoma"/>
            <family val="2"/>
          </rPr>
          <t xml:space="preserve">
-----------------------------------</t>
        </r>
      </text>
    </comment>
    <comment ref="BY223" authorId="2" shapeId="0" xr:uid="{48A2EF9D-FB0A-4587-83CF-463B8FDF6685}">
      <text>
        <r>
          <rPr>
            <sz val="9"/>
            <color indexed="81"/>
            <rFont val="Tahoma"/>
            <family val="2"/>
          </rPr>
          <t>Comision serv seguridad: 52,03€. Cargado VISA el 01/09/23.
---------------------------
Comision Liq.Cta.Vista: 30,00€ 
Cargado: 29/09/23.
---------------------------
196,18€: Intereses financiacion pago proveedores.
Cargado: 29/09/23.</t>
        </r>
      </text>
    </comment>
    <comment ref="BZ223" authorId="2" shapeId="0" xr:uid="{86B5AF72-BDCD-41AA-B67B-2030FD036057}">
      <text>
        <r>
          <rPr>
            <sz val="9"/>
            <color indexed="81"/>
            <rFont val="Tahoma"/>
            <family val="2"/>
          </rPr>
          <t xml:space="preserve">
22,48€: Intereses financiacion pago proveedores.
Cargado: 03/10/23.
---------------------------
49,05€: Intereses financiacion pago proveedores.
Cargado: 03/10/23
---------------------------
116,69€: Intereses financiacion pago proveedores.
Cargado: 06/10/23
---------------------------
114,72€: Intereses financiacion pago proveedores.
Cargado: 06/10/23
----------------------------
176,77 E: Intereses financiacion pago proveedores.
Cargado: 13/10/23
--------------------------------
16,66 E: Intereses financiacion pago proveedores.
Cargado: 13/10/23
-------------------------------
16,66 E: Intereses financiacion pago proveedores.
Cargado: 13/10/23
----------------------------------
224,95 E: Intereses financiacion pago proveedores.
Cargado: 27/10/23
----------------------------------
16,50€: comsiion traspaso entre cuentas el 27/10/23.</t>
        </r>
      </text>
    </comment>
    <comment ref="CA223" authorId="2" shapeId="0" xr:uid="{7FC551F5-790C-455F-9CA0-15FDFE1ED29E}">
      <text>
        <r>
          <rPr>
            <sz val="9"/>
            <color indexed="81"/>
            <rFont val="Tahoma"/>
            <family val="2"/>
          </rPr>
          <t xml:space="preserve">22,48€: Intereses financiacion pago proveedores.
Cargado: 03/11/23.
---------------------------
185,10€: Intereses financiacion pago proveedores.
Cargado: 10/11/23.
----------------------------------
</t>
        </r>
      </text>
    </comment>
    <comment ref="CB223" authorId="0" shapeId="0" xr:uid="{5C11A85F-6875-4E26-8D82-356622A9BB3C}">
      <text>
        <r>
          <rPr>
            <sz val="9"/>
            <color indexed="81"/>
            <rFont val="Tahoma"/>
            <family val="2"/>
          </rPr>
          <t>Comision Liq.Cta.Vista: 30,00€ 
Cargado: 29/12/23.
---------------------------
Liquidación del contrato: 2,28€
Cargado Santander: 13/12/23
-------------------------
10244,80€: Gastos de asesoría, gestoria 
Incluye 2.386,11€ de constitución préstamo 
Cargado BBVA: 19/12/23
----------------------------
3€: Comisión por devolución de recibo
Cargado Caixa: 12/12/23</t>
        </r>
      </text>
    </comment>
    <comment ref="CC223" authorId="0" shapeId="0" xr:uid="{359E65B3-1A2A-467F-BB5D-B4F127CA8F70}">
      <text>
        <r>
          <rPr>
            <sz val="9"/>
            <color indexed="81"/>
            <rFont val="Tahoma"/>
            <family val="2"/>
          </rPr>
          <t>69,74€: Intereses financiacion pago proveedores. (Fra Nanta)
Cargado: 26/01/24.
--------------------------------
189,34€: Intereses financiacion pago proveedores. (Fra Iberica F.)
Cargado: 29/01/24.
--------------------------------
3€: Comisión por devolución cargo Isagri
Cargado: 04/01/24
-------------------------------------</t>
        </r>
      </text>
    </comment>
    <comment ref="CD223" authorId="0" shapeId="0" xr:uid="{223B5B1A-8D94-4B18-BC7D-24FF8FC946BA}">
      <text>
        <r>
          <rPr>
            <sz val="9"/>
            <color indexed="81"/>
            <rFont val="Tahoma"/>
            <family val="2"/>
          </rPr>
          <t>175,14€: Intereses financiacion pago proveedores. (Fra Iberica F.)
Cargado: 02/02/24.
--------------------------------
81,14€: Intereses financiacion pago proveedores. (Fra Nanta)
Cargado: 13/02/24.
--------------------------------
106,50€: Intereses financiacion pago proveedores. (Fra Cereales M.)
Cargado: 16/02/24.
--------------------------------
615,57€: Devolución Gastos de asesoría, gestoria constitución préstamo 
Abonado BBVA: 13/02/24
------------------------------------------
10,00€: serv. Banca a distancia.
Caragado: 13/02/24</t>
        </r>
      </text>
    </comment>
    <comment ref="CE223" authorId="0" shapeId="0" xr:uid="{96E40016-47A5-4F63-8C0B-F9CFB581F0A0}">
      <text>
        <r>
          <rPr>
            <sz val="9"/>
            <color indexed="81"/>
            <rFont val="Tahoma"/>
            <family val="2"/>
          </rPr>
          <t xml:space="preserve">147,54€: Intereses financiacion pago proveedores. (Fra Javier Pombero REFO)
Cargado: 15/03/24.
</t>
        </r>
      </text>
    </comment>
    <comment ref="B226" authorId="1" shapeId="0" xr:uid="{3CC1BDE6-092B-4E40-A82A-ADA3BA11709F}">
      <text>
        <r>
          <rPr>
            <b/>
            <sz val="9"/>
            <color indexed="81"/>
            <rFont val="Tahoma"/>
            <family val="2"/>
          </rPr>
          <t>alfonso:</t>
        </r>
        <r>
          <rPr>
            <sz val="9"/>
            <color indexed="81"/>
            <rFont val="Tahoma"/>
            <family val="2"/>
          </rPr>
          <t xml:space="preserve">
Claas financiara o BNP</t>
        </r>
      </text>
    </comment>
    <comment ref="BY226" authorId="1" shapeId="0" xr:uid="{2576CD7A-8B6B-462C-A698-F601B355AF9D}">
      <text>
        <r>
          <rPr>
            <sz val="9"/>
            <color indexed="81"/>
            <rFont val="Tahoma"/>
            <family val="2"/>
          </rPr>
          <t>459,42 Eur: (288,23+171,19) intereses Claas financiera o BNP por financiación compra empacadora y ensoladora.
Domic Rural 26/09/22.
Cargado: 25/09/23.</t>
        </r>
      </text>
    </comment>
    <comment ref="BZ226" authorId="1" shapeId="0" xr:uid="{4619D945-80BF-4BF8-83FE-810B61D35157}">
      <text>
        <r>
          <rPr>
            <b/>
            <sz val="9"/>
            <color indexed="81"/>
            <rFont val="Tahoma"/>
            <family val="2"/>
          </rPr>
          <t>alfonso:</t>
        </r>
        <r>
          <rPr>
            <sz val="9"/>
            <color indexed="81"/>
            <rFont val="Tahoma"/>
            <family val="2"/>
          </rPr>
          <t xml:space="preserve">
36,76 Eur: 23,04+13,72 intereses Claas financiera o BNP por financiación compra empacadora y ensoladora.
Domic Rural 25/10/22
----------------------------------------------------------------------
</t>
        </r>
      </text>
    </comment>
    <comment ref="CB227" authorId="1" shapeId="0" xr:uid="{D35C05B8-C8F6-422B-9222-901F3777E3C8}">
      <text>
        <r>
          <rPr>
            <b/>
            <sz val="9"/>
            <color indexed="81"/>
            <rFont val="Tahoma"/>
            <family val="2"/>
          </rPr>
          <t>alfonso:</t>
        </r>
        <r>
          <rPr>
            <sz val="9"/>
            <color indexed="81"/>
            <rFont val="Tahoma"/>
            <family val="2"/>
          </rPr>
          <t xml:space="preserve">
2386,11 comision de apertura
10244,80€: Gastos de asesoría, gestoria 
Incluye 2.386,11€ de constitución préstamo 
Cargado BBVA: 19/12/2</t>
        </r>
      </text>
    </comment>
    <comment ref="CC228" authorId="0" shapeId="0" xr:uid="{37D885AA-D313-4083-8C5B-858506AF72B4}">
      <text>
        <r>
          <rPr>
            <sz val="9"/>
            <color indexed="81"/>
            <rFont val="Tahoma"/>
            <family val="2"/>
          </rPr>
          <t>208,71€: Intereses del 19 al 31/12/23 (12 días)
Cargado BBVA: 03/01/24
--------------------------
488,33€: Intereses del 1 al 31/01/24
Cargado BBVA: 31/01/24</t>
        </r>
      </text>
    </comment>
    <comment ref="CJ230" authorId="2" shapeId="0" xr:uid="{D58614CD-AF1A-4D15-B99C-70DFA685F68B}">
      <text>
        <r>
          <rPr>
            <sz val="9"/>
            <color indexed="81"/>
            <rFont val="Tahoma"/>
            <family val="2"/>
          </rPr>
          <t>Intereses prestamo REFO. Domiciliado 01/08/24</t>
        </r>
      </text>
    </comment>
    <comment ref="CX230" authorId="2" shapeId="0" xr:uid="{9FB25BF0-D7D2-4731-80B2-D987F3115629}">
      <text>
        <r>
          <rPr>
            <sz val="9"/>
            <color indexed="81"/>
            <rFont val="Tahoma"/>
            <family val="2"/>
          </rPr>
          <t>Intereses prestamo REFO. Domiciliado 01/08/24</t>
        </r>
      </text>
    </comment>
    <comment ref="BZ234" authorId="2" shapeId="0" xr:uid="{BFD9E8F8-605E-456C-8574-E83E35A48B26}">
      <text>
        <r>
          <rPr>
            <b/>
            <sz val="9"/>
            <color indexed="81"/>
            <rFont val="Tahoma"/>
            <family val="2"/>
          </rPr>
          <t>Fra Fuel Andevalo del 30/06/23.</t>
        </r>
        <r>
          <rPr>
            <sz val="9"/>
            <color indexed="81"/>
            <rFont val="Tahoma"/>
            <family val="2"/>
          </rPr>
          <t xml:space="preserve">
Gas butano: 16,45€.
Pendiente realizar transferencia. 
------------------------------------
</t>
        </r>
        <r>
          <rPr>
            <b/>
            <sz val="9"/>
            <color indexed="81"/>
            <rFont val="Tahoma"/>
            <family val="2"/>
          </rPr>
          <t>Fra Fuel Andevalo del 31/07/23.</t>
        </r>
        <r>
          <rPr>
            <sz val="9"/>
            <color indexed="81"/>
            <rFont val="Tahoma"/>
            <family val="2"/>
          </rPr>
          <t xml:space="preserve">
Butano: 31,60€. 
Pendiente realizar transferencia. 
</t>
        </r>
        <r>
          <rPr>
            <b/>
            <sz val="9"/>
            <color indexed="81"/>
            <rFont val="Tahoma"/>
            <family val="2"/>
          </rPr>
          <t>------------------------------
Fra Fuel Andevalo del 31/08/23.</t>
        </r>
        <r>
          <rPr>
            <sz val="9"/>
            <color indexed="81"/>
            <rFont val="Tahoma"/>
            <family val="2"/>
          </rPr>
          <t xml:space="preserve">
Butano: 31,60€. 
Pendiente realizar transferencia. 
------------------------------------
Transferencia realizada el 11/10/23</t>
        </r>
      </text>
    </comment>
    <comment ref="BY235" authorId="2" shapeId="0" xr:uid="{401213B7-25C9-4053-AA5B-F1153D22B72B}">
      <text>
        <r>
          <rPr>
            <sz val="9"/>
            <color indexed="81"/>
            <rFont val="Tahoma"/>
            <family val="2"/>
          </rPr>
          <t xml:space="preserve">515,56€: gastos VISA sin justificantes. Cargado 01/09/23.
---------------------------------
</t>
        </r>
        <r>
          <rPr>
            <b/>
            <sz val="9"/>
            <color indexed="81"/>
            <rFont val="Tahoma"/>
            <family val="2"/>
          </rPr>
          <t>Fra Gestoria Maraver del 29/06/23.</t>
        </r>
        <r>
          <rPr>
            <sz val="9"/>
            <color indexed="81"/>
            <rFont val="Tahoma"/>
            <family val="2"/>
          </rPr>
          <t xml:space="preserve">
Cambio titularidad vehiculo: 114,04€ 
Transferencia realizada el 06/09/23.
-----------------------------------------------
3.702,78€: SALDO DE CAJA de molino, aqui se queda a cero, y nos lo llevamos a NA. </t>
        </r>
      </text>
    </comment>
    <comment ref="BZ235" authorId="2" shapeId="0" xr:uid="{8174FB82-39AD-4D7A-859F-5F908CFE8C8D}">
      <text>
        <r>
          <rPr>
            <sz val="9"/>
            <color indexed="81"/>
            <rFont val="Tahoma"/>
            <family val="2"/>
          </rPr>
          <t>216,63€: gastos VISA sin justificantes. Cargado 01/10/23.</t>
        </r>
      </text>
    </comment>
    <comment ref="CA235" authorId="2" shapeId="0" xr:uid="{D1A626FE-281E-45D8-A30A-9D25A0F21383}">
      <text>
        <r>
          <rPr>
            <b/>
            <sz val="9"/>
            <color indexed="81"/>
            <rFont val="Tahoma"/>
            <family val="2"/>
          </rPr>
          <t xml:space="preserve">Fra Gestoria Maraver del 30/10/23.
</t>
        </r>
        <r>
          <rPr>
            <sz val="9"/>
            <color indexed="81"/>
            <rFont val="Tahoma"/>
            <family val="2"/>
          </rPr>
          <t>Cambio titularidad vehiculo: 164,30€ 
Transfrencia realizada el 07/11/23.
-------------------------
429,96€: gastos VISA sin justificantes. Cargado 01/11/23.</t>
        </r>
      </text>
    </comment>
    <comment ref="CB235" authorId="2" shapeId="0" xr:uid="{0F78E101-1D5C-4643-9405-C6B718E9F54D}">
      <text>
        <r>
          <rPr>
            <sz val="9"/>
            <color indexed="81"/>
            <rFont val="Tahoma"/>
            <family val="2"/>
          </rPr>
          <t xml:space="preserve">223,31€: gastos VISA sin justificantes. Cargado 01/12/23.
--------------------------
474,08€: Cobro por error pndte de devolución a Nixal Agri
Abonado Caixa: 06/12/23
504,59€: Cobro por error pndte de devolución a Nixal Agri
Abonado Caixa: 20/12/23
</t>
        </r>
      </text>
    </comment>
    <comment ref="CC235" authorId="0" shapeId="0" xr:uid="{0E7122FE-444B-4AB4-82F8-7143CAFA651A}">
      <text>
        <r>
          <rPr>
            <sz val="9"/>
            <color indexed="81"/>
            <rFont val="Tahoma"/>
            <family val="2"/>
          </rPr>
          <t xml:space="preserve">-474,08€: Cobro por error pndte de devolución a Nixal Agri por fra 23 NA
Abonado Caixa: 06/12/23
Realizar devolución
Transf. Caixa realizada el 16/01/24
-504,59€: Cobro por error pndte de devolución a Nixal Agri por fra 26 NA
Abonado Caixa: 20/12/23
Realizar devolución
Transf. Caixa realizada el 16/01/24
</t>
        </r>
      </text>
    </comment>
    <comment ref="CD235" authorId="2" shapeId="0" xr:uid="{C524DCC3-820E-4DE1-B340-92027E172FBC}">
      <text>
        <r>
          <rPr>
            <sz val="9"/>
            <color theme="1"/>
            <rFont val="Tahoma"/>
            <family val="2"/>
          </rPr>
          <t xml:space="preserve">54,68 E: Prevision Generali Seguro
11/02/24-11/02/25
domiciliado en caja rural: 14/02/24
La previsión estaba anotada en NA, comunicado a ALF el 01/03/24. pndte RE del agente de seguros
Lo ponemos aquí provisionalmente </t>
        </r>
      </text>
    </comment>
    <comment ref="B236" authorId="1" shapeId="0" xr:uid="{5D1EE9D0-6228-4CAE-8CB0-70D5FA45DEFC}">
      <text>
        <r>
          <rPr>
            <u/>
            <sz val="9"/>
            <color indexed="81"/>
            <rFont val="Tahoma"/>
            <family val="2"/>
          </rPr>
          <t xml:space="preserve">Junta de Andalucía (derechos comprados a Antonio)
</t>
        </r>
        <r>
          <rPr>
            <sz val="9"/>
            <color indexed="81"/>
            <rFont val="Tahoma"/>
            <family val="2"/>
          </rPr>
          <t>Entidad gestora: Tobias Romero o Rendimiento Verde¿?
Cantidad concedida: pendiente de dotación presupuestaria hace dos años
Previsión 20/21: 4800
Fecha de presentación estimada:
Fecha de pagos: sin concretar
Periocidad: cada varios años</t>
        </r>
      </text>
    </comment>
    <comment ref="BZ236" authorId="2" shapeId="0" xr:uid="{E69D00A5-72CF-4F15-BD5C-10A76808F13B}">
      <text>
        <r>
          <rPr>
            <b/>
            <sz val="9"/>
            <color indexed="81"/>
            <rFont val="Tahoma"/>
            <family val="2"/>
          </rPr>
          <t>Pago basico fondo de garantia agrario andaluz. 
Cargado: 07/10/23.</t>
        </r>
      </text>
    </comment>
    <comment ref="BY237" authorId="2" shapeId="0" xr:uid="{2B40FDE2-C24E-40D7-A935-8866DAB64E5F}">
      <text>
        <r>
          <rPr>
            <sz val="9"/>
            <color indexed="81"/>
            <rFont val="Tahoma"/>
            <family val="2"/>
          </rPr>
          <t xml:space="preserve">
</t>
        </r>
        <r>
          <rPr>
            <b/>
            <sz val="9"/>
            <color indexed="81"/>
            <rFont val="Tahoma"/>
            <family val="2"/>
          </rPr>
          <t>Fra Jesus marcelo del 31/08/23.</t>
        </r>
        <r>
          <rPr>
            <sz val="9"/>
            <color indexed="81"/>
            <rFont val="Tahoma"/>
            <family val="2"/>
          </rPr>
          <t xml:space="preserve">
2.186,00€: Trabajos Jesus Marcelo. 
Desbroce de 6,21 Has de superficie x 290,92 Eur/ha= 1.806,61 +iva 
Transferencia realizada el 07/09/23.</t>
        </r>
      </text>
    </comment>
    <comment ref="BZ237" authorId="2" shapeId="0" xr:uid="{D56D4591-58AC-4A13-8FC3-BACBE1C65E6E}">
      <text>
        <r>
          <rPr>
            <sz val="9"/>
            <color indexed="81"/>
            <rFont val="Tahoma"/>
            <family val="2"/>
          </rPr>
          <t xml:space="preserve">15.050,83€: Prevision Fra Javier Pombero. 
Fra del 10/07/23 javier pombero.
Transferencia realizada el 11/10/23.
</t>
        </r>
      </text>
    </comment>
    <comment ref="CA237" authorId="2" shapeId="0" xr:uid="{2C0F81A1-FD50-4B2C-BF39-B4CEC129C6FD}">
      <text>
        <r>
          <rPr>
            <sz val="9"/>
            <color indexed="81"/>
            <rFont val="Tahoma"/>
            <family val="2"/>
          </rPr>
          <t xml:space="preserve">
</t>
        </r>
        <r>
          <rPr>
            <b/>
            <sz val="9"/>
            <color indexed="81"/>
            <rFont val="Tahoma"/>
            <family val="2"/>
          </rPr>
          <t>Fra Jesus marcelo del 30/11/23.</t>
        </r>
        <r>
          <rPr>
            <sz val="9"/>
            <color indexed="81"/>
            <rFont val="Tahoma"/>
            <family val="2"/>
          </rPr>
          <t xml:space="preserve">
7.635,16€: Trabajos Jesus Marcelo. 
Desbroce de 21,69 Has de superficie x 290,92 Eur/ha= 6.310,05 +iva 
Transferencia realizada el 30/11/23.</t>
        </r>
      </text>
    </comment>
    <comment ref="CB237" authorId="2" shapeId="0" xr:uid="{CFEBBFD2-D7D4-412D-92E2-2AA720EDB751}">
      <text>
        <r>
          <rPr>
            <b/>
            <sz val="9"/>
            <color indexed="81"/>
            <rFont val="Tahoma"/>
            <family val="2"/>
          </rPr>
          <t>Fra Jesus marcelo del 04/12/23.</t>
        </r>
        <r>
          <rPr>
            <sz val="9"/>
            <color indexed="81"/>
            <rFont val="Tahoma"/>
            <family val="2"/>
          </rPr>
          <t xml:space="preserve">
29.218,78€: Trabajos Jesus Marcelo. 
Desbroce de 60,79 Has de superficie x 290,92 Eur/ha= 17.685,03 +iva + Mano obra de densificación 6.462,72€ 
29.218,78€: Transferencia realizada el 05/12/23.
</t>
        </r>
        <r>
          <rPr>
            <i/>
            <sz val="9"/>
            <color indexed="81"/>
            <rFont val="Tahoma"/>
            <family val="2"/>
          </rPr>
          <t xml:space="preserve">De este importe:
• 20.910 Eur + 21% de iva + 450 +21 % de iva, corresponden a compra de semilla de Cereales Mendez (adjuntas) que les paga Jesús Marcelo
</t>
        </r>
        <r>
          <rPr>
            <b/>
            <sz val="9"/>
            <color indexed="81"/>
            <rFont val="Tahoma"/>
            <family val="2"/>
          </rPr>
          <t>FACTURA 97 del 18/12/23 de NC a NA: 25.845,60€
Pndte abono Caixa
20.000€: Abonado Caixa el 20/12/23 
5.845,60€: Abonado Caixa por el total 16.931,25€ el 20/12/23</t>
        </r>
        <r>
          <rPr>
            <i/>
            <sz val="9"/>
            <color indexed="81"/>
            <rFont val="Tahoma"/>
            <family val="2"/>
          </rPr>
          <t xml:space="preserve">
• 2.787,75 + 21% de iva, corresponde a anticipo a Jesus Marcelo por trabajos de reforestación
---------------------------------------
</t>
        </r>
        <r>
          <rPr>
            <b/>
            <sz val="9"/>
            <color indexed="81"/>
            <rFont val="Tahoma"/>
            <family val="2"/>
          </rPr>
          <t>Fra Jesus marcelo del 29/12/23.</t>
        </r>
        <r>
          <rPr>
            <sz val="9"/>
            <color indexed="81"/>
            <rFont val="Tahoma"/>
            <family val="2"/>
          </rPr>
          <t xml:space="preserve">
5.350,62€: Cajas de nido (402*11€/ud)=4.422€+iva
5.350,62€: Transferencia realizada el 29/12/23.</t>
        </r>
        <r>
          <rPr>
            <i/>
            <sz val="9"/>
            <color indexed="81"/>
            <rFont val="Tahoma"/>
            <family val="2"/>
          </rPr>
          <t xml:space="preserve">
</t>
        </r>
      </text>
    </comment>
    <comment ref="CC237" authorId="1" shapeId="0" xr:uid="{032DBD73-CF7E-4445-B89E-B5A0CBFEE387}">
      <text>
        <r>
          <rPr>
            <b/>
            <sz val="9"/>
            <color indexed="81"/>
            <rFont val="Tahoma"/>
            <family val="2"/>
          </rPr>
          <t>Turbepal: 
Fra 00‐000028/2024 (19/01/24):</t>
        </r>
        <r>
          <rPr>
            <sz val="9"/>
            <color indexed="81"/>
            <rFont val="Tahoma"/>
            <family val="2"/>
          </rPr>
          <t xml:space="preserve">
720€+IVA10%=792€: Encinas
360€+IVA10%=396€: Algarrobo
215€+IVA21%=260,15€ Gastos envío
1.448,15€: Vcmto 20/01/24
19/01/24: Ok Alf realizar el pago la semana del 22/01/24
Transferencia realizada el 26/01/24  
--------------------------------------
</t>
        </r>
        <r>
          <rPr>
            <b/>
            <sz val="9"/>
            <color indexed="81"/>
            <rFont val="Tahoma"/>
            <family val="2"/>
          </rPr>
          <t>Carpinteria metálica Javier Pombero:</t>
        </r>
        <r>
          <rPr>
            <sz val="9"/>
            <color indexed="81"/>
            <rFont val="Tahoma"/>
            <family val="2"/>
          </rPr>
          <t xml:space="preserve">
Compra de 2800 corrugados de 16 mm a 2,4 metros y 750 jaulas para reforestación.
2800x2,95 + 750x6,6 = 13.210 eur +iva = 15.984,10 Eur
24/01/24: Info ALF: Pagamos ya el 50% para que nos lo sirvan. 
7.992,05€: Transferencia Caixa realizada el 24/01/24
</t>
        </r>
      </text>
    </comment>
    <comment ref="CD237" authorId="1" shapeId="0" xr:uid="{401A6DB2-EC6A-4C11-87B7-917367E7D8CB}">
      <text>
        <r>
          <rPr>
            <b/>
            <sz val="9"/>
            <color indexed="81"/>
            <rFont val="Tahoma"/>
            <family val="2"/>
          </rPr>
          <t>Fortetub-Microflora: 
Ppto 000075 (12/02/24):</t>
        </r>
        <r>
          <rPr>
            <sz val="9"/>
            <color indexed="81"/>
            <rFont val="Tahoma"/>
            <family val="2"/>
          </rPr>
          <t xml:space="preserve">
1.310,40€+IVA10%=1.441,44€:Tubo invernadero
611€+IVA21%=739, 31€ Tutor Bambú
12/02/24: Ok Alf realizar el pago 2.180,75€: Transferencia realizada el 12/02/24  
---------------------------------------------------
Salarios febrero reforestacion en contratacion directa. 
No pagar de cuenta de reforestación.
2 Peones forestales en Régimen Agricola:
*Estrella Martinez Martinez 800,01 Eur netos
  Transferencia Caixa MDZ realizada el 29/02/24
*Juan Carlos Jimenez Martinez 896 Eur netos
  Transferencia Caixa MDZ realizada el 29/02/24
1 Peón de limpieza o mantenimiento en Régimen General
*Miguel Vazquez Marín 800,05 Eur netos
  Transferencia Caixa MDZ realizada el 29/02/24
Jaime Martin 1020,01 Eur netos
Transferencia Caixa MDZ realizada el 29/02/24</t>
        </r>
      </text>
    </comment>
    <comment ref="CE237" authorId="2" shapeId="0" xr:uid="{046676BB-8E4D-44A0-AD0D-B1DA7977D5C9}">
      <text>
        <r>
          <rPr>
            <b/>
            <sz val="9"/>
            <color indexed="81"/>
            <rFont val="Tahoma"/>
            <family val="2"/>
          </rPr>
          <t>656,15 €</t>
        </r>
        <r>
          <rPr>
            <sz val="9"/>
            <color indexed="81"/>
            <rFont val="Tahoma"/>
            <family val="2"/>
          </rPr>
          <t xml:space="preserve"> Pago presupuesto Viveros Sierra Norte.
Transferencia realizada el 22/03/24.</t>
        </r>
      </text>
    </comment>
    <comment ref="CF237" authorId="6" shapeId="0" xr:uid="{14048AD8-CA02-4BB6-A4FE-5EC607B5E8D2}">
      <text>
        <r>
          <rPr>
            <sz val="9"/>
            <color indexed="81"/>
            <rFont val="Tahoma"/>
            <family val="2"/>
          </rPr>
          <t xml:space="preserve">Salarios Marzo reforestacion en contratacion directa. 
No pagar de cuenta de reforestación.
2 peones forestales en Régimen Agricola:
*Estrella Martinez Martinez 725,01 Eur netos
  Transferencia Caixa MDZ realizada el xx/03/24
*Juan Carlos Jimenez Martinez 815,01 Eur netos
  Transferencia Caixa MDZ realizada el xx/03/24
1 peón de limpieza o mantenimiento en Régimen General:
*Miguel Vazquez Marín 675,00 Eur netos
  Transferencia Caixa MDZ realizada el XX/03/24
Jaime Martin 1097,01 Eur netos
Transferencia Caixa MDZ realizada el xx/03/24
</t>
        </r>
      </text>
    </comment>
    <comment ref="CI237" authorId="1" shapeId="0" xr:uid="{6862DDFA-B627-438E-B6DC-93D312B475CE}">
      <text>
        <r>
          <rPr>
            <b/>
            <sz val="9"/>
            <color indexed="81"/>
            <rFont val="Tahoma"/>
            <family val="2"/>
          </rPr>
          <t>Carpinteria metálica Javier Pombero:</t>
        </r>
        <r>
          <rPr>
            <sz val="9"/>
            <color indexed="81"/>
            <rFont val="Tahoma"/>
            <family val="2"/>
          </rPr>
          <t xml:space="preserve">
Compra de 2800 corrugados de 16 mm a 2,4 metros y 750 jaulas para reforestación.
2800x2,95 + 750x6,6 = 13.210 eur +iva = 15.984,10 Eur
24/01/24: Info ALF: Pagamos ya el 50% para que nos lo sirvan. 
7.992,05€: Transferencia Caixa realizada el 24/01/24
16.601,20€: OK ALF fra final
Fra del 24/01/24
-7992,05€: Pagados el 24/01/24
8.609,15€: Transferencia Caixa realizada el 15/03/24
Vencimiento: 10/07/24
</t>
        </r>
      </text>
    </comment>
    <comment ref="CL237" authorId="2" shapeId="0" xr:uid="{756C3F97-F7ED-4140-B851-B2C7368C9EEF}">
      <text>
        <r>
          <rPr>
            <sz val="9"/>
            <color indexed="81"/>
            <rFont val="Tahoma"/>
            <family val="2"/>
          </rPr>
          <t xml:space="preserve">-----------------------------------
</t>
        </r>
        <r>
          <rPr>
            <b/>
            <sz val="9"/>
            <color indexed="81"/>
            <rFont val="Tahoma"/>
            <family val="2"/>
          </rPr>
          <t>Fra Viveros forestales La dehesa del 15/11/22.</t>
        </r>
        <r>
          <rPr>
            <sz val="9"/>
            <color indexed="81"/>
            <rFont val="Tahoma"/>
            <family val="2"/>
          </rPr>
          <t xml:space="preserve">
Plantas: 4.873,13€. 
Pendiente realizar transferencia.  
-----------------------------------------------
</t>
        </r>
        <r>
          <rPr>
            <b/>
            <sz val="9"/>
            <color indexed="81"/>
            <rFont val="Tahoma"/>
            <family val="2"/>
          </rPr>
          <t>Fra Viveros forestales La dehesa del 06/07/22.</t>
        </r>
        <r>
          <rPr>
            <sz val="9"/>
            <color indexed="81"/>
            <rFont val="Tahoma"/>
            <family val="2"/>
          </rPr>
          <t xml:space="preserve">
Plantas: 1.666,17€. 
Pendiente realizar transferencia.  
-----------------------------------------------
</t>
        </r>
        <r>
          <rPr>
            <b/>
            <sz val="9"/>
            <color indexed="81"/>
            <rFont val="Tahoma"/>
            <family val="2"/>
          </rPr>
          <t>Fra Viveros forestales La dehesa del 06/07/22.</t>
        </r>
        <r>
          <rPr>
            <sz val="9"/>
            <color indexed="81"/>
            <rFont val="Tahoma"/>
            <family val="2"/>
          </rPr>
          <t xml:space="preserve">
Plantas: 4.277,79€. 
Pendiente realizar transferencia.  
-----------------------------------------------
</t>
        </r>
      </text>
    </comment>
    <comment ref="DA237" authorId="2" shapeId="0" xr:uid="{753B2BD1-CD23-4BB2-BE86-4A151BE73B8F}">
      <text>
        <r>
          <rPr>
            <sz val="9"/>
            <color indexed="81"/>
            <rFont val="Tahoma"/>
            <family val="2"/>
          </rPr>
          <t xml:space="preserve">Subvencion reforestación 1º AYUDA pendiente de ingresar. </t>
        </r>
      </text>
    </comment>
    <comment ref="B238" authorId="1" shapeId="0" xr:uid="{09F80A2C-99F8-42E7-8C1F-4F132606CCF3}">
      <text>
        <r>
          <rPr>
            <u/>
            <sz val="9"/>
            <color indexed="81"/>
            <rFont val="Tahoma"/>
            <family val="2"/>
          </rPr>
          <t xml:space="preserve">Junta de Andalucía (incorporada en la PAC)
</t>
        </r>
        <r>
          <rPr>
            <sz val="9"/>
            <color indexed="81"/>
            <rFont val="Tahoma"/>
            <family val="2"/>
          </rPr>
          <t xml:space="preserve">
Entidad gestora: Caja Rural
Previsión jun 23: 24603,75 de nixal y 19903,52 de Corchas
Fecha de presentación estimada: 30/4 de cada año
Fecha de pagos: ??
Periocidad: Esperádica o única</t>
        </r>
      </text>
    </comment>
    <comment ref="BZ238" authorId="1" shapeId="0" xr:uid="{85173602-B73C-4F97-8333-6826610DC531}">
      <text>
        <r>
          <rPr>
            <sz val="9"/>
            <color indexed="81"/>
            <rFont val="Tahoma"/>
            <family val="2"/>
          </rPr>
          <t>resolución concedida. 
16643,21 a NC
Abonado Caja Rural: 10/10/23</t>
        </r>
      </text>
    </comment>
    <comment ref="CG238" authorId="1" shapeId="0" xr:uid="{15C472FC-F8AB-4DE4-A81D-B53678CB4BD6}">
      <text>
        <r>
          <rPr>
            <sz val="9"/>
            <color indexed="81"/>
            <rFont val="Tahoma"/>
            <family val="2"/>
          </rPr>
          <t xml:space="preserve">resolución concedida. 
3718,33 a Federico Santa Ana. Descontra de aquí el IBI que ha pagado Federico de la Finca LAS CORCHAS por un total de 400,57€. </t>
        </r>
      </text>
    </comment>
    <comment ref="CL238" authorId="1" shapeId="0" xr:uid="{F740665F-C6DA-474E-8682-011ECEB837A7}">
      <text>
        <r>
          <rPr>
            <b/>
            <sz val="9"/>
            <color indexed="81"/>
            <rFont val="Tahoma"/>
            <family val="2"/>
          </rPr>
          <t>alfonso:</t>
        </r>
        <r>
          <rPr>
            <sz val="9"/>
            <color indexed="81"/>
            <rFont val="Tahoma"/>
            <family val="2"/>
          </rPr>
          <t xml:space="preserve">
Fra ICA Alvarez del 10/01/23. 
Carbonato calcico: 5.093,55€. 
Hacer el pago del 50% de la factura en junio.   
</t>
        </r>
      </text>
    </comment>
    <comment ref="CC239" authorId="0" shapeId="0" xr:uid="{3A2D16F6-C8C0-43E5-9129-8F76DBE5AEC4}">
      <text>
        <r>
          <rPr>
            <b/>
            <sz val="9"/>
            <color indexed="81"/>
            <rFont val="Tahoma"/>
            <family val="2"/>
          </rPr>
          <t>Fra Agrojimenez del 22/11/23.</t>
        </r>
        <r>
          <rPr>
            <sz val="9"/>
            <color indexed="81"/>
            <rFont val="Tahoma"/>
            <family val="2"/>
          </rPr>
          <t xml:space="preserve">
6 Bebederos grandes: 2.250,00€+IVA=2.722,50€. 
Pendiente realizar transferencia. 
Transferencia Caixa realizada el 16/01/24
---------------------------------</t>
        </r>
      </text>
    </comment>
    <comment ref="CF239" authorId="3" shapeId="0" xr:uid="{800CF066-C4FF-4334-9C48-610C528F13AD}">
      <text>
        <r>
          <rPr>
            <sz val="9"/>
            <color indexed="81"/>
            <rFont val="Tahoma"/>
            <family val="2"/>
          </rPr>
          <t xml:space="preserve">Subvención concedida por sequia-----------
</t>
        </r>
        <r>
          <rPr>
            <b/>
            <sz val="9"/>
            <color indexed="81"/>
            <rFont val="Tahoma"/>
            <family val="2"/>
          </rPr>
          <t>Fra Rafael Rodriguez Macias del 29/04/23.</t>
        </r>
        <r>
          <rPr>
            <sz val="9"/>
            <color indexed="81"/>
            <rFont val="Tahoma"/>
            <family val="2"/>
          </rPr>
          <t xml:space="preserve">
Manguera: 1.334,03€
No pagada hasta que nos avise alfonso. 
-----------------------------------------------------
</t>
        </r>
        <r>
          <rPr>
            <b/>
            <sz val="9"/>
            <color indexed="81"/>
            <rFont val="Tahoma"/>
            <family val="2"/>
          </rPr>
          <t>Fra Rafael Rodrigez Macias del 11/05/23.</t>
        </r>
        <r>
          <rPr>
            <sz val="9"/>
            <color indexed="81"/>
            <rFont val="Tahoma"/>
            <family val="2"/>
          </rPr>
          <t xml:space="preserve">
Reforma instalaciones agua: 852,38€ 
Pendiente realizar transferencia. 
!!!! pendiente que envie una factura nueva actualizada con la suvencion
-------------------------------------------------------
</t>
        </r>
        <r>
          <rPr>
            <b/>
            <sz val="9"/>
            <color indexed="81"/>
            <rFont val="Tahoma"/>
            <family val="2"/>
          </rPr>
          <t>Fra Rafael Rodrigez Macias del 11/05/23.</t>
        </r>
        <r>
          <rPr>
            <sz val="9"/>
            <color indexed="81"/>
            <rFont val="Tahoma"/>
            <family val="2"/>
          </rPr>
          <t xml:space="preserve">
Reforma instalaciones agua: 851,24€
Pendiente realizar transferencia. 
--------------------------------------------------
</t>
        </r>
        <r>
          <rPr>
            <b/>
            <sz val="9"/>
            <color indexed="81"/>
            <rFont val="Tahoma"/>
            <family val="2"/>
          </rPr>
          <t>Fra Rafael Rodrigez Macias del 29/05/23.</t>
        </r>
        <r>
          <rPr>
            <sz val="9"/>
            <color indexed="81"/>
            <rFont val="Tahoma"/>
            <family val="2"/>
          </rPr>
          <t xml:space="preserve">
Reforma instalaciones agua: 1.762,97€ 
Pendiente realizar transferencia. 
-------------------------------------------------------
</t>
        </r>
        <r>
          <rPr>
            <b/>
            <sz val="9"/>
            <color indexed="81"/>
            <rFont val="Tahoma"/>
            <family val="2"/>
          </rPr>
          <t>Fra Rafael Rodriguez Macias del 29/05/23.</t>
        </r>
        <r>
          <rPr>
            <sz val="9"/>
            <color indexed="81"/>
            <rFont val="Tahoma"/>
            <family val="2"/>
          </rPr>
          <t xml:space="preserve">
Manguera: 1.766,00€
No pagada hasta que nos avise alfonso. 
----------------------------------------------
</t>
        </r>
        <r>
          <rPr>
            <b/>
            <sz val="9"/>
            <color indexed="81"/>
            <rFont val="Tahoma"/>
            <family val="2"/>
          </rPr>
          <t xml:space="preserve">Presupusto de dos depositos de De Los Reyes 
</t>
        </r>
        <r>
          <rPr>
            <sz val="9"/>
            <color indexed="81"/>
            <rFont val="Tahoma"/>
            <family val="2"/>
          </rPr>
          <t xml:space="preserve">3475*2*1,21
---------------------------------------------
</t>
        </r>
      </text>
    </comment>
    <comment ref="CG239" authorId="1" shapeId="0" xr:uid="{4075621F-9FA3-40D4-AFBD-5F22B80A818F}">
      <text>
        <r>
          <rPr>
            <b/>
            <sz val="9"/>
            <color indexed="81"/>
            <rFont val="Tahoma"/>
            <family val="2"/>
          </rPr>
          <t>alfonso:</t>
        </r>
        <r>
          <rPr>
            <sz val="9"/>
            <color indexed="81"/>
            <rFont val="Tahoma"/>
            <family val="2"/>
          </rPr>
          <t xml:space="preserve">
Concesión subvanción ayuda Sequia contra facturas de compras anotadas en meses anteriores: 
Tuberias 
Depositos
Bebederos</t>
        </r>
      </text>
    </comment>
    <comment ref="B249" authorId="1" shapeId="0" xr:uid="{457591C8-2FCE-4D38-B091-31743A4CDE52}">
      <text>
        <r>
          <rPr>
            <b/>
            <sz val="9"/>
            <color indexed="81"/>
            <rFont val="Tahoma"/>
            <family val="2"/>
          </rPr>
          <t xml:space="preserve">Leasing con Caixa
</t>
        </r>
        <r>
          <rPr>
            <sz val="9"/>
            <color indexed="81"/>
            <rFont val="Tahoma"/>
            <family val="2"/>
          </rPr>
          <t>Comercial Agricola Sta Angela: 33500 + 21%iva 
Compra tractor financiado con Leasing a Caixa. 
Manuel Carrillo: 7500+7500 + 21% iva compra empacadora y segadora con leasing a Caixa (empacadora cancelada y vendida a Claas)
Cargo de cuotas el 16 de cada mes</t>
        </r>
      </text>
    </comment>
    <comment ref="BY249" authorId="2" shapeId="0" xr:uid="{558F1E12-457D-425C-9D9C-A0B7F58830C2}">
      <text>
        <r>
          <rPr>
            <b/>
            <sz val="9"/>
            <color indexed="81"/>
            <rFont val="Tahoma"/>
            <family val="2"/>
          </rPr>
          <t>Subida tipo de interes. 
Cargado Caixa: 16/09/23</t>
        </r>
      </text>
    </comment>
    <comment ref="B250" authorId="1" shapeId="0" xr:uid="{DAA57AF3-6BA0-4928-BB36-EE0A2D272574}">
      <text>
        <r>
          <rPr>
            <b/>
            <sz val="9"/>
            <color indexed="81"/>
            <rFont val="Tahoma"/>
            <family val="2"/>
          </rPr>
          <t>alfonso:</t>
        </r>
        <r>
          <rPr>
            <sz val="9"/>
            <color indexed="81"/>
            <rFont val="Tahoma"/>
            <family val="2"/>
          </rPr>
          <t xml:space="preserve">
empacadora y ensiladora
</t>
        </r>
      </text>
    </comment>
    <comment ref="BY250" authorId="1" shapeId="0" xr:uid="{90DDB3C3-8B40-40AA-9FDB-5B083DE54F83}">
      <text>
        <r>
          <rPr>
            <sz val="9"/>
            <color indexed="81"/>
            <rFont val="Tahoma"/>
            <family val="2"/>
          </rPr>
          <t>(2039,01+736,76) pagamos por Rural a Claas financiera o BNP devolución principal  por financiación compra ensiladora y empacadora.
Domic Rural 26/09/22.
-387,89 devolución Antonio de la mitad de la cuota 
Cargado: 25/09/23.</t>
        </r>
      </text>
    </comment>
    <comment ref="BZ250" authorId="1" shapeId="0" xr:uid="{DAD9CBA6-003E-4E63-90BD-C5B39F1373F9}">
      <text>
        <r>
          <rPr>
            <b/>
            <sz val="9"/>
            <color indexed="81"/>
            <rFont val="Tahoma"/>
            <family val="2"/>
          </rPr>
          <t>Prevision nov-Alfonso:</t>
        </r>
        <r>
          <rPr>
            <sz val="9"/>
            <color indexed="81"/>
            <rFont val="Tahoma"/>
            <family val="2"/>
          </rPr>
          <t xml:space="preserve">
(2304,2+894,23) pagamos por Rural a Claas financiera o BNP devolución principal  por financiación compra ensiladora y empacadora.
Domic Rural 25/10/22.
</t>
        </r>
      </text>
    </comment>
    <comment ref="CM250" authorId="1" shapeId="0" xr:uid="{3D529673-BC16-4968-8826-893209532FA4}">
      <text>
        <r>
          <rPr>
            <sz val="9"/>
            <color indexed="81"/>
            <rFont val="Tahoma"/>
            <family val="2"/>
          </rPr>
          <t xml:space="preserve">(2039,01+736,76) pagamos por Rural a Claas financiera o BNP devolución principal  por financiación compra ensiladora y empacadora.
Domic Rural 26/09/22.
</t>
        </r>
      </text>
    </comment>
    <comment ref="CN250" authorId="1" shapeId="0" xr:uid="{A57FC625-8018-49B7-9C9C-2BD4AF2C44F7}">
      <text>
        <r>
          <rPr>
            <b/>
            <sz val="9"/>
            <color indexed="81"/>
            <rFont val="Tahoma"/>
            <family val="2"/>
          </rPr>
          <t>Prevision nov-Alfonso:</t>
        </r>
        <r>
          <rPr>
            <sz val="9"/>
            <color indexed="81"/>
            <rFont val="Tahoma"/>
            <family val="2"/>
          </rPr>
          <t xml:space="preserve">
(2304,2+894,23) pagamos por Rural a Claas financiera o BNP devolución principal  por financiación compra ensiladora y empacadora.
Domic Rural 25/10/22.
</t>
        </r>
      </text>
    </comment>
    <comment ref="BY251" authorId="2" shapeId="0" xr:uid="{907BBCE9-B9A9-4762-B245-4F7BA9C69C7F}">
      <text>
        <r>
          <rPr>
            <sz val="9"/>
            <color indexed="81"/>
            <rFont val="Tahoma"/>
            <family val="2"/>
          </rPr>
          <t xml:space="preserve">COMPRA </t>
        </r>
        <r>
          <rPr>
            <b/>
            <sz val="9"/>
            <color indexed="81"/>
            <rFont val="Tahoma"/>
            <family val="2"/>
          </rPr>
          <t>Opel Frontera II</t>
        </r>
        <r>
          <rPr>
            <sz val="9"/>
            <color indexed="81"/>
            <rFont val="Tahoma"/>
            <family val="2"/>
          </rPr>
          <t xml:space="preserve"> (vehiculo nuevo Matricula: H4437Z). 
Transferencia realizada a Alfonso el 21/09/23.</t>
        </r>
      </text>
    </comment>
    <comment ref="CA251" authorId="2" shapeId="0" xr:uid="{80E6DF02-D003-453E-A031-ADD6970CC239}">
      <text>
        <r>
          <rPr>
            <sz val="9"/>
            <color indexed="81"/>
            <rFont val="Tahoma"/>
            <family val="2"/>
          </rPr>
          <t xml:space="preserve">
</t>
        </r>
        <r>
          <rPr>
            <b/>
            <sz val="9"/>
            <color indexed="81"/>
            <rFont val="Tahoma"/>
            <family val="2"/>
          </rPr>
          <t>Fra De los reyes Reparacione del 31/03/23.</t>
        </r>
        <r>
          <rPr>
            <sz val="9"/>
            <color indexed="81"/>
            <rFont val="Tahoma"/>
            <family val="2"/>
          </rPr>
          <t xml:space="preserve">
Generador: 1.207,58€.
Transferencia realizada el 03/11/23</t>
        </r>
      </text>
    </comment>
    <comment ref="CC251" authorId="2" shapeId="0" xr:uid="{CCEB4131-5D8A-4CB2-9DE7-0CB388CA99A4}">
      <text>
        <r>
          <rPr>
            <b/>
            <sz val="9"/>
            <color indexed="81"/>
            <rFont val="Tahoma"/>
            <family val="2"/>
          </rPr>
          <t xml:space="preserve">Fra La Sidero del 10/01/23.
</t>
        </r>
        <r>
          <rPr>
            <sz val="9"/>
            <color indexed="81"/>
            <rFont val="Tahoma"/>
            <family val="2"/>
          </rPr>
          <t xml:space="preserve">Discos reparacion gradas: 2.292,95€
50% molino y 50% Maseros
Realizar transfer en junio.
</t>
        </r>
        <r>
          <rPr>
            <i/>
            <sz val="9"/>
            <color indexed="81"/>
            <rFont val="Tahoma"/>
            <family val="2"/>
          </rPr>
          <t xml:space="preserve">Esto de los discos de la sidero a pagar a medias con los masero es a cobrarles en el momento del pago, anotar aqui, no a incluir en la liquidación de los tiempos juntos.
</t>
        </r>
        <r>
          <rPr>
            <sz val="9"/>
            <color indexed="81"/>
            <rFont val="Tahoma"/>
            <family val="2"/>
          </rPr>
          <t xml:space="preserve">Transferencia realizada el 11/01/24.
----------------------------------------------------
</t>
        </r>
        <r>
          <rPr>
            <b/>
            <sz val="9"/>
            <color indexed="81"/>
            <rFont val="Tahoma"/>
            <family val="2"/>
          </rPr>
          <t xml:space="preserve">Fra JA Burga del 24/08/23. </t>
        </r>
        <r>
          <rPr>
            <sz val="9"/>
            <color indexed="81"/>
            <rFont val="Tahoma"/>
            <family val="2"/>
          </rPr>
          <t xml:space="preserve">
Reparacion sembradora (al 50% con los MASERO, apuntado en la liquidacion): 1.283,65€.
Transferencia realizada el 11/01/24.
--------------------------------------------------
</t>
        </r>
        <r>
          <rPr>
            <sz val="9"/>
            <color indexed="81"/>
            <rFont val="Tahoma"/>
            <family val="2"/>
          </rPr>
          <t xml:space="preserve">
</t>
        </r>
      </text>
    </comment>
    <comment ref="CC254" authorId="0" shapeId="0" xr:uid="{F313A9B9-EC07-44A1-97A3-9EF69101F2F0}">
      <text>
        <r>
          <rPr>
            <b/>
            <sz val="9"/>
            <color indexed="81"/>
            <rFont val="Tahoma"/>
            <family val="2"/>
          </rPr>
          <t xml:space="preserve">Fra Carpinteria Javier Pombero
</t>
        </r>
        <r>
          <rPr>
            <sz val="9"/>
            <color indexed="81"/>
            <rFont val="Tahoma"/>
            <family val="2"/>
          </rPr>
          <t>Fra del 15/01/24.</t>
        </r>
        <r>
          <rPr>
            <b/>
            <sz val="9"/>
            <color indexed="81"/>
            <rFont val="Tahoma"/>
            <family val="2"/>
          </rPr>
          <t xml:space="preserve">
</t>
        </r>
        <r>
          <rPr>
            <sz val="9"/>
            <color indexed="81"/>
            <rFont val="Tahoma"/>
            <family val="2"/>
          </rPr>
          <t>Puertas para cercas finca: 2.057€. 
Transferencia a realizar
Transferencia realizada el 26/01/24</t>
        </r>
      </text>
    </comment>
    <comment ref="B255" authorId="1" shapeId="0" xr:uid="{CA866D70-09DE-44AB-834E-418AA9F821D6}">
      <text>
        <r>
          <rPr>
            <b/>
            <sz val="9"/>
            <color indexed="81"/>
            <rFont val="Tahoma"/>
            <family val="2"/>
          </rPr>
          <t xml:space="preserve">Maria
</t>
        </r>
        <r>
          <rPr>
            <sz val="9"/>
            <color indexed="81"/>
            <rFont val="Tahoma"/>
            <family val="2"/>
          </rPr>
          <t>152.000 precio venta
-66.000 pagados via gastos del proceso de herencia y compra venta
-6.000 pagados por transferencia
-80.000 A pagar en notaría en escritura de compra venta</t>
        </r>
      </text>
    </comment>
    <comment ref="BY255" authorId="2" shapeId="0" xr:uid="{28465028-4B18-48AD-BC2E-5B4EB5E5A436}">
      <text>
        <r>
          <rPr>
            <b/>
            <sz val="9"/>
            <color indexed="81"/>
            <rFont val="Tahoma"/>
            <family val="2"/>
          </rPr>
          <t xml:space="preserve">Transferencia hecha el 27/09/23
</t>
        </r>
      </text>
    </comment>
    <comment ref="CA255" authorId="2" shapeId="0" xr:uid="{1975F482-1638-43C7-97A5-3E048CE916BC}">
      <text>
        <r>
          <rPr>
            <sz val="9"/>
            <color indexed="81"/>
            <rFont val="Tahoma"/>
            <family val="2"/>
          </rPr>
          <t xml:space="preserve">4.770€: Honorarios cristina Losada. Fra 0000432/2023 del 01/10/23.
23/06/23: Ok Alberto esperar para pagar en remesa 15/07/23.
954 E: Transferencia realizada el 13/10/23.
VENCIMIENTO EL 07/02/23.
3816 E: Pndte realizar transferencia
22/11/23: Ok Alberto realizar transferencia
3816€: Transf. Caixa realizada el 23/11/23
---------------------------------------------
</t>
        </r>
      </text>
    </comment>
    <comment ref="CB255" authorId="2" shapeId="0" xr:uid="{7687CA5B-897C-4861-806C-0188781B75B7}">
      <text>
        <r>
          <rPr>
            <sz val="9"/>
            <color indexed="81"/>
            <rFont val="Tahoma"/>
            <family val="2"/>
          </rPr>
          <t xml:space="preserve">Resumen pagos pendientes mail de cristina del 03/02/22.
</t>
        </r>
        <r>
          <rPr>
            <b/>
            <sz val="9"/>
            <color indexed="81"/>
            <rFont val="Tahoma"/>
            <family val="2"/>
          </rPr>
          <t>1</t>
        </r>
        <r>
          <rPr>
            <sz val="9"/>
            <color indexed="81"/>
            <rFont val="Tahoma"/>
            <family val="2"/>
          </rPr>
          <t xml:space="preserve">.Demanda de ejecución. 
¿? €: gastos procurador.
</t>
        </r>
        <r>
          <rPr>
            <b/>
            <sz val="9"/>
            <color indexed="81"/>
            <rFont val="Tahoma"/>
            <family val="2"/>
          </rPr>
          <t>2.</t>
        </r>
        <r>
          <rPr>
            <sz val="9"/>
            <color indexed="81"/>
            <rFont val="Tahoma"/>
            <family val="2"/>
          </rPr>
          <t xml:space="preserve"> Herencia y segregación
1.380,39€: Fra proforma notaria del 28/01/22. 
</t>
        </r>
        <r>
          <rPr>
            <b/>
            <sz val="9"/>
            <color indexed="81"/>
            <rFont val="Tahoma"/>
            <family val="2"/>
          </rPr>
          <t xml:space="preserve">
3.</t>
        </r>
        <r>
          <rPr>
            <sz val="9"/>
            <color indexed="81"/>
            <rFont val="Tahoma"/>
            <family val="2"/>
          </rPr>
          <t xml:space="preserve"> Segregación.
400€: informe pericial. 
100€: Licencia Ayto.
1.629€: Tipo.
1.100€: Notaria.
</t>
        </r>
        <r>
          <rPr>
            <b/>
            <sz val="9"/>
            <color indexed="81"/>
            <rFont val="Tahoma"/>
            <family val="2"/>
          </rPr>
          <t xml:space="preserve">4. </t>
        </r>
        <r>
          <rPr>
            <sz val="9"/>
            <color indexed="81"/>
            <rFont val="Tahoma"/>
            <family val="2"/>
          </rPr>
          <t xml:space="preserve">Compraventa de la fincas 3-3 y 3-31.
610€: Notaria. 
4.783,00 + 539,00€: tipo.
</t>
        </r>
        <r>
          <rPr>
            <b/>
            <sz val="9"/>
            <color indexed="81"/>
            <rFont val="Tahoma"/>
            <family val="2"/>
          </rPr>
          <t xml:space="preserve">5. </t>
        </r>
        <r>
          <rPr>
            <sz val="9"/>
            <color indexed="81"/>
            <rFont val="Tahoma"/>
            <family val="2"/>
          </rPr>
          <t xml:space="preserve">Compraventa de Manuel Pérez Fernández. 
610€: Notaria. 
</t>
        </r>
        <r>
          <rPr>
            <b/>
            <sz val="9"/>
            <color indexed="81"/>
            <rFont val="Tahoma"/>
            <family val="2"/>
          </rPr>
          <t xml:space="preserve">6. </t>
        </r>
        <r>
          <rPr>
            <sz val="9"/>
            <color indexed="81"/>
            <rFont val="Tahoma"/>
            <family val="2"/>
          </rPr>
          <t xml:space="preserve">Registro Propiedad.
4.000€: aproximado, no es seguro.
</t>
        </r>
        <r>
          <rPr>
            <b/>
            <sz val="9"/>
            <color indexed="81"/>
            <rFont val="Tahoma"/>
            <family val="2"/>
          </rPr>
          <t xml:space="preserve">
7. </t>
        </r>
        <r>
          <rPr>
            <sz val="9"/>
            <color indexed="81"/>
            <rFont val="Tahoma"/>
            <family val="2"/>
          </rPr>
          <t xml:space="preserve">Letrada. 
2.500,00€. 
Total gastos pendientes de pago: </t>
        </r>
        <r>
          <rPr>
            <b/>
            <sz val="9"/>
            <color indexed="81"/>
            <rFont val="Tahoma"/>
            <family val="2"/>
          </rPr>
          <t>16.271,00€.</t>
        </r>
        <r>
          <rPr>
            <sz val="9"/>
            <color indexed="81"/>
            <rFont val="Tahoma"/>
            <family val="2"/>
          </rPr>
          <t xml:space="preserve"> 
-868,16€: fra notaria.
-1.622,70€: Pago modelo 600 segregacion fincas.
-133,98€: fra notaria.
-3.184,35€: fra registro.
Total gastos pendientes de pago: </t>
        </r>
        <r>
          <rPr>
            <b/>
            <sz val="9"/>
            <color indexed="81"/>
            <rFont val="Tahoma"/>
            <family val="2"/>
          </rPr>
          <t>10.461,71€.
--------------------------------------------------------</t>
        </r>
        <r>
          <rPr>
            <sz val="9"/>
            <color indexed="81"/>
            <rFont val="Tahoma"/>
            <family val="2"/>
          </rPr>
          <t xml:space="preserve"> 
</t>
        </r>
      </text>
    </comment>
    <comment ref="CD255" authorId="2" shapeId="0" xr:uid="{72A06D39-C4E3-4480-BA65-F3DC9AC6AB08}">
      <text>
        <r>
          <rPr>
            <sz val="9"/>
            <color indexed="81"/>
            <rFont val="Tahoma"/>
            <family val="2"/>
          </rPr>
          <t xml:space="preserve">10,000 Eur de pago a Leo por gastos realizados por ella previos a nuestra entrada a gestionar el proceso.
Info ALF 13/10/23: Sustituir estos 10.000 E por el pago de las siguientes fras:
4.873,05 E: Fra Eduardo Masero 23025 (03/07/23)
5.252,06 E: Fra Eduardo Masero 23026 (14/07/23)
13/10/23: OK Alberto pagar hoy las dos
10.125,10 E: Transferencia realizada el 13/10/23.
VENCIMIENTO EL 07/02/23.
Cargado Caixa: 07/02/24
--------------------------
4.770€: Honorarios cristina Losada. Fra 000043/2023 del 01/10/23.
23/06/23: Ok Alberto esperar para pagar en remesa 15/07/23
13/10/23: Ok Alberto pagar solo 954 E de esta fra
954 E: Transferencia realizada el 13/10/23.
VENCIMIENTO EL 07/02/23.
Cargado Caixa: 07/02/24
---------------------------------------------
954,00€: Honorarios cristina Losada. Fra 000042/2023 del 01/10/23.
23/06/23: Ok Alberto esperar para pagar en remesa 15/07/23.
954 E: Transferencia realizada el 13/10/23.
VENCIMIENTO EL 07/02/23.
Cargado Caixa: 07/02/24
-----------------------------------
</t>
        </r>
      </text>
    </comment>
    <comment ref="CF255" authorId="2" shapeId="0" xr:uid="{F8AA153A-7EBB-4346-B0AD-355E2A7D60CD}">
      <text>
        <r>
          <rPr>
            <b/>
            <sz val="9"/>
            <color indexed="81"/>
            <rFont val="Tahoma"/>
            <family val="2"/>
          </rPr>
          <t xml:space="preserve">152.000,00€: compra finca Manuel / María. </t>
        </r>
        <r>
          <rPr>
            <sz val="9"/>
            <color indexed="81"/>
            <rFont val="Tahoma"/>
            <family val="2"/>
          </rPr>
          <t xml:space="preserve">
      - 6.000€: Anticipo Finca Manuel / María. 
      - 12.889,60€: Pago MOD 600. 
      - 2.650€: Honorarios Cristina Losada. Fra 00045/2021 del 06/09/21.
      - 9.400€:Provisión impuesto y protocolos. 
      - 2.650€: Honorarios Cristina Losada. Fra 00055/2021 del 22/12/21.
      - 558,00: Pago MOD 600 Miguel Gomez Infante.
      - 508,03: Pago MOD 600 Bartolome Gómez Infante. 
      - 508,03: Pago MOD 600 Jose María Gómez Infante. 
      - 212,00€: Honorarios Sara Castilla. Fra 002/2022 del 21/01/22.
      - 1.139,57€: Fra notaria del 28/01/22.
      - 500,00€: Provisión Registro propiedad. 
      - 868,16€: Factura notaria Javier Luisa Barcena del 07/11/22.
      - Modelo 600 impuesto segregacion fincas: 1.622,70€
      - 3.184,45€: Pago Facturas registro propiedad.
      - 133,98€: Factura notaria Javier Luisa Barcena.
      - 4.770,00€: Honorarios Cristina Losada.
      - 954,00€: Honorarios Cristina Losada.
</t>
        </r>
        <r>
          <rPr>
            <b/>
            <sz val="9"/>
            <color indexed="81"/>
            <rFont val="Tahoma"/>
            <family val="2"/>
          </rPr>
          <t xml:space="preserve">38.000,00€: Compra finca Miguel. </t>
        </r>
        <r>
          <rPr>
            <sz val="9"/>
            <color indexed="81"/>
            <rFont val="Tahoma"/>
            <family val="2"/>
          </rPr>
          <t xml:space="preserve">
      - 2.000€: Anticipo Finca Miguel. 
      - 2.000€: Anticipo Finca Miguel.
      - 3.000€: Talon Finca Miguel.
      - 5.000,00€: Anticipo Finca Miguel 
</t>
        </r>
        <r>
          <rPr>
            <b/>
            <sz val="9"/>
            <color indexed="81"/>
            <rFont val="Tahoma"/>
            <family val="2"/>
          </rPr>
          <t>10.000,00€:</t>
        </r>
        <r>
          <rPr>
            <sz val="9"/>
            <color indexed="81"/>
            <rFont val="Tahoma"/>
            <family val="2"/>
          </rPr>
          <t xml:space="preserve"> Actualizamos prevision de gastos compraventa finca MANUEL/MARIA: 
      - 500,00€ x 3 fincas de Registro propiedad: 1.500,00€.
      - 7% de 38.000,00€ ¿?. 2.660,00€.
      - Honorarios Cristina: 2.650,00€.
</t>
        </r>
      </text>
    </comment>
    <comment ref="CB256" authorId="2" shapeId="0" xr:uid="{DC759C79-879E-4FA4-ADD3-C6FC9CB2E3CA}">
      <text>
        <r>
          <rPr>
            <sz val="9"/>
            <color indexed="81"/>
            <rFont val="Tahoma"/>
            <family val="2"/>
          </rPr>
          <t>318€: Honorarios cristina Losada. Fra 000050/2023 del 19/12/23.
Ok Alberto pagar
318 E: Transferencia Caixa realizada el 20/12/23.
-------------------------------------
126.000€-6.000€= 120.000€: Resto compra
Pagado 6.000€: Anticipo finca Hnos. Gutierrez.
Transferencia realizada el 07/06/23.  
40.000€: Cargo cheque BBVA: 18/12/23
40.000€: Cargo cheque BBVA: 18/12/23
40.000€: Cargo cheque BBVA: 18/12/23</t>
        </r>
      </text>
    </comment>
    <comment ref="CC256" authorId="0" shapeId="0" xr:uid="{5C15B04D-31D7-4218-93D6-BE8A920D63FC}">
      <text>
        <r>
          <rPr>
            <sz val="9"/>
            <color indexed="81"/>
            <rFont val="Tahoma"/>
            <family val="2"/>
          </rPr>
          <t>3.780€+IVA (3% s/126000€) Comisión por compravente de la finca, son 3 pagos de enero a marzo 2024</t>
        </r>
        <r>
          <rPr>
            <b/>
            <sz val="9"/>
            <color indexed="81"/>
            <rFont val="Tahoma"/>
            <family val="2"/>
          </rPr>
          <t xml:space="preserve">
Fra Bartolomé Gómez Infante (18/12/23):
</t>
        </r>
        <r>
          <rPr>
            <sz val="9"/>
            <color indexed="81"/>
            <rFont val="Tahoma"/>
            <family val="2"/>
          </rPr>
          <t xml:space="preserve">1260€+21% IVA=1.524,60€
Comisión por compravente de la finca, son 3 pagos de enero a marzo 2024
1.524,60€: Transferencia Caixa realizada el 08/01/24
</t>
        </r>
      </text>
    </comment>
    <comment ref="CD256" authorId="0" shapeId="0" xr:uid="{A9C3F63F-E288-4BEA-9B24-1757EFC3D830}">
      <text>
        <r>
          <rPr>
            <sz val="9"/>
            <color indexed="81"/>
            <rFont val="Tahoma"/>
            <family val="2"/>
          </rPr>
          <t xml:space="preserve">3.780€+IVA (3% s/126000€) Comisión por compravente de la finca, son 3 pagos de enero a marzo 2024
</t>
        </r>
        <r>
          <rPr>
            <b/>
            <sz val="9"/>
            <color indexed="81"/>
            <rFont val="Tahoma"/>
            <family val="2"/>
          </rPr>
          <t xml:space="preserve">
Fra Bartolomé Gómez Infante (18/01/24) correspondiente al 2º pago</t>
        </r>
        <r>
          <rPr>
            <sz val="9"/>
            <color indexed="81"/>
            <rFont val="Tahoma"/>
            <family val="2"/>
          </rPr>
          <t xml:space="preserve">
1260€+21% IVA=1.524,60€
Comisión por compravente de la finca, son 3 pagos de enero a marzo 2024
1.524,60€: Transferencia Caixa a realizar en febrero, OK Alberto 02/02/24
Transferencia Caixa realizada el 02/02/24
----------------------------------------</t>
        </r>
        <r>
          <rPr>
            <b/>
            <sz val="9"/>
            <color indexed="81"/>
            <rFont val="Tahoma"/>
            <family val="2"/>
          </rPr>
          <t xml:space="preserve">
Fra Intereverita (30/01/24) correspondiente al 3º pago</t>
        </r>
        <r>
          <rPr>
            <sz val="9"/>
            <color indexed="81"/>
            <rFont val="Tahoma"/>
            <family val="2"/>
          </rPr>
          <t xml:space="preserve">
1260€+21% IVA=1.524,60€
Comisión por compravente de la finca, son 3 pagos de enero a marzo 2024
1.524,60€: Transferencia Caixa a realizar a finales de la semana del 15/02, OK Alberto 09/02/24
Transferencia Caixa realizada el 16/02/24
</t>
        </r>
      </text>
    </comment>
    <comment ref="B258" authorId="2" shapeId="0" xr:uid="{96227E22-3BED-4544-9CC1-3EE2C002A4C5}">
      <text>
        <r>
          <rPr>
            <sz val="9"/>
            <color indexed="81"/>
            <rFont val="Tahoma"/>
            <family val="2"/>
          </rPr>
          <t xml:space="preserve">70.434 Eur Alquiler finca Lucia.  Gasto alquiler finca MDZ a meter con fecha 31 agosto 2022.  Os pasaré el contrato justificante.  Previsión caja para pagar semana 19 sep
41.366 Eur compra finca Lucia.  Previsión caja para pagar en Enero.
60.000 Eur alquiler finca Federico.  Gasto alquiler finca MDZ a meter con fecha 31 agosto 2022.  Os pasaré el contrato justificante.  Previsión caja para pagar semana 19 sep
</t>
        </r>
      </text>
    </comment>
    <comment ref="BZ258" authorId="2" shapeId="0" xr:uid="{5FBCA7D3-E7FA-42C9-B85F-111AA741FD46}">
      <text>
        <r>
          <rPr>
            <sz val="9"/>
            <color indexed="81"/>
            <rFont val="Tahoma"/>
            <family val="2"/>
          </rPr>
          <t>YA apilcado en esta cifra:
- 19.903,52€ : subvencion de federico que va a descontar el pago de la finca las valle las corchas.
- 257,90€ : subvencion de federico que va a descontar el pago de la finca valle las corchas. 
- 4.128,00€ : subvencion de federico que va a descontar el pago de la finca valle las corchas.  
Total a pagar a Federico: 75.692,62€</t>
        </r>
      </text>
    </comment>
    <comment ref="CB258" authorId="0" shapeId="0" xr:uid="{11B1460A-37FD-45D9-A359-40F55D95F296}">
      <text>
        <r>
          <rPr>
            <sz val="9"/>
            <color indexed="81"/>
            <rFont val="Tahoma"/>
            <family val="2"/>
          </rPr>
          <t>17,87€+1,56+5,40= 24,83€ IRPF+Ssocial trabajador y empresa noviembre
Cargado: 29/12/23</t>
        </r>
      </text>
    </comment>
    <comment ref="CC258" authorId="0" shapeId="0" xr:uid="{DF80CFDC-D477-48EA-88A6-86FC13C7EF0E}">
      <text>
        <r>
          <rPr>
            <sz val="9"/>
            <color indexed="81"/>
            <rFont val="Tahoma"/>
            <family val="2"/>
          </rPr>
          <t xml:space="preserve">268,11€+81,02+24= 373,13€ IRPF+Ssocial trabajador y empresa diciembre
349,13€: Cargado: 31/01/24
-------------------
IRPF 4º TRIM 2023:
12.418,39€: Cargado Caixa: 22/01/24
Incluye: 
1,56€ IRPF noviembre
24€ IRPF diciembre
</t>
        </r>
      </text>
    </comment>
    <comment ref="CD258" authorId="0" shapeId="0" xr:uid="{151C2AD3-E362-4641-A1CF-5B0D0359CA63}">
      <text>
        <r>
          <rPr>
            <sz val="9"/>
            <color indexed="81"/>
            <rFont val="Tahoma"/>
            <family val="2"/>
          </rPr>
          <t xml:space="preserve">291,77€+85,47+26,46= 403,70€ IRPF+Ssocial trabajador y empresa enero
377,24€: Lo cargaran el 29/02/24
Cargado Caixa: 29/02/24 </t>
        </r>
      </text>
    </comment>
    <comment ref="CE258" authorId="0" shapeId="0" xr:uid="{5A1F2342-30FF-4100-BB3F-10AD1D8553D6}">
      <text>
        <r>
          <rPr>
            <sz val="9"/>
            <color indexed="81"/>
            <rFont val="Tahoma"/>
            <family val="2"/>
          </rPr>
          <t xml:space="preserve">291,77€+85,47+26,46= 403,70€ IRPF+Ssocial trabajador y empresa febrero
377,24€: Lo cargaran el 31/03/24
Cargado Caixa: /24 </t>
        </r>
      </text>
    </comment>
    <comment ref="CF258" authorId="2" shapeId="0" xr:uid="{E2D7BBFC-FEE9-4B57-AFF2-72A978558FA6}">
      <text>
        <r>
          <rPr>
            <sz val="9"/>
            <color indexed="81"/>
            <rFont val="Tahoma"/>
            <family val="2"/>
          </rPr>
          <t>3º pago FINCA Federico. 
----------------------------------
291,77€+85,47+26,46= 403,70€ IRPF+Ssocial trabajador y empresa enero
26,46€: IRPF enero
-----------------------------
291,77€+85,47+26,46= 403,70€ IRPF+Ssocial trabajador y empresa febrero
26,46€: IRPF febrero</t>
        </r>
      </text>
    </comment>
    <comment ref="CL258" authorId="0" shapeId="0" xr:uid="{D7299F0B-488E-40E5-8A07-970796311AAB}">
      <text>
        <r>
          <rPr>
            <sz val="9"/>
            <color indexed="81"/>
            <rFont val="Tahoma"/>
            <family val="2"/>
          </rPr>
          <t>17,87€+1,56+5,40= 24,83€ IRPF+Ssocial trabajador y empresa noviembre
Para compensar con el pago que queda pendiente
-------------------------------
268,11€+81,02+24= 373,13€ IRPF+Ssocial trabajador y empresa diciembre
Para compensar con el pago que queda pendiente
---------------------------------
291,77€+85,47+26,46= 403,70€ IRPF+Ssocial trabajador y empresa enero
Para compensar con el pago que queda pendiente
---------------------------------
291,77€+85,47+26,46= 403,70€ IRPF+Ssocial trabajador y empresa febrero
Para compensar con el pago que queda pendiente</t>
        </r>
      </text>
    </comment>
    <comment ref="B262" authorId="1" shapeId="0" xr:uid="{92DA0A0F-8D7D-4061-A85F-FF8CBB667695}">
      <text>
        <r>
          <rPr>
            <b/>
            <sz val="9"/>
            <color indexed="81"/>
            <rFont val="Tahoma"/>
            <family val="2"/>
          </rPr>
          <t>alfonso:</t>
        </r>
        <r>
          <rPr>
            <sz val="9"/>
            <color indexed="81"/>
            <rFont val="Tahoma"/>
            <family val="2"/>
          </rPr>
          <t xml:space="preserve">
Compra finca principal con hipotecario santander.
Inicio: 25/08/2014
Fin: 31/8/2029
Principal: 431.087,00 €
Recibos: 9070,99 € cada trimestre.
Fechas recibos: ultimo dia del mes (feb-may-ago-nov)  
Capital pendiente a 31.12.20: 276.320,19 €
Tipo: Eurib Hip. +3,25 (3,169)</t>
        </r>
      </text>
    </comment>
    <comment ref="B265" authorId="1" shapeId="0" xr:uid="{99D4E299-9506-4FD1-87C2-F102BCE8728D}">
      <text>
        <r>
          <rPr>
            <sz val="9"/>
            <color indexed="81"/>
            <rFont val="Tahoma"/>
            <family val="2"/>
          </rPr>
          <t>Poliza Caixa
Inicio: oct/23
Fin: oct/24
Limite: 100.000
Tipo: Eurib Hip. +1,55</t>
        </r>
      </text>
    </comment>
    <comment ref="B274" authorId="1" shapeId="0" xr:uid="{EC65CC34-7D30-4789-A5CF-E1C612E861E3}">
      <text>
        <r>
          <rPr>
            <b/>
            <sz val="9"/>
            <color indexed="81"/>
            <rFont val="Tahoma"/>
            <family val="2"/>
          </rPr>
          <t>alfonso:</t>
        </r>
        <r>
          <rPr>
            <sz val="9"/>
            <color indexed="81"/>
            <rFont val="Tahoma"/>
            <family val="2"/>
          </rPr>
          <t xml:space="preserve">
Compra finca con Caixa.
Inicio: 9/2023
Fin: 9/2038
Principal: 477.222
Recibos: 43675,56 anuales.
Fechas recibos: 27/9
Tipo: fijop 4,25</t>
        </r>
      </text>
    </comment>
    <comment ref="BY275" authorId="2" shapeId="0" xr:uid="{DA881A7C-4FE2-4F1A-9F87-35F1A6D0B06C}">
      <text>
        <r>
          <rPr>
            <b/>
            <sz val="9"/>
            <color indexed="81"/>
            <rFont val="Tahoma"/>
            <family val="2"/>
          </rPr>
          <t xml:space="preserve">Finca federico: 304 k
Finca Maria y Miguel: 106 k 
Restante: auemnto de tesoreria. </t>
        </r>
      </text>
    </comment>
    <comment ref="CB278" authorId="2" shapeId="0" xr:uid="{7B2142EE-2DCF-4634-B8DE-BA90787F554E}">
      <text>
        <r>
          <rPr>
            <b/>
            <sz val="9"/>
            <color indexed="81"/>
            <rFont val="Tahoma"/>
            <family val="2"/>
          </rPr>
          <t xml:space="preserve">Finca Hnos Gutiérrez: 88.000€
</t>
        </r>
      </text>
    </comment>
    <comment ref="B280" authorId="1" shapeId="0" xr:uid="{8CC24D60-0E75-4509-BDB8-B5347739E2B6}">
      <text>
        <r>
          <rPr>
            <b/>
            <sz val="9"/>
            <color indexed="81"/>
            <rFont val="Tahoma"/>
            <family val="2"/>
          </rPr>
          <t>alfonso:</t>
        </r>
        <r>
          <rPr>
            <sz val="9"/>
            <color indexed="81"/>
            <rFont val="Tahoma"/>
            <family val="2"/>
          </rPr>
          <t xml:space="preserve">
prestamo ICO de Santander
Inicio: 4/4/2020
Fin: 2/4/2025
Principal: 100.000
Recibos: 125 cada mes hasta el ... que pasas a ser de .... cada mes
Fechas recibos: día 2 de cada mes  
Capital pendiente a 31.12.20: 100,000
Tipo: Fijo al 1,5</t>
        </r>
      </text>
    </comment>
    <comment ref="B283" authorId="1" shapeId="0" xr:uid="{C31CCB4E-0D09-4A7E-965D-B798764DD2D7}">
      <text>
        <r>
          <rPr>
            <b/>
            <sz val="9"/>
            <color indexed="81"/>
            <rFont val="Tahoma"/>
            <family val="2"/>
          </rPr>
          <t>alfonso:</t>
        </r>
        <r>
          <rPr>
            <sz val="9"/>
            <color indexed="81"/>
            <rFont val="Tahoma"/>
            <family val="2"/>
          </rPr>
          <t xml:space="preserve">
prestamo para Reforestación Caixa
Inicio: 8/7/2022
Fin: 1/8/2025
Principal: 134.250
Recibos: 137.606,25 a la concesión de la subvención si ocurre antes o a vencimiento el 1/8/25
Tipo: Fijo al 2,5 %</t>
        </r>
      </text>
    </comment>
    <comment ref="CX284" authorId="2" shapeId="0" xr:uid="{67AAA621-2D64-42B1-AAE2-9257C4C5722B}">
      <text>
        <r>
          <rPr>
            <sz val="9"/>
            <color indexed="81"/>
            <rFont val="Tahoma"/>
            <family val="2"/>
          </rPr>
          <t xml:space="preserve">Se amortiza en una unica cuota el 31/08/25. Pasar esta cantidad a esa fecha. </t>
        </r>
      </text>
    </comment>
    <comment ref="B289" authorId="1" shapeId="0" xr:uid="{E1A4E229-5D77-475A-81D3-53D7A0014EA9}">
      <text>
        <r>
          <rPr>
            <b/>
            <sz val="9"/>
            <color indexed="81"/>
            <rFont val="Tahoma"/>
            <family val="2"/>
          </rPr>
          <t>alfonso:</t>
        </r>
        <r>
          <rPr>
            <sz val="9"/>
            <color indexed="81"/>
            <rFont val="Tahoma"/>
            <family val="2"/>
          </rPr>
          <t xml:space="preserve">
Prestamos de NIxal</t>
        </r>
      </text>
    </comment>
    <comment ref="BY296" authorId="2" shapeId="0" xr:uid="{1BE6B820-BDF5-4FDE-BEB8-721F3B46511B}">
      <text>
        <r>
          <rPr>
            <sz val="9"/>
            <color indexed="81"/>
            <rFont val="Tahoma"/>
            <family val="2"/>
          </rPr>
          <t>489,93€ multas aparcamiento Juan pedro
------------------------------------------------
89,87€: embargo caixa (pdte devolución si Juan Pedro lo reclama)  
Pendiente que Juan Pedro lo liquide. 
--------------------------------------------------
-10.766,00€: A devolver a Juan Pedro. 
-----------------------------------------
29/09/23: OK Alberto devolver a él como aportación de socios el importe descontado el IVA de la factura y él se lo entrega a Juan Pedro
9701,12€: Transf. Caixa realizada a Alberto el 29/09/23</t>
        </r>
      </text>
    </comment>
    <comment ref="BM302" authorId="0" shapeId="0" xr:uid="{00D401B8-5618-43EA-94F2-3D5668D3CD55}">
      <text>
        <r>
          <rPr>
            <sz val="9"/>
            <color indexed="81"/>
            <rFont val="Tahoma"/>
            <family val="2"/>
          </rPr>
          <t>20000€: Traspaso de Cta BBVA a Cta Caixa
Cargado BBVA: 31/10/22
20000€: Traspaso de Cta BBVA a Cta Caixa
Cargado BBVA: 31/10/22</t>
        </r>
      </text>
    </comment>
    <comment ref="BO302" authorId="0" shapeId="0" xr:uid="{B0541D34-C90A-4628-B6F3-A727CA8FF6CF}">
      <text>
        <r>
          <rPr>
            <b/>
            <sz val="9"/>
            <color indexed="81"/>
            <rFont val="Tahoma"/>
            <family val="2"/>
          </rPr>
          <t>100000€: Traspaso de VFX en € a Cta BBVA
Cargado VFX: 30/12/22</t>
        </r>
      </text>
    </comment>
    <comment ref="BP302" authorId="0" shapeId="0" xr:uid="{0467FECA-775C-4B3F-B94E-D561E2493609}">
      <text>
        <r>
          <rPr>
            <sz val="9"/>
            <color indexed="81"/>
            <rFont val="Tahoma"/>
            <family val="2"/>
          </rPr>
          <t>20000€: Traspaso de Cta BBVA a Cta Caixa
Cargado BBVA: 31/01/23
20000€: Traspaso de Cta BBVA a Cta Caixa
Cargado BBVA: 31/01/23</t>
        </r>
      </text>
    </comment>
    <comment ref="CF303" authorId="0" shapeId="0" xr:uid="{0170CE8B-42F4-4C2A-A621-D8BB85296729}">
      <text>
        <r>
          <rPr>
            <b/>
            <sz val="9"/>
            <color indexed="81"/>
            <rFont val="Tahoma"/>
            <family val="2"/>
          </rPr>
          <t>Saldo BBVA a 29/01/24: 14.284,36€+863,14€</t>
        </r>
      </text>
    </comment>
    <comment ref="BB304" authorId="0" shapeId="0" xr:uid="{1E0E2945-05BF-4A01-A0F7-FCF7CFC99DF2}">
      <text>
        <r>
          <rPr>
            <b/>
            <sz val="9"/>
            <color indexed="81"/>
            <rFont val="Tahoma"/>
            <family val="2"/>
          </rPr>
          <t>Saldo Caixa a 31/12/21: 95717,26€</t>
        </r>
      </text>
    </comment>
    <comment ref="CF304" authorId="0" shapeId="0" xr:uid="{1661994D-749A-4D2B-9C51-F8789EB27E5A}">
      <text>
        <r>
          <rPr>
            <b/>
            <sz val="9"/>
            <color indexed="81"/>
            <rFont val="Tahoma"/>
            <family val="2"/>
          </rPr>
          <t>Saldo Caixa a 05/03/24: 36.044,82€</t>
        </r>
      </text>
    </comment>
    <comment ref="CE309" authorId="0" shapeId="0" xr:uid="{DD10D9AD-C3DF-4ACC-B7A3-BA608B1E9505}">
      <text>
        <r>
          <rPr>
            <b/>
            <sz val="9"/>
            <color indexed="81"/>
            <rFont val="Tahoma"/>
            <family val="2"/>
          </rPr>
          <t>27.880 USD</t>
        </r>
      </text>
    </comment>
    <comment ref="AV310" authorId="2" shapeId="0" xr:uid="{EB01BEFF-E006-4163-952C-E94D1786266E}">
      <text>
        <r>
          <rPr>
            <b/>
            <sz val="9"/>
            <color indexed="81"/>
            <rFont val="Tahoma"/>
            <family val="2"/>
          </rPr>
          <t>Cambio de USD a EUR</t>
        </r>
        <r>
          <rPr>
            <sz val="9"/>
            <color indexed="81"/>
            <rFont val="Tahoma"/>
            <family val="2"/>
          </rPr>
          <t xml:space="preserve">
01/07/21 50.000 USD a EUR, Tc=1,1925   = 41.928,72€
02/07/21 50.000 USD a EUR, Tc=1,1909   = 41.985,05€
06/07/21 50.000 USD a EUR, Tc=1,1915   = 41.963,91€
Traspaso de VFX a BBVA de 133.913,77€ el 06/07/21. 
07/07/21 50.000 USD a EUR, Tc= 1,1865   =42.140,75€
08/07/21 50.000 USD a EUR, Tc= 1,1935   =41.893,59€
09/07/21 48.000 USD a EUR, Tc= 1,1935   =40.217,85€
Traspaso de VFX a BBVA de 166.216,10€ el 12/07/21. </t>
        </r>
      </text>
    </comment>
    <comment ref="AG311" authorId="0" shapeId="0" xr:uid="{00000000-0006-0000-0100-000052010000}">
      <text>
        <r>
          <rPr>
            <b/>
            <sz val="9"/>
            <color indexed="81"/>
            <rFont val="Tahoma"/>
            <family val="2"/>
          </rPr>
          <t>rosa:</t>
        </r>
        <r>
          <rPr>
            <sz val="9"/>
            <color indexed="81"/>
            <rFont val="Tahoma"/>
            <family val="2"/>
          </rPr>
          <t xml:space="preserve">
9000 USD de cobro a cliente</t>
        </r>
      </text>
    </comment>
    <comment ref="AH311" authorId="0" shapeId="0" xr:uid="{00000000-0006-0000-0100-000053010000}">
      <text>
        <r>
          <rPr>
            <b/>
            <sz val="9"/>
            <color indexed="81"/>
            <rFont val="Tahoma"/>
            <family val="2"/>
          </rPr>
          <t>rosa:</t>
        </r>
        <r>
          <rPr>
            <sz val="9"/>
            <color indexed="81"/>
            <rFont val="Tahoma"/>
            <family val="2"/>
          </rPr>
          <t xml:space="preserve">
9000$ de saldo mes anterior
8000$ de cobro a cliente
-1200$ de pago a proveedor</t>
        </r>
      </text>
    </comment>
    <comment ref="AI311" authorId="0" shapeId="0" xr:uid="{00000000-0006-0000-0100-000054010000}">
      <text>
        <r>
          <rPr>
            <b/>
            <sz val="9"/>
            <color indexed="81"/>
            <rFont val="Tahoma"/>
            <family val="2"/>
          </rPr>
          <t>rosa:</t>
        </r>
        <r>
          <rPr>
            <sz val="9"/>
            <color indexed="81"/>
            <rFont val="Tahoma"/>
            <family val="2"/>
          </rPr>
          <t xml:space="preserve">
4000$ de cobro a cliente
-15800 USD de saldo mes anterior que salen a Paragon el 17/07/20
0,15 E: Descuadre por decimales</t>
        </r>
      </text>
    </comment>
    <comment ref="AJ311" authorId="0" shapeId="0" xr:uid="{00000000-0006-0000-0100-000055010000}">
      <text>
        <r>
          <rPr>
            <b/>
            <sz val="9"/>
            <color indexed="81"/>
            <rFont val="Tahoma"/>
            <family val="2"/>
          </rPr>
          <t>rosa:</t>
        </r>
        <r>
          <rPr>
            <sz val="9"/>
            <color indexed="81"/>
            <rFont val="Tahoma"/>
            <family val="2"/>
          </rPr>
          <t xml:space="preserve">
4000 USD</t>
        </r>
      </text>
    </comment>
    <comment ref="AL311" authorId="0" shapeId="0" xr:uid="{00000000-0006-0000-0100-000056010000}">
      <text>
        <r>
          <rPr>
            <b/>
            <sz val="9"/>
            <color indexed="81"/>
            <rFont val="Tahoma"/>
            <family val="2"/>
          </rPr>
          <t>rosa:</t>
        </r>
        <r>
          <rPr>
            <sz val="9"/>
            <color indexed="81"/>
            <rFont val="Tahoma"/>
            <family val="2"/>
          </rPr>
          <t xml:space="preserve">
4000 USD
930 USD comprado a Ebury desde Caixa= 794,64 E
-4930 USD salen para pago fras OPIS y SCI el 17/09/20
5659 USD: ACA BIO 21/09/20
0,07 E: Descuadre por decimales</t>
        </r>
      </text>
    </comment>
    <comment ref="AM311" authorId="0" shapeId="0" xr:uid="{00000000-0006-0000-0100-000057010000}">
      <text>
        <r>
          <rPr>
            <b/>
            <sz val="9"/>
            <color indexed="81"/>
            <rFont val="Tahoma"/>
            <family val="2"/>
          </rPr>
          <t>rosa:</t>
        </r>
        <r>
          <rPr>
            <sz val="9"/>
            <color indexed="81"/>
            <rFont val="Tahoma"/>
            <family val="2"/>
          </rPr>
          <t xml:space="preserve">
5659 USD
-3544 USD salen para pago fra ICE el 14/10/20
11281,72USD: CCI 02/10/20
15044 USD: CREMER 07/10/20
-28440,72 USD salen a Paragon el 16/10/20
Saldo: 0 
0,33 E: Descuadre por decimales</t>
        </r>
      </text>
    </comment>
    <comment ref="AN311" authorId="0" shapeId="0" xr:uid="{00000000-0006-0000-0100-000058010000}">
      <text>
        <r>
          <rPr>
            <b/>
            <sz val="9"/>
            <color indexed="81"/>
            <rFont val="Tahoma"/>
            <family val="2"/>
          </rPr>
          <t>rosa:</t>
        </r>
        <r>
          <rPr>
            <sz val="9"/>
            <color indexed="81"/>
            <rFont val="Tahoma"/>
            <family val="2"/>
          </rPr>
          <t xml:space="preserve">
Saldo: 0 
</t>
        </r>
      </text>
    </comment>
    <comment ref="AO311" authorId="0" shapeId="0" xr:uid="{00000000-0006-0000-0100-000059010000}">
      <text>
        <r>
          <rPr>
            <b/>
            <sz val="9"/>
            <color indexed="81"/>
            <rFont val="Tahoma"/>
            <family val="2"/>
          </rPr>
          <t>rosa:</t>
        </r>
        <r>
          <rPr>
            <sz val="9"/>
            <color indexed="81"/>
            <rFont val="Tahoma"/>
            <family val="2"/>
          </rPr>
          <t xml:space="preserve">
Saldo: 0 
</t>
        </r>
      </text>
    </comment>
    <comment ref="AP311" authorId="0" shapeId="0" xr:uid="{00000000-0006-0000-0100-00005A010000}">
      <text>
        <r>
          <rPr>
            <b/>
            <sz val="9"/>
            <color indexed="81"/>
            <rFont val="Tahoma"/>
            <family val="2"/>
          </rPr>
          <t>rosa:</t>
        </r>
        <r>
          <rPr>
            <sz val="9"/>
            <color indexed="81"/>
            <rFont val="Tahoma"/>
            <family val="2"/>
          </rPr>
          <t xml:space="preserve">
Saldo: 0 
</t>
        </r>
      </text>
    </comment>
    <comment ref="AQ311" authorId="0" shapeId="0" xr:uid="{00000000-0006-0000-0100-00005B010000}">
      <text>
        <r>
          <rPr>
            <b/>
            <sz val="9"/>
            <color indexed="81"/>
            <rFont val="Tahoma"/>
            <family val="2"/>
          </rPr>
          <t>rosa:</t>
        </r>
        <r>
          <rPr>
            <sz val="9"/>
            <color indexed="81"/>
            <rFont val="Tahoma"/>
            <family val="2"/>
          </rPr>
          <t xml:space="preserve">
Saldo: 0 
</t>
        </r>
      </text>
    </comment>
    <comment ref="AF312" authorId="1" shapeId="0" xr:uid="{00000000-0006-0000-0100-00005C010000}">
      <text>
        <r>
          <rPr>
            <b/>
            <sz val="9"/>
            <color indexed="81"/>
            <rFont val="Tahoma"/>
            <family val="2"/>
          </rPr>
          <t>SALEN DE CAIXA 80000€
SALEN DE EBURY 86.791,12
ENTRAN EN PARAGON 86.771,12</t>
        </r>
      </text>
    </comment>
    <comment ref="AG312" authorId="1" shapeId="0" xr:uid="{00000000-0006-0000-0100-00005D010000}">
      <text>
        <r>
          <rPr>
            <b/>
            <sz val="9"/>
            <color indexed="81"/>
            <rFont val="Tahoma"/>
            <family val="2"/>
          </rPr>
          <t>alfonso:</t>
        </r>
        <r>
          <rPr>
            <sz val="9"/>
            <color indexed="81"/>
            <rFont val="Tahoma"/>
            <family val="2"/>
          </rPr>
          <t xml:space="preserve">
86.771,12 USD
72,90 USD: Comisiones y gastos apertura en Cta Paragon del  01/05/2020
20,61 USD: Comisiones y gastos cierre en Cta Paragon del  29/05/2020
21420 USD: Posición abierta y cerrada el 29/05/20</t>
        </r>
      </text>
    </comment>
    <comment ref="AH312" authorId="1" shapeId="0" xr:uid="{00000000-0006-0000-0100-00005E010000}">
      <text>
        <r>
          <rPr>
            <sz val="9"/>
            <color indexed="81"/>
            <rFont val="Tahoma"/>
            <family val="2"/>
          </rPr>
          <t>=140690,72 USD
86.771,12 USD de saldo mes anterior
52.690,72 USD de beneficio posicion futuros deshecha
52,29 USD: Comisiones y gastos cierre en Cta Paragon del  02/06/2020
145,80 USD: Comisiones y gastos cierre en Cta Paragon del 19/06/2020
-2625 USD: Posición cerrada el 02/06/20
-75 USD: Posición cerrada el 19/06/20
1050 USD: Posición cerrada el 19/06/20
19593 USD: Posición cerrada el 19/06/20
14994 USD: Posición cerrada el 19/06/20</t>
        </r>
      </text>
    </comment>
    <comment ref="AI312" authorId="0" shapeId="0" xr:uid="{00000000-0006-0000-0100-00005F010000}">
      <text>
        <r>
          <rPr>
            <b/>
            <sz val="9"/>
            <color indexed="81"/>
            <rFont val="Tahoma"/>
            <family val="2"/>
          </rPr>
          <t xml:space="preserve">=140690,72 USD + 15780 UDS
86.771,12 USD de saldo mes anterior
52.690,72 USD de saldo mes anterior
15.800 USD </t>
        </r>
        <r>
          <rPr>
            <sz val="9"/>
            <color indexed="81"/>
            <rFont val="Tahoma"/>
            <family val="2"/>
          </rPr>
          <t xml:space="preserve">que salen de Ebury el 17/07/20
-20 USD  comisión por ingreso en Paragon
</t>
        </r>
      </text>
    </comment>
    <comment ref="AJ312" authorId="1" shapeId="0" xr:uid="{00000000-0006-0000-0100-000060010000}">
      <text>
        <r>
          <rPr>
            <b/>
            <sz val="9"/>
            <color indexed="81"/>
            <rFont val="Tahoma"/>
            <family val="2"/>
          </rPr>
          <t>alfonso:</t>
        </r>
        <r>
          <rPr>
            <sz val="9"/>
            <color indexed="81"/>
            <rFont val="Tahoma"/>
            <family val="2"/>
          </rPr>
          <t xml:space="preserve">
=140690,72 USD + 15800 UDS
86.771,12 USD de saldo mes anterior
52.690,72 USD de saldo mes anterior
15.800 USD de saldo mes anterior</t>
        </r>
      </text>
    </comment>
    <comment ref="AM312" authorId="0" shapeId="0" xr:uid="{00000000-0006-0000-0100-000061010000}">
      <text>
        <r>
          <rPr>
            <b/>
            <sz val="9"/>
            <color indexed="81"/>
            <rFont val="Tahoma"/>
            <family val="2"/>
          </rPr>
          <t>rosa:</t>
        </r>
        <r>
          <rPr>
            <sz val="9"/>
            <color indexed="81"/>
            <rFont val="Tahoma"/>
            <family val="2"/>
          </rPr>
          <t xml:space="preserve">
SALEN DE EBURY 28440,72 USD el 16/10/20
ENTRAN EN PARAGON :
-20 USD  comisión por ingreso en Paragon
</t>
        </r>
      </text>
    </comment>
    <comment ref="AN312" authorId="0" shapeId="0" xr:uid="{00000000-0006-0000-0100-000062010000}">
      <text>
        <r>
          <rPr>
            <b/>
            <sz val="9"/>
            <color indexed="81"/>
            <rFont val="Tahoma"/>
            <family val="2"/>
          </rPr>
          <t>rosa:</t>
        </r>
        <r>
          <rPr>
            <sz val="9"/>
            <color indexed="81"/>
            <rFont val="Tahoma"/>
            <family val="2"/>
          </rPr>
          <t xml:space="preserve">
SALEN DE EBURY 28440,72 USD el 16/10/20
ENTRAN EN PARAGON :</t>
        </r>
      </text>
    </comment>
    <comment ref="AO312" authorId="0" shapeId="0" xr:uid="{00000000-0006-0000-0100-000063010000}">
      <text>
        <r>
          <rPr>
            <b/>
            <sz val="9"/>
            <color indexed="81"/>
            <rFont val="Tahoma"/>
            <family val="2"/>
          </rPr>
          <t>rosa:</t>
        </r>
        <r>
          <rPr>
            <sz val="9"/>
            <color indexed="81"/>
            <rFont val="Tahoma"/>
            <family val="2"/>
          </rPr>
          <t xml:space="preserve">
SALEN DE EBURY 28440,72 USD el 16/10/20
ENTRAN EN PARAGON :</t>
        </r>
      </text>
    </comment>
    <comment ref="AP312" authorId="0" shapeId="0" xr:uid="{00000000-0006-0000-0100-000064010000}">
      <text>
        <r>
          <rPr>
            <b/>
            <sz val="9"/>
            <color indexed="81"/>
            <rFont val="Tahoma"/>
            <family val="2"/>
          </rPr>
          <t>rosa:</t>
        </r>
        <r>
          <rPr>
            <sz val="9"/>
            <color indexed="81"/>
            <rFont val="Tahoma"/>
            <family val="2"/>
          </rPr>
          <t xml:space="preserve">
SALEN DE CAIXA CTA USD 55000 USD el 27/01/21 y
ENTRAN EN PARAGON el 29/01/21
-145,80 USD  comisión por ingreso en Paragon
</t>
        </r>
      </text>
    </comment>
    <comment ref="AQ312" authorId="0" shapeId="0" xr:uid="{00000000-0006-0000-0100-000065010000}">
      <text>
        <r>
          <rPr>
            <sz val="9"/>
            <color indexed="81"/>
            <rFont val="Tahoma"/>
            <family val="2"/>
          </rPr>
          <t xml:space="preserve">
</t>
        </r>
      </text>
    </comment>
    <comment ref="AR312" authorId="2" shapeId="0" xr:uid="{57EAD4A3-0D8B-4781-A661-1E76BD846D0C}">
      <text>
        <r>
          <rPr>
            <sz val="9"/>
            <color indexed="81"/>
            <rFont val="Tahoma"/>
            <family val="2"/>
          </rPr>
          <t xml:space="preserve">-274,80 USD comisión y exchange fees caragado en Paragon el 01/03/21.
</t>
        </r>
      </text>
    </comment>
    <comment ref="AS312" authorId="2" shapeId="0" xr:uid="{69234AFC-FDD9-4887-86F6-5E5046ADB45A}">
      <text>
        <r>
          <rPr>
            <sz val="9"/>
            <color indexed="81"/>
            <rFont val="Tahoma"/>
            <family val="2"/>
          </rPr>
          <t>-68,70 USD comisión y exchange fees caragado en Paragon el 12/04/21.</t>
        </r>
      </text>
    </comment>
    <comment ref="AT312" authorId="2" shapeId="0" xr:uid="{2D9D8B19-9780-4C56-9DBB-62CE037D5CE3}">
      <text>
        <r>
          <rPr>
            <sz val="9"/>
            <color indexed="81"/>
            <rFont val="Tahoma"/>
            <family val="2"/>
          </rPr>
          <t>-5.517,46 USD de comisiones. 
+ 92.575 USD de ganancia por cierre de comisiones.</t>
        </r>
      </text>
    </comment>
    <comment ref="AQ313" authorId="2" shapeId="0" xr:uid="{07C60D97-8F81-4004-B810-29D7BB792D2D}">
      <text>
        <r>
          <rPr>
            <sz val="9"/>
            <color indexed="81"/>
            <rFont val="Tahoma"/>
            <family val="2"/>
          </rPr>
          <t xml:space="preserve">
SALEN DE CAIXA CTA EUR 115000 EUR el 02/02/21 y
ENTRAN EN PARAGON CTA EUR el 03/02/21</t>
        </r>
        <r>
          <rPr>
            <b/>
            <sz val="9"/>
            <color indexed="81"/>
            <rFont val="Tahoma"/>
            <family val="2"/>
          </rPr>
          <t>.</t>
        </r>
      </text>
    </comment>
    <comment ref="CA336" authorId="3" shapeId="0" xr:uid="{B84CA906-D951-420E-82FF-5A8517BD9EE5}">
      <text>
        <r>
          <rPr>
            <sz val="9"/>
            <color indexed="81"/>
            <rFont val="Tahoma"/>
            <family val="2"/>
          </rPr>
          <t xml:space="preserve">Subvención concedida por sequia: 18,560 Eur
corresponde con el 80% de la inversión a realizar
Inversión a realizar: 
2 depositos de agua de 15.000 L = 3700 eur *2
9 bebederos = 900*9
2200 metros de tubería = 2200*3,5
+ iva 21%
------------------------------------------------------------------
Subvención concedida por sequia: 18,560 Eur
corresponde con el 80% de la inversión a realizar
Inversión a realizar: 
2 depositos de agua de 15.000 L = 3700 eur *2
9 bebederos = 900*9
2200 metros de tubería = 2200*3,5
+ iva 21%
---------------------------------------------------------
</t>
        </r>
        <r>
          <rPr>
            <b/>
            <sz val="9"/>
            <color indexed="81"/>
            <rFont val="Tahoma"/>
            <family val="2"/>
          </rPr>
          <t>Fra Rafael Rodriguez Macias del 29/04/23.</t>
        </r>
        <r>
          <rPr>
            <sz val="9"/>
            <color indexed="81"/>
            <rFont val="Tahoma"/>
            <family val="2"/>
          </rPr>
          <t xml:space="preserve">
Manguera: 1.334,03€
No pagada hasta que nos avise alfonso. 
-----------------------------------------------------
</t>
        </r>
        <r>
          <rPr>
            <b/>
            <sz val="9"/>
            <color indexed="81"/>
            <rFont val="Tahoma"/>
            <family val="2"/>
          </rPr>
          <t>Fra Rafael Rodrigez Macias del 11/05/23.</t>
        </r>
        <r>
          <rPr>
            <sz val="9"/>
            <color indexed="81"/>
            <rFont val="Tahoma"/>
            <family val="2"/>
          </rPr>
          <t xml:space="preserve">
Reforma instalaciones agua: 852,38€ 
Pendiente realizar transferencia. 
!!!! pendiente que envie una factura nueva actualizada con la suvencion
-------------------------------------------------------
</t>
        </r>
        <r>
          <rPr>
            <b/>
            <sz val="9"/>
            <color indexed="81"/>
            <rFont val="Tahoma"/>
            <family val="2"/>
          </rPr>
          <t>Fra Rafael Rodrigez Macias del 11/05/23.</t>
        </r>
        <r>
          <rPr>
            <sz val="9"/>
            <color indexed="81"/>
            <rFont val="Tahoma"/>
            <family val="2"/>
          </rPr>
          <t xml:space="preserve">
Reforma instalaciones agua: 851,24€
Pendiente realizar transferencia. 
--------------------------------------------------
</t>
        </r>
        <r>
          <rPr>
            <b/>
            <sz val="9"/>
            <color indexed="81"/>
            <rFont val="Tahoma"/>
            <family val="2"/>
          </rPr>
          <t>Fra Rafael Rodrigez Macias del 29/05/23.</t>
        </r>
        <r>
          <rPr>
            <sz val="9"/>
            <color indexed="81"/>
            <rFont val="Tahoma"/>
            <family val="2"/>
          </rPr>
          <t xml:space="preserve">
Reforma instalaciones agua: 1.762,97€ 
Pendiente realizar transferencia. 
-------------------------------------------------------
</t>
        </r>
        <r>
          <rPr>
            <b/>
            <sz val="9"/>
            <color indexed="81"/>
            <rFont val="Tahoma"/>
            <family val="2"/>
          </rPr>
          <t>Fra Rafael Rodriguez Macias del 29/05/23.</t>
        </r>
        <r>
          <rPr>
            <sz val="9"/>
            <color indexed="81"/>
            <rFont val="Tahoma"/>
            <family val="2"/>
          </rPr>
          <t xml:space="preserve">
Manguera: 1.766,00€
No pagada hasta que nos avise alfonso.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programas4</author>
    <author>recepción</author>
    <author>alfonso</author>
  </authors>
  <commentList>
    <comment ref="F11" authorId="0" shapeId="0" xr:uid="{9C09339F-B5CB-498A-B7E0-B7D7CDDC5A87}">
      <text>
        <r>
          <rPr>
            <b/>
            <sz val="9"/>
            <color indexed="81"/>
            <rFont val="Tahoma"/>
            <family val="2"/>
          </rPr>
          <t xml:space="preserve">Aumento ingresos:
</t>
        </r>
        <r>
          <rPr>
            <sz val="9"/>
            <color indexed="81"/>
            <rFont val="Tahoma"/>
            <family val="2"/>
          </rPr>
          <t>Emitimos Fra en agosto por 10.500€, estaba el cobro previsto para septiembre por 10.000€</t>
        </r>
      </text>
    </comment>
    <comment ref="F16" authorId="0" shapeId="0" xr:uid="{6D0CE16E-1447-4F1D-98FF-C9660D1EDC65}">
      <text>
        <r>
          <rPr>
            <b/>
            <sz val="9"/>
            <color indexed="81"/>
            <rFont val="Tahoma"/>
            <family val="2"/>
          </rPr>
          <t xml:space="preserve">Disminuye ingresos: 
</t>
        </r>
        <r>
          <rPr>
            <sz val="9"/>
            <color indexed="81"/>
            <rFont val="Tahoma"/>
            <family val="2"/>
          </rPr>
          <t xml:space="preserve">Eliminamos previsión de abril por 7.500€ y emitimos fra en sept por 11.000€
</t>
        </r>
      </text>
    </comment>
    <comment ref="F20" authorId="0" shapeId="0" xr:uid="{65332F3A-214E-4517-B433-967EA5D802BC}">
      <text>
        <r>
          <rPr>
            <b/>
            <sz val="9"/>
            <color indexed="81"/>
            <rFont val="Tahoma"/>
            <family val="2"/>
          </rPr>
          <t xml:space="preserve">Disminuye ingresos: 
</t>
        </r>
        <r>
          <rPr>
            <sz val="9"/>
            <color indexed="81"/>
            <rFont val="Tahoma"/>
            <family val="2"/>
          </rPr>
          <t xml:space="preserve">Actualizamos Tc real: 1,094 en lugar de 1
</t>
        </r>
      </text>
    </comment>
    <comment ref="F21" authorId="0" shapeId="0" xr:uid="{ABF6421F-E8C4-4997-B049-40947E423C1A}">
      <text>
        <r>
          <rPr>
            <b/>
            <sz val="9"/>
            <color indexed="81"/>
            <rFont val="Tahoma"/>
            <family val="2"/>
          </rPr>
          <t xml:space="preserve">Aumento ingresos:
</t>
        </r>
        <r>
          <rPr>
            <sz val="9"/>
            <color indexed="81"/>
            <rFont val="Tahoma"/>
            <family val="2"/>
          </rPr>
          <t>Emitimos Fra en marzo por 22000 USD, 7000 USD más de lo previsto y actualizamos al Tc 1,0875</t>
        </r>
      </text>
    </comment>
    <comment ref="F24" authorId="0" shapeId="0" xr:uid="{0136EBB4-0D75-4D54-A4EA-5AAA318435E6}">
      <text>
        <r>
          <rPr>
            <b/>
            <sz val="9"/>
            <color indexed="81"/>
            <rFont val="Tahoma"/>
            <family val="2"/>
          </rPr>
          <t xml:space="preserve">Disminuye ingresos: 
</t>
        </r>
        <r>
          <rPr>
            <sz val="9"/>
            <color indexed="81"/>
            <rFont val="Tahoma"/>
            <family val="2"/>
          </rPr>
          <t xml:space="preserve">Actualizamos Tc real: 1,0978 en lugar de 1
</t>
        </r>
      </text>
    </comment>
    <comment ref="F25" authorId="0" shapeId="0" xr:uid="{9578317A-04AF-4179-9EBF-ACD4CED70283}">
      <text>
        <r>
          <rPr>
            <b/>
            <sz val="9"/>
            <color indexed="81"/>
            <rFont val="Tahoma"/>
            <family val="2"/>
          </rPr>
          <t xml:space="preserve">Disminuye ingresos: 
</t>
        </r>
        <r>
          <rPr>
            <sz val="9"/>
            <color indexed="81"/>
            <rFont val="Tahoma"/>
            <family val="2"/>
          </rPr>
          <t xml:space="preserve">Actualizamos Tc real: 1,0951 en lugar de 1
</t>
        </r>
      </text>
    </comment>
    <comment ref="F28" authorId="0" shapeId="0" xr:uid="{67BED641-4371-4417-B901-8A7017FA3D32}">
      <text>
        <r>
          <rPr>
            <b/>
            <sz val="9"/>
            <color indexed="81"/>
            <rFont val="Tahoma"/>
            <family val="2"/>
          </rPr>
          <t xml:space="preserve">Aumento ingresos:
</t>
        </r>
        <r>
          <rPr>
            <sz val="9"/>
            <color indexed="81"/>
            <rFont val="Tahoma"/>
            <family val="2"/>
          </rPr>
          <t>Emitimos Fra en junio por 14.000€, 1.500€ más de lo previsto</t>
        </r>
      </text>
    </comment>
    <comment ref="F29" authorId="0" shapeId="0" xr:uid="{D12A416A-7160-4400-9F03-1AB754EA970F}">
      <text>
        <r>
          <rPr>
            <b/>
            <sz val="9"/>
            <color indexed="81"/>
            <rFont val="Tahoma"/>
            <family val="2"/>
          </rPr>
          <t xml:space="preserve">Aumento ingresos:
</t>
        </r>
        <r>
          <rPr>
            <sz val="9"/>
            <color indexed="81"/>
            <rFont val="Tahoma"/>
            <family val="2"/>
          </rPr>
          <t>Emitimos Fra en julio por 12.000€, 4.000€ más de lo previsto</t>
        </r>
      </text>
    </comment>
    <comment ref="F31" authorId="0" shapeId="0" xr:uid="{01B8A446-7F29-4679-9B80-F4F6F312E205}">
      <text>
        <r>
          <rPr>
            <b/>
            <sz val="9"/>
            <color indexed="81"/>
            <rFont val="Tahoma"/>
            <family val="2"/>
          </rPr>
          <t xml:space="preserve">Disminuye ingresos: 
</t>
        </r>
        <r>
          <rPr>
            <sz val="9"/>
            <color indexed="81"/>
            <rFont val="Tahoma"/>
            <family val="2"/>
          </rPr>
          <t xml:space="preserve">Actualizamos Tc real: 1,0586 en lugar de 1
E ingresado: 291,44 USD al tc real: 1,0972 </t>
        </r>
      </text>
    </comment>
    <comment ref="F33" authorId="0" shapeId="0" xr:uid="{9451548E-D62C-480E-ABC9-D70E89F0C8D9}">
      <text>
        <r>
          <rPr>
            <b/>
            <sz val="9"/>
            <color indexed="81"/>
            <rFont val="Tahoma"/>
            <family val="2"/>
          </rPr>
          <t xml:space="preserve">Disminuye ingresos: 
</t>
        </r>
        <r>
          <rPr>
            <sz val="9"/>
            <color indexed="81"/>
            <rFont val="Tahoma"/>
            <family val="2"/>
          </rPr>
          <t xml:space="preserve">Actualizamos Tc real: 1,1002 en lugar de 1 en fra de abril y al Tc real: 1,1059 en julio
</t>
        </r>
      </text>
    </comment>
    <comment ref="F36" authorId="0" shapeId="0" xr:uid="{347A003B-E63A-4BEB-8E8C-F6B89D587739}">
      <text>
        <r>
          <rPr>
            <b/>
            <sz val="9"/>
            <color indexed="81"/>
            <rFont val="Tahoma"/>
            <family val="2"/>
          </rPr>
          <t xml:space="preserve">Aumento ingresos:
</t>
        </r>
        <r>
          <rPr>
            <sz val="9"/>
            <color indexed="81"/>
            <rFont val="Tahoma"/>
            <family val="2"/>
          </rPr>
          <t>Emitimos Fra en julio por 16.500€, 1.500€ más de lo previsto</t>
        </r>
      </text>
    </comment>
    <comment ref="F39" authorId="0" shapeId="0" xr:uid="{E8B862D3-0395-4147-9717-C37D4E0E4EE7}">
      <text>
        <r>
          <rPr>
            <b/>
            <sz val="9"/>
            <color indexed="81"/>
            <rFont val="Tahoma"/>
            <family val="2"/>
          </rPr>
          <t xml:space="preserve">Disminuye ingresos: 
</t>
        </r>
        <r>
          <rPr>
            <sz val="9"/>
            <color indexed="81"/>
            <rFont val="Tahoma"/>
            <family val="2"/>
          </rPr>
          <t xml:space="preserve">Eliminamos previsión de julio por15.000€ y emitimos fra en agosto por 36.000€, cobro previsto en oct
</t>
        </r>
      </text>
    </comment>
    <comment ref="F42" authorId="0" shapeId="0" xr:uid="{A0360EC9-0977-46F7-AB6F-9774AB9EA999}">
      <text>
        <r>
          <rPr>
            <b/>
            <sz val="9"/>
            <color indexed="81"/>
            <rFont val="Tahoma"/>
            <family val="2"/>
          </rPr>
          <t xml:space="preserve">Disminuye ingresos: 
</t>
        </r>
        <r>
          <rPr>
            <sz val="9"/>
            <color indexed="81"/>
            <rFont val="Tahoma"/>
            <family val="2"/>
          </rPr>
          <t xml:space="preserve">Actualizamos Tc real: 1,087 en lugar de 1
</t>
        </r>
      </text>
    </comment>
    <comment ref="F44" authorId="0" shapeId="0" xr:uid="{DEED2032-8E01-4D5F-8241-EA4E043260ED}">
      <text>
        <r>
          <rPr>
            <b/>
            <sz val="9"/>
            <color indexed="81"/>
            <rFont val="Tahoma"/>
            <family val="2"/>
          </rPr>
          <t xml:space="preserve">Aumento ingresos:
</t>
        </r>
        <r>
          <rPr>
            <sz val="9"/>
            <color indexed="81"/>
            <rFont val="Tahoma"/>
            <family val="2"/>
          </rPr>
          <t>Emitimos Fra en mayo por 8250€, 750€ más de lo previsto</t>
        </r>
      </text>
    </comment>
    <comment ref="F47" authorId="0" shapeId="0" xr:uid="{51AF8F90-FFA1-4542-A063-2C9CA418F862}">
      <text>
        <r>
          <rPr>
            <b/>
            <sz val="9"/>
            <color indexed="81"/>
            <rFont val="Tahoma"/>
            <family val="2"/>
          </rPr>
          <t>Aumento ingresos:</t>
        </r>
        <r>
          <rPr>
            <sz val="9"/>
            <color indexed="81"/>
            <rFont val="Tahoma"/>
            <family val="2"/>
          </rPr>
          <t xml:space="preserve"> Fra emitida en julio por 9.000€, nada previsto</t>
        </r>
      </text>
    </comment>
    <comment ref="F53" authorId="0" shapeId="0" xr:uid="{ACB813E5-B406-4D24-A449-3A005279916D}">
      <text>
        <r>
          <rPr>
            <b/>
            <sz val="9"/>
            <color indexed="81"/>
            <rFont val="Tahoma"/>
            <family val="2"/>
          </rPr>
          <t>Aumento ingresos:</t>
        </r>
        <r>
          <rPr>
            <sz val="9"/>
            <color indexed="81"/>
            <rFont val="Tahoma"/>
            <family val="2"/>
          </rPr>
          <t xml:space="preserve"> Fra emitida en agosto por 273,33€, nada previsto</t>
        </r>
      </text>
    </comment>
    <comment ref="F62" authorId="1" shapeId="0" xr:uid="{09F51976-E827-452E-9304-E459DECF33C2}">
      <text>
        <r>
          <rPr>
            <b/>
            <sz val="9"/>
            <color indexed="81"/>
            <rFont val="Tahoma"/>
            <family val="2"/>
          </rPr>
          <t xml:space="preserve">Disminuye ingresos: </t>
        </r>
        <r>
          <rPr>
            <sz val="9"/>
            <color indexed="81"/>
            <rFont val="Tahoma"/>
            <family val="2"/>
          </rPr>
          <t xml:space="preserve">
Retención incluida en IS actualizada al Tc real: 1,1286 en lugar de 1 y
cobro de fra por 18000 USD en lugar de 20000 USD actualizado al tc: 1,0745 
Ingresan 10% menos: Es una retención, este importe se podrá deducir en la declaración del Impuesto de Sociedades en España.
Solicitar a David 
</t>
        </r>
      </text>
    </comment>
    <comment ref="F66" authorId="0" shapeId="0" xr:uid="{530F5E6D-6E9E-4DCA-8BC7-26A347A085E6}">
      <text>
        <r>
          <rPr>
            <b/>
            <sz val="9"/>
            <color indexed="81"/>
            <rFont val="Tahoma"/>
            <family val="2"/>
          </rPr>
          <t xml:space="preserve">Disminuye ingresos: 
</t>
        </r>
        <r>
          <rPr>
            <sz val="9"/>
            <color indexed="81"/>
            <rFont val="Tahoma"/>
            <family val="2"/>
          </rPr>
          <t xml:space="preserve">Eliminamos previsión de julio y agosto por 10.000€ cada una
</t>
        </r>
      </text>
    </comment>
    <comment ref="F67" authorId="0" shapeId="0" xr:uid="{A871B6B2-9D39-4AF6-AC63-9842E780B1A0}">
      <text>
        <r>
          <rPr>
            <b/>
            <sz val="9"/>
            <color indexed="81"/>
            <rFont val="Tahoma"/>
            <family val="2"/>
          </rPr>
          <t xml:space="preserve">Disminuye ingresos: 
</t>
        </r>
        <r>
          <rPr>
            <sz val="9"/>
            <color indexed="81"/>
            <rFont val="Tahoma"/>
            <family val="2"/>
          </rPr>
          <t xml:space="preserve">Actualizamos Tc real: 1,1042 en lugar de 1
</t>
        </r>
      </text>
    </comment>
    <comment ref="F69" authorId="0" shapeId="0" xr:uid="{C2B57546-442A-46AF-9CA1-78AD0CA606BB}">
      <text>
        <r>
          <rPr>
            <sz val="9"/>
            <color indexed="81"/>
            <rFont val="Tahoma"/>
            <family val="2"/>
          </rPr>
          <t>-4480 USD: Perdida cierre posición 10/03/23
Tc: 1,0596
------------------------------
5040 USD: Ganancia cierre posición 10/03/23
Tc: 1,0586
-------------------------------
Eliminado beneficio estimado crush US y EU.por 75000</t>
        </r>
      </text>
    </comment>
    <comment ref="F72" authorId="0" shapeId="0" xr:uid="{26F1BD61-9F4C-40F5-9149-3D5B88086875}">
      <text>
        <r>
          <rPr>
            <b/>
            <sz val="9"/>
            <color indexed="81"/>
            <rFont val="Tahoma"/>
            <family val="2"/>
          </rPr>
          <t xml:space="preserve">Disminuye el total cobros: 
</t>
        </r>
        <r>
          <rPr>
            <sz val="9"/>
            <color indexed="81"/>
            <rFont val="Tahoma"/>
            <family val="2"/>
          </rPr>
          <t>-Sobre todo por cancelación de Czanikow y actualización de Tc
-Eliminado beneficio estimado crush US y EU.por 75000
Esta disminución de los cobros no es real pq dichos cobros están previstos para septiembre</t>
        </r>
      </text>
    </comment>
    <comment ref="F77" authorId="0" shapeId="0" xr:uid="{EB69720D-4F21-4C0D-87AB-642C5E01F176}">
      <text>
        <r>
          <rPr>
            <b/>
            <sz val="9"/>
            <color indexed="81"/>
            <rFont val="Tahoma"/>
            <family val="2"/>
          </rPr>
          <t xml:space="preserve">Aumenta el gasto: 
</t>
        </r>
        <r>
          <rPr>
            <sz val="9"/>
            <color indexed="81"/>
            <rFont val="Tahoma"/>
            <family val="2"/>
          </rPr>
          <t xml:space="preserve">Fras Whitebite de junio por más de lo previsto
</t>
        </r>
      </text>
    </comment>
    <comment ref="F78" authorId="0" shapeId="0" xr:uid="{7CAFF483-8BE6-4C5F-AEA7-D1A1BF735508}">
      <text>
        <r>
          <rPr>
            <b/>
            <sz val="9"/>
            <color indexed="81"/>
            <rFont val="Tahoma"/>
            <family val="2"/>
          </rPr>
          <t xml:space="preserve">Aumenta el gasto: 
</t>
        </r>
        <r>
          <rPr>
            <sz val="9"/>
            <color indexed="81"/>
            <rFont val="Tahoma"/>
            <family val="2"/>
          </rPr>
          <t>Fras Vybsa de abril y mayo no previstas
Fra no prevista Agustin Cid (entrazos):
Fra: WN-23-27 (15/06/23):
190+20= 210€: Servidor + dominio (Nixal.es) +dominio (Nixaltrading.com) del 16/06/23 al 16/06/24
+IVA-IRPF
243,80€: Cargado en Caixa: 23/06/23
Fra Nº A231836 (01/08/23):
9,24€: Copias 
Cargado Caixa: 16/08/23</t>
        </r>
      </text>
    </comment>
    <comment ref="F79" authorId="0" shapeId="0" xr:uid="{5EA5C87D-C8CD-468D-BD59-AE372456A2EB}">
      <text>
        <r>
          <rPr>
            <b/>
            <sz val="9"/>
            <color indexed="81"/>
            <rFont val="Tahoma"/>
            <family val="2"/>
          </rPr>
          <t xml:space="preserve">Aumenta el gasto: 
</t>
        </r>
        <r>
          <rPr>
            <sz val="9"/>
            <color indexed="81"/>
            <rFont val="Tahoma"/>
            <family val="2"/>
          </rPr>
          <t xml:space="preserve">Anotada previsión en marzo por 3750€ y finalmt ha sido 3.373,49€
Y previsión en abril por 3000€ y finalmt ha sido 3.978,46€
Y previsión en mayo por 250€ y finalmt ha sido 3.401,57€
Y previsión en junio por 500€ y finalmt ha sido 1.161,44€
Y previsión en julio por 500€ y finalmt ha sido 1.061,80€: 
</t>
        </r>
      </text>
    </comment>
    <comment ref="A83" authorId="2" shapeId="0" xr:uid="{F74DBCAD-7731-42E9-BCCC-643E9B15962D}">
      <text>
        <r>
          <rPr>
            <sz val="9"/>
            <color indexed="81"/>
            <rFont val="Tahoma"/>
            <family val="2"/>
          </rPr>
          <t>horario propuesto a partir del 1 de marzo:
Lunes y Miércoles:
De 7:30 a 14:00 horas (6,5 horas) y 
De 15:00 a 16:30 horas (1,5 horas)
Martes y Jueves:
De 7:30 a 14:00 horas (6,5 horas) y 
De 15:00 a 17:00 horas (2 horas)
Viernes:
De 7:30 a 14:30 horas (7 horas) 
La hora que faltaría por echar los viernes se compensa con la media hora que echaría los martes y los jueves de más.</t>
        </r>
      </text>
    </comment>
    <comment ref="F83" authorId="0" shapeId="0" xr:uid="{79823CB1-6C3B-47A9-9004-01D89A1A0DE5}">
      <text>
        <r>
          <rPr>
            <b/>
            <sz val="9"/>
            <color indexed="81"/>
            <rFont val="Tahoma"/>
            <family val="2"/>
          </rPr>
          <t xml:space="preserve">Disminuye el gasto: 
</t>
        </r>
        <r>
          <rPr>
            <sz val="9"/>
            <color indexed="81"/>
            <rFont val="Tahoma"/>
            <family val="2"/>
          </rPr>
          <t xml:space="preserve">Eliminado del cuadro de Nixal este importe pagado en efectivo de caja MDZ por resto salario mes de marzo
</t>
        </r>
      </text>
    </comment>
    <comment ref="F85" authorId="0" shapeId="0" xr:uid="{CE521D2A-DA73-43B2-9B31-EA146A469A9A}">
      <text>
        <r>
          <rPr>
            <b/>
            <sz val="9"/>
            <color indexed="81"/>
            <rFont val="Tahoma"/>
            <family val="2"/>
          </rPr>
          <t xml:space="preserve">Aumenta el gasto: </t>
        </r>
        <r>
          <rPr>
            <sz val="9"/>
            <color indexed="81"/>
            <rFont val="Tahoma"/>
            <family val="2"/>
          </rPr>
          <t xml:space="preserve">
Cargado por mas de lo previsto en los meses de febrero, marzo y abril, mayo, junio y julio</t>
        </r>
      </text>
    </comment>
    <comment ref="A86" authorId="2" shapeId="0" xr:uid="{F05B4743-739A-48E8-A2DB-8DEACD24A071}">
      <text>
        <r>
          <rPr>
            <b/>
            <sz val="9"/>
            <color indexed="81"/>
            <rFont val="Tahoma"/>
            <family val="2"/>
          </rPr>
          <t xml:space="preserve">2021
</t>
        </r>
        <r>
          <rPr>
            <sz val="9"/>
            <color indexed="81"/>
            <rFont val="Tahoma"/>
            <family val="2"/>
          </rPr>
          <t>Sinver 313,67 + iva mensuales.
Imputamos medio año a molino y medio a nixal</t>
        </r>
      </text>
    </comment>
    <comment ref="F86" authorId="1" shapeId="0" xr:uid="{BF4CFC4C-3DEA-494B-BB50-E481B29E6AB7}">
      <text>
        <r>
          <rPr>
            <b/>
            <sz val="9"/>
            <color indexed="81"/>
            <rFont val="Tahoma"/>
            <family val="2"/>
          </rPr>
          <t xml:space="preserve">Aumenta el gasto: </t>
        </r>
        <r>
          <rPr>
            <sz val="9"/>
            <color indexed="81"/>
            <rFont val="Tahoma"/>
            <family val="2"/>
          </rPr>
          <t xml:space="preserve">
Fra de abril no prevista el
+ Gasto mensajeria: 14,99+IVA
+ CCAA: 60,09€
Fra de mayo no prevista el
+ Certificado RM: 27,95€+IVA
Fra de junio no prevista la
+ Presentación modelo 600 compraventa parcela en Valverde: 200€+IVA
800,91€: Cargado: 03/07/23</t>
        </r>
      </text>
    </comment>
    <comment ref="A87" authorId="2" shapeId="0" xr:uid="{801770E6-5A00-41A9-AC78-9705AECFF5F2}">
      <text>
        <r>
          <rPr>
            <sz val="9"/>
            <color indexed="81"/>
            <rFont val="Tahoma"/>
            <family val="2"/>
          </rPr>
          <t xml:space="preserve">Contratado con Creativa Nov 2020
45€ por gestion laboral empresa + 8€/mes por empleado = </t>
        </r>
        <r>
          <rPr>
            <b/>
            <sz val="9"/>
            <color indexed="81"/>
            <rFont val="Tahoma"/>
            <family val="2"/>
          </rPr>
          <t xml:space="preserve">85 al mes + IVA 21%
</t>
        </r>
        <r>
          <rPr>
            <sz val="9"/>
            <color indexed="81"/>
            <rFont val="Tahoma"/>
            <family val="2"/>
          </rPr>
          <t xml:space="preserve">
*Facturación cada día 22
*Cobro mediante recibo domiciliado los días 27
</t>
        </r>
      </text>
    </comment>
    <comment ref="F88" authorId="1" shapeId="0" xr:uid="{EC4380D4-E86D-4DBA-B72C-F098FCFCCA6E}">
      <text>
        <r>
          <rPr>
            <b/>
            <sz val="9"/>
            <color indexed="81"/>
            <rFont val="Tahoma"/>
            <family val="2"/>
          </rPr>
          <t xml:space="preserve">Aumenta el gasto:
</t>
        </r>
        <r>
          <rPr>
            <sz val="9"/>
            <color indexed="81"/>
            <rFont val="Tahoma"/>
            <family val="2"/>
          </rPr>
          <t xml:space="preserve">307,91€: Aranguren y Guajardo-Fajardo CB.
Fra: P / 00249 del 27/03/2023. 
Honorarios y Suplidos Préstamos, créditos y descuentos con afianzamiento
307,91€: Transferencia Caixa realizada el 30/03/23
¿Mantenemos previsión mayo por 1000€?
</t>
        </r>
      </text>
    </comment>
    <comment ref="A89" authorId="2" shapeId="0" xr:uid="{6C8CCE09-34B3-4FBC-986D-A7851800C78C}">
      <text>
        <r>
          <rPr>
            <b/>
            <sz val="9"/>
            <color indexed="81"/>
            <rFont val="Tahoma"/>
            <family val="2"/>
          </rPr>
          <t>alfonso:</t>
        </r>
        <r>
          <rPr>
            <sz val="9"/>
            <color indexed="81"/>
            <rFont val="Tahoma"/>
            <family val="2"/>
          </rPr>
          <t xml:space="preserve">
Certificado de sostenibilidad para comercializar con Alcohol sostenible.</t>
        </r>
      </text>
    </comment>
    <comment ref="F91" authorId="0" shapeId="0" xr:uid="{BE1954C4-3F64-4FD8-B002-726C2163545A}">
      <text>
        <r>
          <rPr>
            <b/>
            <sz val="9"/>
            <color indexed="81"/>
            <rFont val="Tahoma"/>
            <family val="2"/>
          </rPr>
          <t xml:space="preserve">Disminuye el gasto: </t>
        </r>
        <r>
          <rPr>
            <sz val="9"/>
            <color indexed="81"/>
            <rFont val="Tahoma"/>
            <family val="2"/>
          </rPr>
          <t xml:space="preserve">
FO Licht: Diferencia tipo de cambio, estaba anotado al 1 y finalmt es 1,0760
------------------
</t>
        </r>
      </text>
    </comment>
    <comment ref="F92" authorId="1" shapeId="0" xr:uid="{BAF2C4D0-6B66-4EA8-AD91-2F4C937EBE94}">
      <text>
        <r>
          <rPr>
            <b/>
            <sz val="9"/>
            <color indexed="81"/>
            <rFont val="Tahoma"/>
            <family val="2"/>
          </rPr>
          <t xml:space="preserve">Aumenta el gasto:
</t>
        </r>
        <r>
          <rPr>
            <sz val="9"/>
            <color indexed="81"/>
            <rFont val="Tahoma"/>
            <family val="2"/>
          </rPr>
          <t xml:space="preserve">307,91€: Aranguren y Guajardo-Fajardo CB.
Fra: P / 00249 del 27/03/2023. 
Honorarios y Suplidos Préstamos, créditos y descuentos con afianzamiento
307,91€: Transferencia Caixa realizada el 30/03/23
¿Mantenemos previsión mayo por 1000€?
</t>
        </r>
      </text>
    </comment>
    <comment ref="F93" authorId="1" shapeId="0" xr:uid="{2C47285B-D14D-457C-8DF3-8A22E1761E98}">
      <text>
        <r>
          <rPr>
            <b/>
            <sz val="9"/>
            <color indexed="81"/>
            <rFont val="Tahoma"/>
            <family val="2"/>
          </rPr>
          <t xml:space="preserve">Disminuye el gasto: 
</t>
        </r>
        <r>
          <rPr>
            <sz val="9"/>
            <color indexed="81"/>
            <rFont val="Tahoma"/>
            <family val="2"/>
          </rPr>
          <t>Incluida devoluciones de IVA de febrero, marzo, abril y mayo que realmente pertenecen a Nixal
Falta por ingresar de Hacienda la de abril y mayo</t>
        </r>
      </text>
    </comment>
    <comment ref="F94" authorId="0" shapeId="0" xr:uid="{1829D8D4-52D7-484E-800F-0B4DAC8C414F}">
      <text>
        <r>
          <rPr>
            <b/>
            <sz val="9"/>
            <color indexed="81"/>
            <rFont val="Tahoma"/>
            <family val="2"/>
          </rPr>
          <t xml:space="preserve">Aumenta el gasto: </t>
        </r>
        <r>
          <rPr>
            <sz val="9"/>
            <color indexed="81"/>
            <rFont val="Tahoma"/>
            <family val="2"/>
          </rPr>
          <t xml:space="preserve">
IRPF del 1º trimestre cargado por más de lo previsto (9500€ previsto y ha sido 11074,04€ lo que pertenece a Nixal)
IRPF del 2º trimestre conjunto pndte cargo el 20/07/23</t>
        </r>
      </text>
    </comment>
    <comment ref="F95" authorId="0" shapeId="0" xr:uid="{B7B50D04-4150-4B21-AA56-5F25A1EADD75}">
      <text>
        <r>
          <rPr>
            <b/>
            <sz val="9"/>
            <color indexed="81"/>
            <rFont val="Tahoma"/>
            <family val="2"/>
          </rPr>
          <t xml:space="preserve">Aumenta el gasto: </t>
        </r>
        <r>
          <rPr>
            <sz val="9"/>
            <color indexed="81"/>
            <rFont val="Tahoma"/>
            <family val="2"/>
          </rPr>
          <t xml:space="preserve">
Eliminamos  los 2 pagos a cuenta y lo pasamos al siguiente año para descontar del siguiente IS y anotamos importe final IS</t>
        </r>
      </text>
    </comment>
    <comment ref="F96" authorId="1" shapeId="0" xr:uid="{22F76E66-1418-4DD2-AD7C-7FC26AAA6894}">
      <text>
        <r>
          <rPr>
            <b/>
            <sz val="9"/>
            <color indexed="81"/>
            <rFont val="Tahoma"/>
            <family val="2"/>
          </rPr>
          <t xml:space="preserve">Aumenta el gasto por: 
</t>
        </r>
        <r>
          <rPr>
            <sz val="9"/>
            <color indexed="81"/>
            <rFont val="Tahoma"/>
            <family val="2"/>
          </rPr>
          <t xml:space="preserve">Impuesto sobre vehiculo - Coche Land Rover Defender 3577LNJ. 
132,99€ Realizar transferencia y domiciliar en caixa Nixal antes del 30/05/23
Cargado Caixa: 15/05/23
---------------------------------
Recibo IBI Inmueble República Argentina cargado por menos de lo previsto
del 01/01 al 30/06/23
613,64€
Cargado Caixa: 02/06/23
</t>
        </r>
      </text>
    </comment>
    <comment ref="F97" authorId="1" shapeId="0" xr:uid="{A8F256B6-3E9A-4755-9441-985B92C06AB5}">
      <text>
        <r>
          <rPr>
            <b/>
            <sz val="9"/>
            <color indexed="81"/>
            <rFont val="Tahoma"/>
            <family val="2"/>
          </rPr>
          <t xml:space="preserve">Aumenta el gasto por: 
</t>
        </r>
        <r>
          <rPr>
            <sz val="9"/>
            <color indexed="81"/>
            <rFont val="Tahoma"/>
            <family val="2"/>
          </rPr>
          <t>26,61€: comision traspaso a VFX $
(28,46$/1,0696)
Cargado Cta Caixa USD: 15/03/23
---------------------------------
12€: Comisiones y gastos
Cargado BBVA: 15/03/23
----------------------------------
708,86€: Comisiones operaciones Paragon (762 usd al Tc 1,0750).
----------------------------------------
719,16€: Comisiones operaciones Paragon (762 usd al Tc 1,0596).
-------------------------
0,73€: Comisiones por servicios telemáticos
Cargado BBVA: 03/04/23
---------------------------
-0,73€: Devolución comisiones por servicios telemáticos
Abonado BBVA: 14/04/23
-------------------------
-1,09€: Devolución comisiones por servicios telemáticos
Abonado BBVA: 14/04/23
-------------------------
-0,18€: Devolución comisiones por servicios telemáticos
Abonado BBVA: 14/04/23
-------------------------
-0,36€: Devolución comisiones por servicios telemáticos
Abonado BBVA: 14/04/23
-------------------------
-0,54€: Devolución comisiones por servicios telemáticos
Abonado BBVA: 14/04/23
---------------------
12€: Comisiones y gastos
Cargado BBVA: 17/04/23
-------------------------------------
92,41€: Comisiones recepción transferencia VFX USD (100 usd al Tc 1,0821).
-------------------------
12€: Comisiones y gastos
Cargado BBVA: 16/05/23
-------------------------------------
27,72€: Comisiones traspaso fondos a VFX (30 usd al Tc 1,0821).
-------------------------------------
12€: Comisiones y gastos
Cargado BBVA: 19/06/23
-------------------------------------</t>
        </r>
      </text>
    </comment>
    <comment ref="F105" authorId="0" shapeId="0" xr:uid="{2762E720-DC5E-488B-94FF-AA5AD75CE351}">
      <text>
        <r>
          <rPr>
            <b/>
            <sz val="9"/>
            <color indexed="81"/>
            <rFont val="Tahoma"/>
            <family val="2"/>
          </rPr>
          <t xml:space="preserve">Aumenta el gasto: 
Fra no prevista   </t>
        </r>
        <r>
          <rPr>
            <sz val="9"/>
            <color indexed="81"/>
            <rFont val="Tahoma"/>
            <family val="2"/>
          </rPr>
          <t xml:space="preserve">7,39€: Tradipaq
Fra del 31/03/23. 
Cargado: 13/04/23
---------------------
5,67€: Tradipaq
Fra del 31/05/23. 
Cargado: 16/06/23
-------------------
6,23€: Tradipaq
Fra del 30/06/23. 
Cargado: 
</t>
        </r>
      </text>
    </comment>
    <comment ref="F106" authorId="0" shapeId="0" xr:uid="{7C89A050-57C0-4326-BDF5-7740259136F3}">
      <text>
        <r>
          <rPr>
            <b/>
            <sz val="9"/>
            <color indexed="81"/>
            <rFont val="Tahoma"/>
            <family val="2"/>
          </rPr>
          <t xml:space="preserve">Aumenta el gasto: </t>
        </r>
        <r>
          <rPr>
            <sz val="9"/>
            <color indexed="81"/>
            <rFont val="Tahoma"/>
            <family val="2"/>
          </rPr>
          <t xml:space="preserve">
Cargado mas de lo previsto en el mes de marzo, abril, mayo y junio
496,55€: Fra del 15/03/23
Cargado en caixa: 28/03/23
--------------------------
68,20€: Fra del 15/03/23
Cargado en caixa: 28/03/23
-----------------
495,48€: Fra del 15/04/23
Cargado en caixa: 24/04/23
--------------------------
68,20€: Fra del 15/04/23
Cargado en caixa: 24/04/23
-----------------
525,08€: Fra del 15/05/23
Cargado en caixa: 24/05/23 
--------------------------
68,20€: Fra del 15/05/23
Cargado en caixa: 24/05/23 
-----------------
523,99€: Fra del 15/06/23
Cargado en caixa: 26/06/23 
--------------------------
65,99€: Fra del 15/06/23
Cargado en caixa: 26/06/23 
-----------------</t>
        </r>
      </text>
    </comment>
    <comment ref="F107" authorId="0" shapeId="0" xr:uid="{CA8188C6-7CAC-4FA6-B547-933852CB4F52}">
      <text>
        <r>
          <rPr>
            <b/>
            <sz val="9"/>
            <color indexed="81"/>
            <rFont val="Tahoma"/>
            <family val="2"/>
          </rPr>
          <t xml:space="preserve">Aumenta el gasto: 
</t>
        </r>
        <r>
          <rPr>
            <sz val="9"/>
            <color indexed="81"/>
            <rFont val="Tahoma"/>
            <family val="2"/>
          </rPr>
          <t>Por los suplementos desde marzo a junio:
-----------------
13,62€: Seguro AXA del 17/03 AL 17/04/23  Alfonso Carmona.
Cargado: 20/03/23
-----------------
13,64€: Seguro AXA del 17/04 AL 17/05/23  Alfonso Carmona.
Cargado: 18/04/23
------------------
13,64€: Seguro AXA del 17/05 AL 17/06/23  Alfonso Carmona.
Cargado: 18/05/23
-------------------
13,62€: Seguro AXA del 17/06 AL 17/07/23  Alfonso Carmona.
Cargado: 20/06/23</t>
        </r>
      </text>
    </comment>
    <comment ref="F111" authorId="1" shapeId="0" xr:uid="{22D3727F-2C7D-438A-99DC-32D8AF2853BE}">
      <text>
        <r>
          <rPr>
            <b/>
            <sz val="9"/>
            <color indexed="81"/>
            <rFont val="Tahoma"/>
            <family val="2"/>
          </rPr>
          <t>Aumenta el gasto:</t>
        </r>
        <r>
          <rPr>
            <sz val="9"/>
            <color indexed="81"/>
            <rFont val="Tahoma"/>
            <family val="2"/>
          </rPr>
          <t xml:space="preserve">
393,95€: Seguro Anual Vida no previsto
393,95€: Cargado BBVA: 27/03/23</t>
        </r>
      </text>
    </comment>
    <comment ref="F114" authorId="0" shapeId="0" xr:uid="{4BB4762F-5822-46A7-92A8-186FD5B22F79}">
      <text>
        <r>
          <rPr>
            <b/>
            <sz val="9"/>
            <color indexed="81"/>
            <rFont val="Tahoma"/>
            <family val="2"/>
          </rPr>
          <t xml:space="preserve">Aumenta el gasto: </t>
        </r>
        <r>
          <rPr>
            <sz val="9"/>
            <color indexed="81"/>
            <rFont val="Tahoma"/>
            <family val="2"/>
          </rPr>
          <t xml:space="preserve">
499,80€: Recibo comunidad abril
+54,10€: Arreglo patio
553,90€: Cargado Caixa: 06/04/23
------------------------------
24,32€: Recibo agua abril
Cargado Caixa: 06/04/23
----------------------------------
499,80€: Recibo comunidad abril
+54,10€: Arreglo patio
553,90€: Cargado Caixa: 05/05/23
------------------------------
E incluida previsión arreglo patio próximos meses
25,36€: Recibo agua julio
Cargado Caixa: 05/07/23
</t>
        </r>
      </text>
    </comment>
    <comment ref="F115" authorId="1" shapeId="0" xr:uid="{9B9C82D2-1808-414E-BE08-7512A012512C}">
      <text>
        <r>
          <rPr>
            <b/>
            <sz val="9"/>
            <color indexed="81"/>
            <rFont val="Tahoma"/>
            <family val="2"/>
          </rPr>
          <t xml:space="preserve">Disminuye el gasto: 
</t>
        </r>
        <r>
          <rPr>
            <sz val="9"/>
            <color indexed="81"/>
            <rFont val="Tahoma"/>
            <family val="2"/>
          </rPr>
          <t xml:space="preserve">Previsión mayor a lo pagado en marzo, abril y mayo e incluida fra: 
182,97€: Fra GAS del 06/06/23
Periodo del 12 al 25/05/23
Cargado en caixa: 13/06/23
-------------------
64,09€: Fra del 15/06/23
Periodo del 01 al 31/05/23
Cargado en caixa: 22/06/23
---------------
231,42€: Fra del 06/07/23
Periodo del 01 al 30/06/23
Cargado en caixa:  
</t>
        </r>
      </text>
    </comment>
    <comment ref="F116" authorId="1" shapeId="0" xr:uid="{EA6BCFFD-DF9B-4E02-98A1-82E182426889}">
      <text>
        <r>
          <rPr>
            <b/>
            <sz val="9"/>
            <color indexed="81"/>
            <rFont val="Tahoma"/>
            <family val="2"/>
          </rPr>
          <t>Aumenta el gasto:</t>
        </r>
        <r>
          <rPr>
            <sz val="9"/>
            <color indexed="81"/>
            <rFont val="Tahoma"/>
            <family val="2"/>
          </rPr>
          <t xml:space="preserve">
Incluido alquiler de los meses de marzo, abril y mayo
</t>
        </r>
      </text>
    </comment>
    <comment ref="F117" authorId="1" shapeId="0" xr:uid="{15208474-605C-45DE-81B6-82C520273729}">
      <text>
        <r>
          <rPr>
            <sz val="9"/>
            <color indexed="81"/>
            <rFont val="Tahoma"/>
            <family val="2"/>
          </rPr>
          <t xml:space="preserve">1,54€: Diferencia negativa en Excel Paragon y VFX por decimales en el Tc abril
-----------------------------
-1,07€: Diferencia positiva en Excel Paragon y VFX por decimales en el Tc en marzo
-----------------------------
0,42€: Diferencia negativa en Excel Paragon y VFX por decimales en el Tc
-----------------------------
</t>
        </r>
      </text>
    </comment>
    <comment ref="F120" authorId="0" shapeId="0" xr:uid="{0771246F-C095-4EB8-B7C0-75FFBE9631F4}">
      <text>
        <r>
          <rPr>
            <b/>
            <sz val="9"/>
            <color indexed="81"/>
            <rFont val="Tahoma"/>
            <family val="2"/>
          </rPr>
          <t>Disminuyen los pagos</t>
        </r>
        <r>
          <rPr>
            <sz val="9"/>
            <color indexed="81"/>
            <rFont val="Tahoma"/>
            <family val="2"/>
          </rPr>
          <t xml:space="preserve">:  
-Por los devoluciones de IVA y los pagos del IS no pagados en su totalidad 
</t>
        </r>
      </text>
    </comment>
    <comment ref="F125" authorId="0" shapeId="0" xr:uid="{5D8012E6-FED9-4CFD-A931-7B030AC94EFE}">
      <text>
        <r>
          <rPr>
            <b/>
            <sz val="9"/>
            <color indexed="81"/>
            <rFont val="Tahoma"/>
            <family val="2"/>
          </rPr>
          <t xml:space="preserve">Disminuye el saldo de actividad. 
</t>
        </r>
        <r>
          <rPr>
            <sz val="9"/>
            <color indexed="81"/>
            <rFont val="Tahoma"/>
            <family val="2"/>
          </rPr>
          <t>-Eliminado beneficio estimado crush US y EU.por 75000
-Sobre todo por cancelación de Czanikow y actualización de Tc</t>
        </r>
      </text>
    </comment>
    <comment ref="F132" authorId="0" shapeId="0" xr:uid="{9E612192-91BF-4179-8F2F-7F5CC15D9AA5}">
      <text>
        <r>
          <rPr>
            <b/>
            <sz val="9"/>
            <color indexed="81"/>
            <rFont val="Tahoma"/>
            <family val="2"/>
          </rPr>
          <t xml:space="preserve">Aumenta las inversiones: 
</t>
        </r>
        <r>
          <rPr>
            <sz val="9"/>
            <color indexed="81"/>
            <rFont val="Tahoma"/>
            <family val="2"/>
          </rPr>
          <t xml:space="preserve">Incluidas todas las fras de Reforma Rep. Arg hasta la fecha
</t>
        </r>
      </text>
    </comment>
    <comment ref="A136" authorId="2" shapeId="0" xr:uid="{DB8CAA37-B9DE-40C0-A5E9-67B1C506BCFF}">
      <text>
        <r>
          <rPr>
            <b/>
            <sz val="9"/>
            <color indexed="81"/>
            <rFont val="Tahoma"/>
            <family val="2"/>
          </rPr>
          <t>alfonso:</t>
        </r>
        <r>
          <rPr>
            <sz val="9"/>
            <color indexed="81"/>
            <rFont val="Tahoma"/>
            <family val="2"/>
          </rPr>
          <t xml:space="preserve">
prestamo hipotecario BBVA
Inicio: xx/7/2021
Fin: xx/7/2036 
Principal: 400.000 €
Recibos mensuales:  2563¿??? 
Fechas recibos: día xx de cada mes  
Capital pendiente a xx.xx.xx: ,00 €
Tipo: 1,92</t>
        </r>
      </text>
    </comment>
    <comment ref="A139" authorId="2" shapeId="0" xr:uid="{3355A5C4-EAE0-4437-ABE7-1D5B8EDD3A30}">
      <text>
        <r>
          <rPr>
            <b/>
            <sz val="9"/>
            <color indexed="81"/>
            <rFont val="Tahoma"/>
            <family val="2"/>
          </rPr>
          <t>alfonso:</t>
        </r>
        <r>
          <rPr>
            <sz val="9"/>
            <color indexed="81"/>
            <rFont val="Tahoma"/>
            <family val="2"/>
          </rPr>
          <t xml:space="preserve">
prestamo ICO Caixa
Inicio: 7/4/2020
Fin: 7/4/2025 (con ampliación a 7/4/28)
Principal: 99.000,00 €
Recibos: 123,75 € cada mes hasta el 7/4/2021 (hasta 7/4/22 con ampliación).
                      2,126,28 cada mes desde el 7/5/2021 a fin.
Fechas recibos: día 7 de cada mes  
Capital pendiente a 31.12.20: 99.000,00 €
Tipo: 1,50</t>
        </r>
      </text>
    </comment>
    <comment ref="A142" authorId="1" shapeId="0" xr:uid="{A217480D-CF3D-459E-9CB2-558F3F1BD9CD}">
      <text>
        <r>
          <rPr>
            <b/>
            <sz val="9"/>
            <color indexed="81"/>
            <rFont val="Tahoma"/>
            <family val="2"/>
          </rPr>
          <t>Póliza de Crédito:</t>
        </r>
        <r>
          <rPr>
            <sz val="9"/>
            <color indexed="81"/>
            <rFont val="Tahoma"/>
            <family val="2"/>
          </rPr>
          <t xml:space="preserve">
Importe: 75.000€
Plazo: 1 año, renovable hasta 3
Comisiones de apertura y estudio: 0
Tipo de interés: Euribor+4,45%
</t>
        </r>
      </text>
    </comment>
    <comment ref="F143" authorId="0" shapeId="0" xr:uid="{EF493A84-F076-4175-94C1-37303C19AC89}">
      <text>
        <r>
          <rPr>
            <b/>
            <sz val="9"/>
            <color indexed="81"/>
            <rFont val="Tahoma"/>
            <family val="2"/>
          </rPr>
          <t xml:space="preserve">Aumento Tesorería: 
</t>
        </r>
        <r>
          <rPr>
            <sz val="9"/>
            <color indexed="81"/>
            <rFont val="Tahoma"/>
            <family val="2"/>
          </rPr>
          <t>Crédito BBVA y anotados gastos de junio: 1.366,57€</t>
        </r>
      </text>
    </comment>
    <comment ref="F149" authorId="0" shapeId="0" xr:uid="{26143C9B-E7A7-401A-BAA4-D5EC57BEBD1D}">
      <text>
        <r>
          <rPr>
            <b/>
            <sz val="9"/>
            <color indexed="81"/>
            <rFont val="Tahoma"/>
            <family val="2"/>
          </rPr>
          <t xml:space="preserve">Aumenta el gasto: 
</t>
        </r>
        <r>
          <rPr>
            <sz val="9"/>
            <color indexed="81"/>
            <rFont val="Tahoma"/>
            <family val="2"/>
          </rPr>
          <t>-La necesidad de financiación de marzo es de 44.000€ 
-La necesidad de financiación de marzo es de 19.820€ 
-La necesidad de financiación de marzo es de 56.355€ 
-La necesidad de financiación de marzo es de 18.580€ 
Y anotada previsión de julio por 65.000€</t>
        </r>
      </text>
    </comment>
    <comment ref="A153" authorId="2" shapeId="0" xr:uid="{FD062404-475E-4B12-B905-3EFC12B13D06}">
      <text>
        <r>
          <rPr>
            <b/>
            <sz val="9"/>
            <color indexed="81"/>
            <rFont val="Tahoma"/>
            <family val="2"/>
          </rPr>
          <t>alfonso:</t>
        </r>
        <r>
          <rPr>
            <sz val="9"/>
            <color indexed="81"/>
            <rFont val="Tahoma"/>
            <family val="2"/>
          </rPr>
          <t xml:space="preserve">
prestamos a Molino diferentes a transferencias de prestamos (salarios JP, devoluciones de socios…)</t>
        </r>
      </text>
    </comment>
    <comment ref="F173" authorId="0" shapeId="0" xr:uid="{3ED72C90-D0D6-4261-9D2F-53B58FD8EA1C}">
      <text>
        <r>
          <rPr>
            <b/>
            <sz val="9"/>
            <color indexed="81"/>
            <rFont val="Tahoma"/>
            <family val="2"/>
          </rPr>
          <t xml:space="preserve">Aumenta el gasto: 
</t>
        </r>
        <r>
          <rPr>
            <sz val="9"/>
            <color indexed="81"/>
            <rFont val="Tahoma"/>
            <family val="2"/>
          </rPr>
          <t>Sinver (Liquidación provisión de fondos):
Fra: 23-09 (10/06/23):
Incluye fra honorarios de Sinver Fra realizada a Nixal:
673,29€: Realizar transf. Caixa
Transf. Caixa realizada el 21/06/23</t>
        </r>
      </text>
    </comment>
    <comment ref="F176" authorId="0" shapeId="0" xr:uid="{8ECD2339-823C-4330-9A10-FF1C3AF140A6}">
      <text>
        <r>
          <rPr>
            <b/>
            <sz val="9"/>
            <color indexed="81"/>
            <rFont val="Tahoma"/>
            <family val="2"/>
          </rPr>
          <t xml:space="preserve">Aumenta el gasto: 
</t>
        </r>
        <r>
          <rPr>
            <sz val="9"/>
            <color indexed="81"/>
            <rFont val="Tahoma"/>
            <family val="2"/>
          </rPr>
          <t>Sinver (Liquidación provisión de fondos):
Fra: 23-08 (10/06/23):
Incluye fra honorarios de Sinver Fra realizada a Nixal:
618,34€: Realizar transf. Caixa
Transf. Caixa realizada el 21/06/23</t>
        </r>
      </text>
    </comment>
    <comment ref="F179" authorId="1" shapeId="0" xr:uid="{A7074A66-CC67-49DB-A595-D80001ECE1FC}">
      <text>
        <r>
          <rPr>
            <b/>
            <sz val="9"/>
            <color indexed="81"/>
            <rFont val="Tahoma"/>
            <family val="2"/>
          </rPr>
          <t xml:space="preserve">Disminuye el saldo final de tesorería sobre todo por: </t>
        </r>
        <r>
          <rPr>
            <sz val="9"/>
            <color indexed="81"/>
            <rFont val="Tahoma"/>
            <family val="2"/>
          </rPr>
          <t xml:space="preserve">
-Financiación MDZ
-Por la disminución del saldo de actividad sobre todo por perdidas de Paragon
Aunque esto se compensa con el crédito de 75000€ de BBVA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recepción</author>
  </authors>
  <commentList>
    <comment ref="Q44" authorId="0" shapeId="0" xr:uid="{9AB5C48B-0C01-4F49-A635-77BD7C7FC917}">
      <text>
        <r>
          <rPr>
            <b/>
            <sz val="9"/>
            <color indexed="81"/>
            <rFont val="Tahoma"/>
            <family val="2"/>
          </rPr>
          <t>Vencen pólizas Caixa y Bankinter
Renovada Caixa</t>
        </r>
      </text>
    </comment>
    <comment ref="V44" authorId="0" shapeId="0" xr:uid="{1AE7D6DC-B7D1-4696-966E-0AC54187F668}">
      <text>
        <r>
          <rPr>
            <b/>
            <sz val="9"/>
            <color indexed="81"/>
            <rFont val="Tahoma"/>
            <family val="2"/>
          </rPr>
          <t>Vence póliza BBVA</t>
        </r>
      </text>
    </comment>
    <comment ref="AD44" authorId="0" shapeId="0" xr:uid="{2CA8EE9E-7E1A-4283-9C50-CCBAE8F5CE50}">
      <text>
        <r>
          <rPr>
            <b/>
            <sz val="9"/>
            <color indexed="81"/>
            <rFont val="Tahoma"/>
            <family val="2"/>
          </rPr>
          <t>Vence póliza Caixa 
Renovada Caixa</t>
        </r>
      </text>
    </comment>
    <comment ref="AE44" authorId="0" shapeId="0" xr:uid="{29150337-21DF-47C3-9096-6964CCB8D300}">
      <text>
        <r>
          <rPr>
            <b/>
            <sz val="9"/>
            <color indexed="81"/>
            <rFont val="Tahoma"/>
            <family val="2"/>
          </rPr>
          <t>Vence póliza Bankinter
Renovada Bankinter</t>
        </r>
      </text>
    </comment>
    <comment ref="AI44" authorId="0" shapeId="0" xr:uid="{B6EB68A4-BCA3-4501-8DBC-DF787CCB91AB}">
      <text>
        <r>
          <rPr>
            <b/>
            <sz val="9"/>
            <color indexed="81"/>
            <rFont val="Tahoma"/>
            <family val="2"/>
          </rPr>
          <t>Vence póliza BBVA</t>
        </r>
      </text>
    </comment>
    <comment ref="AL46" authorId="0" shapeId="0" xr:uid="{081E225F-9E76-4581-BF3B-7591D0B4073E}">
      <text>
        <r>
          <rPr>
            <b/>
            <sz val="9"/>
            <color indexed="81"/>
            <rFont val="Tahoma"/>
            <family val="2"/>
          </rPr>
          <t>Saldo a 09/06/26: 
-63.003,14 Eur</t>
        </r>
      </text>
    </comment>
    <comment ref="AC47" authorId="0" shapeId="0" xr:uid="{1A303307-8D58-4880-BAB6-B04577FB4F63}">
      <text>
        <r>
          <rPr>
            <b/>
            <sz val="10"/>
            <color indexed="81"/>
            <rFont val="Century Gothic"/>
            <family val="2"/>
          </rPr>
          <t>22.000 E: Traspaso de Cta Bankinter a Cta Caixa
Cargado Bankinter: 30/09/25
Abonado Caixa: 01/10/25
27.000 E: Traspaso de Cta Crédito BBVA a Cta Caixa
Cargado BBVA: 30/09/25</t>
        </r>
        <r>
          <rPr>
            <sz val="10"/>
            <color indexed="81"/>
            <rFont val="Century Gothic"/>
            <family val="2"/>
          </rPr>
          <t xml:space="preserve">
</t>
        </r>
        <r>
          <rPr>
            <b/>
            <sz val="10"/>
            <color indexed="81"/>
            <rFont val="Century Gothic"/>
            <family val="2"/>
          </rPr>
          <t>Abonado Caixa: 01/10/25</t>
        </r>
      </text>
    </comment>
    <comment ref="AE47" authorId="0" shapeId="0" xr:uid="{4E948B6E-6FA6-4263-A61D-1437C35ADCD6}">
      <text>
        <r>
          <rPr>
            <b/>
            <sz val="9"/>
            <color indexed="81"/>
            <rFont val="Tahoma"/>
            <family val="2"/>
          </rPr>
          <t>Saldo a 13/11/25: 
732.384,49 Eur</t>
        </r>
      </text>
    </comment>
    <comment ref="AL47" authorId="0" shapeId="0" xr:uid="{B9BEADC5-2FE3-41E3-B08D-794232E7770E}">
      <text>
        <r>
          <rPr>
            <b/>
            <sz val="9"/>
            <color indexed="81"/>
            <rFont val="Tahoma"/>
            <family val="2"/>
          </rPr>
          <t>Saldo a 09/06/26: 
-63.218,47 E</t>
        </r>
      </text>
    </comment>
    <comment ref="AG49" authorId="0" shapeId="0" xr:uid="{1122354E-6397-4116-BCFE-7D9190D8FBD0}">
      <text>
        <r>
          <rPr>
            <sz val="10"/>
            <color indexed="81"/>
            <rFont val="Tahoma"/>
            <family val="2"/>
          </rPr>
          <t>1.460 E: Traspaso de Caixa a Santander
Cargado Caixa: 27/01/26
Nota: Esta transferencia es rechazada pq la cta Santander está bloqueada por el FIOC y la devuelven a Caixa el 03/02/26</t>
        </r>
      </text>
    </comment>
    <comment ref="AH49" authorId="0" shapeId="0" xr:uid="{39741836-5768-4CA2-9A61-A2D2B6790660}">
      <text>
        <r>
          <rPr>
            <b/>
            <sz val="10"/>
            <color indexed="81"/>
            <rFont val="Century Gothic"/>
            <family val="2"/>
          </rPr>
          <t>10.185 E: Traspaso de Cta Caixa 3116 a Cta Santander
Cargado Caixar: 27/02/26
Abonado Santander: 02/03/26
1.460 E: Traspaso de Cta Caixa 3116 a Cta Santander
Cargado Caixar: 27/02/26
Abonado Santander: 02/03/26</t>
        </r>
      </text>
    </comment>
    <comment ref="AG50" authorId="0" shapeId="0" xr:uid="{F4A6DE0D-63C4-40B7-B4D1-9A06BB495069}">
      <text>
        <r>
          <rPr>
            <b/>
            <sz val="10"/>
            <color indexed="81"/>
            <rFont val="Century Gothic"/>
            <family val="2"/>
          </rPr>
          <t>22.000 E: Traspaso de Cta Bankinter a Cta Caixa
Cargado Bankinter: 30/09/25
Abonado Caixa: 01/10/25
27.000 E: Traspaso de Cta Crédito BBVA a Cta Caixa
Cargado BBVA: 30/09/25</t>
        </r>
        <r>
          <rPr>
            <sz val="10"/>
            <color indexed="81"/>
            <rFont val="Century Gothic"/>
            <family val="2"/>
          </rPr>
          <t xml:space="preserve">
</t>
        </r>
        <r>
          <rPr>
            <b/>
            <sz val="10"/>
            <color indexed="81"/>
            <rFont val="Century Gothic"/>
            <family val="2"/>
          </rPr>
          <t>Abonado Caixa: 01/10/25</t>
        </r>
      </text>
    </comment>
    <comment ref="Q52" authorId="0" shapeId="0" xr:uid="{809ED7DD-8627-44D9-8E5E-0360AFA78873}">
      <text>
        <r>
          <rPr>
            <b/>
            <sz val="9"/>
            <color indexed="81"/>
            <rFont val="Tahoma"/>
            <family val="2"/>
          </rPr>
          <t>21.543,09 USD</t>
        </r>
        <r>
          <rPr>
            <sz val="9"/>
            <color indexed="81"/>
            <rFont val="Tahoma"/>
            <family val="2"/>
          </rPr>
          <t xml:space="preserve">
</t>
        </r>
      </text>
    </comment>
    <comment ref="R52" authorId="0" shapeId="0" xr:uid="{56B1F554-A9CA-4D60-8199-2BEF78EDBD3C}">
      <text>
        <r>
          <rPr>
            <b/>
            <sz val="9"/>
            <color indexed="81"/>
            <rFont val="Tahoma"/>
            <family val="2"/>
          </rPr>
          <t>14.543,09 USD</t>
        </r>
        <r>
          <rPr>
            <sz val="9"/>
            <color indexed="81"/>
            <rFont val="Tahoma"/>
            <family val="2"/>
          </rPr>
          <t xml:space="preserve">
</t>
        </r>
      </text>
    </comment>
    <comment ref="S52" authorId="0" shapeId="0" xr:uid="{88A267FE-8688-4FB8-BA57-1951FE8AF6B3}">
      <text>
        <r>
          <rPr>
            <b/>
            <sz val="9"/>
            <color indexed="81"/>
            <rFont val="Tahoma"/>
            <family val="2"/>
          </rPr>
          <t>27.735,99 USD</t>
        </r>
        <r>
          <rPr>
            <sz val="9"/>
            <color indexed="81"/>
            <rFont val="Tahoma"/>
            <family val="2"/>
          </rPr>
          <t xml:space="preserve">
</t>
        </r>
      </text>
    </comment>
    <comment ref="T52" authorId="0" shapeId="0" xr:uid="{1BBBC8DC-19C5-40DF-A99B-52D5C0336D0D}">
      <text>
        <r>
          <rPr>
            <b/>
            <sz val="9"/>
            <color indexed="81"/>
            <rFont val="Tahoma"/>
            <family val="2"/>
          </rPr>
          <t>42.735,99 USD</t>
        </r>
        <r>
          <rPr>
            <sz val="9"/>
            <color indexed="81"/>
            <rFont val="Tahoma"/>
            <family val="2"/>
          </rPr>
          <t xml:space="preserve">
</t>
        </r>
      </text>
    </comment>
    <comment ref="U52" authorId="0" shapeId="0" xr:uid="{C2B6859F-E239-42B4-BC53-99192B7E6098}">
      <text>
        <r>
          <rPr>
            <b/>
            <sz val="9"/>
            <color indexed="81"/>
            <rFont val="Tahoma"/>
            <family val="2"/>
          </rPr>
          <t>15.085,21 USD</t>
        </r>
        <r>
          <rPr>
            <sz val="9"/>
            <color indexed="81"/>
            <rFont val="Tahoma"/>
            <family val="2"/>
          </rPr>
          <t xml:space="preserve">
</t>
        </r>
      </text>
    </comment>
    <comment ref="V52" authorId="0" shapeId="0" xr:uid="{14710D29-FF82-45EA-B783-86557B9A3898}">
      <text>
        <r>
          <rPr>
            <b/>
            <sz val="9"/>
            <color indexed="81"/>
            <rFont val="Tahoma"/>
            <family val="2"/>
          </rPr>
          <t>6.235,77 USD</t>
        </r>
        <r>
          <rPr>
            <sz val="9"/>
            <color indexed="81"/>
            <rFont val="Tahoma"/>
            <family val="2"/>
          </rPr>
          <t xml:space="preserve">
</t>
        </r>
      </text>
    </comment>
    <comment ref="W52" authorId="0" shapeId="0" xr:uid="{179E6246-2B11-4385-96C5-0890B8615AFD}">
      <text>
        <r>
          <rPr>
            <b/>
            <sz val="9"/>
            <color indexed="81"/>
            <rFont val="Tahoma"/>
            <family val="2"/>
          </rPr>
          <t>36.715,77 USD</t>
        </r>
        <r>
          <rPr>
            <sz val="9"/>
            <color indexed="81"/>
            <rFont val="Tahoma"/>
            <family val="2"/>
          </rPr>
          <t xml:space="preserve">
</t>
        </r>
      </text>
    </comment>
    <comment ref="X52" authorId="0" shapeId="0" xr:uid="{0285BE94-D251-4296-BBB5-42542B8E031D}">
      <text>
        <r>
          <rPr>
            <b/>
            <sz val="9"/>
            <color indexed="81"/>
            <rFont val="Tahoma"/>
            <family val="2"/>
          </rPr>
          <t>18.439,77 USD</t>
        </r>
        <r>
          <rPr>
            <sz val="9"/>
            <color indexed="81"/>
            <rFont val="Tahoma"/>
            <family val="2"/>
          </rPr>
          <t xml:space="preserve">
</t>
        </r>
      </text>
    </comment>
    <comment ref="Y52" authorId="0" shapeId="0" xr:uid="{99B7623C-BC37-4A2D-ABE6-8ACB67CE0714}">
      <text>
        <r>
          <rPr>
            <b/>
            <sz val="9"/>
            <color indexed="81"/>
            <rFont val="Tahoma"/>
            <family val="2"/>
          </rPr>
          <t>239,77 USD</t>
        </r>
        <r>
          <rPr>
            <sz val="9"/>
            <color indexed="81"/>
            <rFont val="Tahoma"/>
            <family val="2"/>
          </rPr>
          <t xml:space="preserve">
</t>
        </r>
      </text>
    </comment>
    <comment ref="Z52" authorId="0" shapeId="0" xr:uid="{A66B0CAE-8B24-42BD-AE22-89E878195BB6}">
      <text>
        <r>
          <rPr>
            <b/>
            <sz val="9"/>
            <color indexed="81"/>
            <rFont val="Tahoma"/>
            <family val="2"/>
          </rPr>
          <t>5.379,77 USD</t>
        </r>
        <r>
          <rPr>
            <sz val="9"/>
            <color indexed="81"/>
            <rFont val="Tahoma"/>
            <family val="2"/>
          </rPr>
          <t xml:space="preserve">
</t>
        </r>
      </text>
    </comment>
    <comment ref="AA52" authorId="0" shapeId="0" xr:uid="{D0D5A89D-FE3E-49AF-813D-CAF8D88F5575}">
      <text>
        <r>
          <rPr>
            <b/>
            <sz val="9"/>
            <color indexed="81"/>
            <rFont val="Tahoma"/>
            <family val="2"/>
          </rPr>
          <t>10.519,77 USD</t>
        </r>
        <r>
          <rPr>
            <sz val="9"/>
            <color indexed="81"/>
            <rFont val="Tahoma"/>
            <family val="2"/>
          </rPr>
          <t xml:space="preserve">
</t>
        </r>
      </text>
    </comment>
    <comment ref="AC52" authorId="0" shapeId="0" xr:uid="{DC559C09-6784-42B8-BC75-5E90E7B7722B}">
      <text>
        <r>
          <rPr>
            <b/>
            <sz val="9"/>
            <color indexed="81"/>
            <rFont val="Tahoma"/>
            <family val="2"/>
          </rPr>
          <t>20.799,77 USD</t>
        </r>
        <r>
          <rPr>
            <sz val="9"/>
            <color indexed="81"/>
            <rFont val="Tahoma"/>
            <family val="2"/>
          </rPr>
          <t xml:space="preserve">
</t>
        </r>
      </text>
    </comment>
    <comment ref="AD52" authorId="0" shapeId="0" xr:uid="{FDD64253-72C4-47BE-9653-4E08A002780C}">
      <text>
        <r>
          <rPr>
            <b/>
            <sz val="9"/>
            <color indexed="81"/>
            <rFont val="Tahoma"/>
            <family val="2"/>
          </rPr>
          <t>14.518,44 USD</t>
        </r>
        <r>
          <rPr>
            <sz val="9"/>
            <color indexed="81"/>
            <rFont val="Tahoma"/>
            <family val="2"/>
          </rPr>
          <t xml:space="preserve">
</t>
        </r>
      </text>
    </comment>
    <comment ref="AE52" authorId="0" shapeId="0" xr:uid="{97160706-31A9-4E06-A94E-48A4815BA1FD}">
      <text>
        <r>
          <rPr>
            <b/>
            <sz val="9"/>
            <color indexed="81"/>
            <rFont val="Tahoma"/>
            <family val="2"/>
          </rPr>
          <t>14.518,44 USD</t>
        </r>
        <r>
          <rPr>
            <sz val="9"/>
            <color indexed="81"/>
            <rFont val="Tahoma"/>
            <family val="2"/>
          </rPr>
          <t xml:space="preserve">
</t>
        </r>
      </text>
    </comment>
    <comment ref="AF52" authorId="0" shapeId="0" xr:uid="{1DCBA443-DC8B-4E21-B885-86F27C9558E9}">
      <text>
        <r>
          <rPr>
            <b/>
            <sz val="9"/>
            <color indexed="81"/>
            <rFont val="Tahoma"/>
            <family val="2"/>
          </rPr>
          <t>29.518,44 USD</t>
        </r>
        <r>
          <rPr>
            <sz val="9"/>
            <color indexed="81"/>
            <rFont val="Tahoma"/>
            <family val="2"/>
          </rPr>
          <t xml:space="preserve">
</t>
        </r>
      </text>
    </comment>
    <comment ref="AG52" authorId="0" shapeId="0" xr:uid="{A06819B5-EEAD-49A4-A09A-9471EC2F945D}">
      <text>
        <r>
          <rPr>
            <b/>
            <sz val="9"/>
            <color indexed="81"/>
            <rFont val="Tahoma"/>
            <family val="2"/>
          </rPr>
          <t>25.257,44 USD</t>
        </r>
        <r>
          <rPr>
            <sz val="9"/>
            <color indexed="81"/>
            <rFont val="Tahoma"/>
            <family val="2"/>
          </rPr>
          <t xml:space="preserve">
</t>
        </r>
      </text>
    </comment>
    <comment ref="AH52" authorId="0" shapeId="0" xr:uid="{E7BB1FF9-2676-47A0-8FD7-D3F12D01EE9B}">
      <text>
        <r>
          <rPr>
            <b/>
            <sz val="9"/>
            <color indexed="81"/>
            <rFont val="Tahoma"/>
            <family val="2"/>
          </rPr>
          <t>781,55 USD</t>
        </r>
        <r>
          <rPr>
            <sz val="9"/>
            <color indexed="81"/>
            <rFont val="Tahoma"/>
            <family val="2"/>
          </rPr>
          <t xml:space="preserve">
</t>
        </r>
      </text>
    </comment>
    <comment ref="AI52" authorId="0" shapeId="0" xr:uid="{958FD0ED-CBE2-4F1B-8FE4-7890440E8C7B}">
      <text>
        <r>
          <rPr>
            <b/>
            <sz val="9"/>
            <color indexed="81"/>
            <rFont val="Tahoma"/>
            <family val="2"/>
          </rPr>
          <t>14.867 USD</t>
        </r>
        <r>
          <rPr>
            <sz val="9"/>
            <color indexed="81"/>
            <rFont val="Tahoma"/>
            <family val="2"/>
          </rPr>
          <t xml:space="preserve">
</t>
        </r>
      </text>
    </comment>
    <comment ref="AJ52" authorId="0" shapeId="0" xr:uid="{1DC4FDC8-43FB-4737-A3AD-B8AD6B249B87}">
      <text>
        <r>
          <rPr>
            <b/>
            <sz val="9"/>
            <color indexed="81"/>
            <rFont val="Tahoma"/>
            <family val="2"/>
          </rPr>
          <t>831,45 USD</t>
        </r>
        <r>
          <rPr>
            <sz val="9"/>
            <color indexed="81"/>
            <rFont val="Tahoma"/>
            <family val="2"/>
          </rPr>
          <t xml:space="preserve">
</t>
        </r>
      </text>
    </comment>
    <comment ref="M55" authorId="0" shapeId="0" xr:uid="{1E9797DF-C983-4A8D-8670-EDF4FC1AE233}">
      <text>
        <r>
          <rPr>
            <b/>
            <sz val="9"/>
            <color indexed="81"/>
            <rFont val="Tahoma"/>
            <family val="2"/>
          </rPr>
          <t>48.839,59 USD</t>
        </r>
        <r>
          <rPr>
            <sz val="9"/>
            <color indexed="81"/>
            <rFont val="Tahoma"/>
            <family val="2"/>
          </rPr>
          <t xml:space="preserve">
</t>
        </r>
      </text>
    </comment>
    <comment ref="N55" authorId="0" shapeId="0" xr:uid="{F96F56B2-6DBD-412A-A5C4-566E93512548}">
      <text>
        <r>
          <rPr>
            <b/>
            <sz val="9"/>
            <color indexed="81"/>
            <rFont val="Tahoma"/>
            <family val="2"/>
          </rPr>
          <t>180.908,79 USD</t>
        </r>
        <r>
          <rPr>
            <sz val="9"/>
            <color indexed="81"/>
            <rFont val="Tahoma"/>
            <family val="2"/>
          </rPr>
          <t xml:space="preserve">
</t>
        </r>
      </text>
    </comment>
    <comment ref="Q55" authorId="0" shapeId="0" xr:uid="{695DC100-8592-42D3-851F-2E749AA5E665}">
      <text>
        <r>
          <rPr>
            <b/>
            <sz val="9"/>
            <color indexed="81"/>
            <rFont val="Tahoma"/>
            <family val="2"/>
          </rPr>
          <t>250.672,79 USD</t>
        </r>
        <r>
          <rPr>
            <sz val="9"/>
            <color indexed="81"/>
            <rFont val="Tahoma"/>
            <family val="2"/>
          </rPr>
          <t xml:space="preserve">
</t>
        </r>
      </text>
    </comment>
    <comment ref="R55" authorId="0" shapeId="0" xr:uid="{D96F0FC9-93D7-44F1-BAC3-7108E6C3393A}">
      <text>
        <r>
          <rPr>
            <b/>
            <sz val="9"/>
            <color indexed="81"/>
            <rFont val="Tahoma"/>
            <family val="2"/>
          </rPr>
          <t>19.150,55 USD</t>
        </r>
        <r>
          <rPr>
            <sz val="9"/>
            <color indexed="81"/>
            <rFont val="Tahoma"/>
            <family val="2"/>
          </rPr>
          <t xml:space="preserve">
</t>
        </r>
      </text>
    </comment>
    <comment ref="S55" authorId="0" shapeId="0" xr:uid="{267A3EE1-228F-4538-8C54-9487BD755DCD}">
      <text>
        <r>
          <rPr>
            <b/>
            <sz val="9"/>
            <color indexed="81"/>
            <rFont val="Tahoma"/>
            <family val="2"/>
          </rPr>
          <t>19.150,55 USD</t>
        </r>
        <r>
          <rPr>
            <sz val="9"/>
            <color indexed="81"/>
            <rFont val="Tahoma"/>
            <family val="2"/>
          </rPr>
          <t xml:space="preserve">
</t>
        </r>
      </text>
    </comment>
    <comment ref="T55" authorId="0" shapeId="0" xr:uid="{71B1E95C-D4BB-431E-8160-48802807947E}">
      <text>
        <r>
          <rPr>
            <b/>
            <sz val="9"/>
            <color indexed="81"/>
            <rFont val="Tahoma"/>
            <family val="2"/>
          </rPr>
          <t>-32.942,84 USD</t>
        </r>
        <r>
          <rPr>
            <sz val="9"/>
            <color indexed="81"/>
            <rFont val="Tahoma"/>
            <family val="2"/>
          </rPr>
          <t xml:space="preserve">
</t>
        </r>
      </text>
    </comment>
    <comment ref="U55" authorId="0" shapeId="0" xr:uid="{05B4F4E4-02E1-44D5-A719-A14213189DAA}">
      <text>
        <r>
          <rPr>
            <b/>
            <sz val="9"/>
            <color indexed="81"/>
            <rFont val="Tahoma"/>
            <family val="2"/>
          </rPr>
          <t>126.481,76 USD</t>
        </r>
        <r>
          <rPr>
            <sz val="9"/>
            <color indexed="81"/>
            <rFont val="Tahoma"/>
            <family val="2"/>
          </rPr>
          <t xml:space="preserve">
</t>
        </r>
      </text>
    </comment>
    <comment ref="V55" authorId="0" shapeId="0" xr:uid="{E7AE2684-3AF4-4CF2-8653-03FBB924C5A5}">
      <text>
        <r>
          <rPr>
            <b/>
            <sz val="9"/>
            <color indexed="81"/>
            <rFont val="Tahoma"/>
            <family val="2"/>
          </rPr>
          <t>126.481,76 USD</t>
        </r>
        <r>
          <rPr>
            <sz val="9"/>
            <color indexed="81"/>
            <rFont val="Tahoma"/>
            <family val="2"/>
          </rPr>
          <t xml:space="preserve">
</t>
        </r>
      </text>
    </comment>
    <comment ref="W55" authorId="0" shapeId="0" xr:uid="{B4ED0192-2BE2-481E-8474-5DB4060256C5}">
      <text>
        <r>
          <rPr>
            <b/>
            <sz val="9"/>
            <color indexed="81"/>
            <rFont val="Tahoma"/>
            <family val="2"/>
          </rPr>
          <t>126.378,71 USD</t>
        </r>
        <r>
          <rPr>
            <sz val="9"/>
            <color indexed="81"/>
            <rFont val="Tahoma"/>
            <family val="2"/>
          </rPr>
          <t xml:space="preserve">
</t>
        </r>
      </text>
    </comment>
    <comment ref="X55" authorId="0" shapeId="0" xr:uid="{05C79ED5-6BAF-4A0E-B6FA-54AD47055D00}">
      <text>
        <r>
          <rPr>
            <b/>
            <sz val="9"/>
            <color indexed="81"/>
            <rFont val="Tahoma"/>
            <family val="2"/>
          </rPr>
          <t>163.378,71 USD</t>
        </r>
        <r>
          <rPr>
            <sz val="9"/>
            <color indexed="81"/>
            <rFont val="Tahoma"/>
            <family val="2"/>
          </rPr>
          <t xml:space="preserve">
</t>
        </r>
      </text>
    </comment>
    <comment ref="Y55" authorId="0" shapeId="0" xr:uid="{54B35043-F57D-4E23-B68D-0BF1341FA6B2}">
      <text>
        <r>
          <rPr>
            <b/>
            <sz val="9"/>
            <color indexed="81"/>
            <rFont val="Tahoma"/>
            <family val="2"/>
          </rPr>
          <t>163.241,31 USD</t>
        </r>
        <r>
          <rPr>
            <sz val="9"/>
            <color indexed="81"/>
            <rFont val="Tahoma"/>
            <family val="2"/>
          </rPr>
          <t xml:space="preserve">
</t>
        </r>
      </text>
    </comment>
    <comment ref="Z55" authorId="0" shapeId="0" xr:uid="{A25619F1-7A25-4E40-8147-41483BE0F5C7}">
      <text>
        <r>
          <rPr>
            <b/>
            <sz val="9"/>
            <color indexed="81"/>
            <rFont val="Tahoma"/>
            <family val="2"/>
          </rPr>
          <t>163.211,31 USD</t>
        </r>
        <r>
          <rPr>
            <sz val="9"/>
            <color indexed="81"/>
            <rFont val="Tahoma"/>
            <family val="2"/>
          </rPr>
          <t xml:space="preserve">
</t>
        </r>
      </text>
    </comment>
    <comment ref="AA55" authorId="0" shapeId="0" xr:uid="{6BEA24A3-CBC5-4C14-9D4E-6B3D2A088FC0}">
      <text>
        <r>
          <rPr>
            <b/>
            <sz val="9"/>
            <color indexed="81"/>
            <rFont val="Tahoma"/>
            <family val="2"/>
          </rPr>
          <t>163.108,26 USD</t>
        </r>
        <r>
          <rPr>
            <sz val="9"/>
            <color indexed="81"/>
            <rFont val="Tahoma"/>
            <family val="2"/>
          </rPr>
          <t xml:space="preserve">
</t>
        </r>
      </text>
    </comment>
    <comment ref="AC55" authorId="0" shapeId="0" xr:uid="{B4780CB6-7FF6-467C-B012-F8B0DB8CA20C}">
      <text>
        <r>
          <rPr>
            <b/>
            <sz val="9"/>
            <color indexed="81"/>
            <rFont val="Tahoma"/>
            <family val="2"/>
          </rPr>
          <t>163.073,91 USD</t>
        </r>
        <r>
          <rPr>
            <sz val="9"/>
            <color indexed="81"/>
            <rFont val="Tahoma"/>
            <family val="2"/>
          </rPr>
          <t xml:space="preserve">
</t>
        </r>
      </text>
    </comment>
    <comment ref="AD55" authorId="0" shapeId="0" xr:uid="{9E7F1FDD-AC7A-4BED-BE62-24C97A43C961}">
      <text>
        <r>
          <rPr>
            <b/>
            <sz val="9"/>
            <color indexed="81"/>
            <rFont val="Tahoma"/>
            <family val="2"/>
          </rPr>
          <t>163.039,56 USD</t>
        </r>
        <r>
          <rPr>
            <sz val="9"/>
            <color indexed="81"/>
            <rFont val="Tahoma"/>
            <family val="2"/>
          </rPr>
          <t xml:space="preserve">
</t>
        </r>
      </text>
    </comment>
    <comment ref="AE55" authorId="0" shapeId="0" xr:uid="{2DD47BD2-2FCB-4483-A973-A1D442111B09}">
      <text>
        <r>
          <rPr>
            <b/>
            <sz val="9"/>
            <color indexed="81"/>
            <rFont val="Tahoma"/>
            <family val="2"/>
          </rPr>
          <t>162.792,24 USD</t>
        </r>
        <r>
          <rPr>
            <sz val="9"/>
            <color indexed="81"/>
            <rFont val="Tahoma"/>
            <family val="2"/>
          </rPr>
          <t xml:space="preserve">
</t>
        </r>
      </text>
    </comment>
    <comment ref="AF55" authorId="0" shapeId="0" xr:uid="{D37FE0CC-2B3F-4491-98DA-6BEAE39BE415}">
      <text>
        <r>
          <rPr>
            <b/>
            <sz val="9"/>
            <color indexed="81"/>
            <rFont val="Tahoma"/>
            <family val="2"/>
          </rPr>
          <t>162.792,24 USD</t>
        </r>
        <r>
          <rPr>
            <sz val="9"/>
            <color indexed="81"/>
            <rFont val="Tahoma"/>
            <family val="2"/>
          </rPr>
          <t xml:space="preserve">
</t>
        </r>
      </text>
    </comment>
    <comment ref="AG55" authorId="0" shapeId="0" xr:uid="{41540436-4FC7-4153-88F6-ECE10C909AC7}">
      <text>
        <r>
          <rPr>
            <b/>
            <sz val="9"/>
            <color indexed="81"/>
            <rFont val="Tahoma"/>
            <family val="2"/>
          </rPr>
          <t>162.792,24 USD</t>
        </r>
        <r>
          <rPr>
            <sz val="9"/>
            <color indexed="81"/>
            <rFont val="Tahoma"/>
            <family val="2"/>
          </rPr>
          <t xml:space="preserve">
</t>
        </r>
      </text>
    </comment>
    <comment ref="AH55" authorId="0" shapeId="0" xr:uid="{42142D24-5D23-4A4B-8685-F9F424F5650F}">
      <text>
        <r>
          <rPr>
            <b/>
            <sz val="9"/>
            <color indexed="81"/>
            <rFont val="Tahoma"/>
            <family val="2"/>
          </rPr>
          <t>218.771,63 USD</t>
        </r>
        <r>
          <rPr>
            <sz val="9"/>
            <color indexed="81"/>
            <rFont val="Tahoma"/>
            <family val="2"/>
          </rPr>
          <t xml:space="preserve">
</t>
        </r>
      </text>
    </comment>
    <comment ref="AI55" authorId="0" shapeId="0" xr:uid="{6FCAF3EA-056C-4E6C-AF45-9284233CC9D7}">
      <text>
        <r>
          <rPr>
            <b/>
            <sz val="9"/>
            <color indexed="81"/>
            <rFont val="Tahoma"/>
            <family val="2"/>
          </rPr>
          <t>218.751,02 USD</t>
        </r>
        <r>
          <rPr>
            <sz val="9"/>
            <color indexed="81"/>
            <rFont val="Tahoma"/>
            <family val="2"/>
          </rPr>
          <t xml:space="preserve">
</t>
        </r>
      </text>
    </comment>
    <comment ref="AJ55" authorId="0" shapeId="0" xr:uid="{B74DEC8D-CFB8-466F-90F4-0A3E3868592E}">
      <text>
        <r>
          <rPr>
            <b/>
            <sz val="9"/>
            <color indexed="81"/>
            <rFont val="Tahoma"/>
            <family val="2"/>
          </rPr>
          <t>266.670,41 USD</t>
        </r>
        <r>
          <rPr>
            <sz val="9"/>
            <color indexed="81"/>
            <rFont val="Tahoma"/>
            <family val="2"/>
          </rPr>
          <t xml:space="preserve">
</t>
        </r>
      </text>
    </comment>
    <comment ref="AK55" authorId="0" shapeId="0" xr:uid="{7FA915FD-A12D-48C2-A74F-F27CD2F9E986}">
      <text>
        <r>
          <rPr>
            <b/>
            <sz val="9"/>
            <color indexed="81"/>
            <rFont val="Tahoma"/>
            <family val="2"/>
          </rPr>
          <t>280.755,83 USD</t>
        </r>
        <r>
          <rPr>
            <sz val="9"/>
            <color indexed="81"/>
            <rFont val="Tahoma"/>
            <family val="2"/>
          </rPr>
          <t xml:space="preserve">
</t>
        </r>
      </text>
    </comment>
    <comment ref="AL55" authorId="0" shapeId="0" xr:uid="{0240D286-CEEE-4A78-8597-C732A105EC96}">
      <text>
        <r>
          <rPr>
            <b/>
            <sz val="9"/>
            <color indexed="81"/>
            <rFont val="Tahoma"/>
            <family val="2"/>
          </rPr>
          <t>280.755,83 USD</t>
        </r>
        <r>
          <rPr>
            <sz val="9"/>
            <color indexed="81"/>
            <rFont val="Tahoma"/>
            <family val="2"/>
          </rPr>
          <t xml:space="preserve">
</t>
        </r>
      </text>
    </comment>
    <comment ref="AL58" authorId="0" shapeId="0" xr:uid="{193E595A-77D5-414D-BAA8-4DBA9E709671}">
      <text>
        <r>
          <rPr>
            <b/>
            <sz val="9"/>
            <color indexed="81"/>
            <rFont val="Tahoma"/>
            <family val="2"/>
          </rPr>
          <t>Saldo a 09/06/26: 
-43.084,64 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recepción</author>
    <author>alfonso</author>
    <author>Maria</author>
    <author>programas4</author>
    <author>Alberto Carmona</author>
    <author>Backoffice</author>
    <author>Alberto</author>
  </authors>
  <commentList>
    <comment ref="AP6" authorId="0" shapeId="0" xr:uid="{8BCC3028-7437-439D-AFD1-636515B3D5CB}">
      <text>
        <r>
          <rPr>
            <b/>
            <sz val="9"/>
            <color indexed="81"/>
            <rFont val="Tahoma"/>
            <family val="2"/>
          </rPr>
          <t xml:space="preserve">rosa:
</t>
        </r>
        <r>
          <rPr>
            <sz val="9"/>
            <color indexed="81"/>
            <rFont val="Tahoma"/>
            <family val="2"/>
          </rPr>
          <t>15000 EUR de anualidad Mktint
Fra del 11/01/21 
Cobro previsto: enero
Abonado Caixa: 22/01/21</t>
        </r>
      </text>
    </comment>
    <comment ref="BC6" authorId="0" shapeId="0" xr:uid="{924C7B26-81C0-4138-AB68-549E7608F58B}">
      <text>
        <r>
          <rPr>
            <b/>
            <sz val="9"/>
            <color indexed="81"/>
            <rFont val="Tahoma"/>
            <family val="2"/>
          </rPr>
          <t xml:space="preserve">rosa:
</t>
        </r>
        <r>
          <rPr>
            <sz val="9"/>
            <color indexed="81"/>
            <rFont val="Tahoma"/>
            <family val="2"/>
          </rPr>
          <t>15000 EUR de anualidad Mktint
Fra del 12/01/22
Cobro previsto: enero
Abonado Caixa: 19/01/22</t>
        </r>
      </text>
    </comment>
    <comment ref="BR6" authorId="0" shapeId="0" xr:uid="{A10AA233-FBC5-45E5-BD6B-3DEA5DFC6D00}">
      <text>
        <r>
          <rPr>
            <b/>
            <sz val="9"/>
            <color indexed="81"/>
            <rFont val="Tahoma"/>
            <family val="2"/>
          </rPr>
          <t xml:space="preserve">rosa:
</t>
        </r>
        <r>
          <rPr>
            <sz val="9"/>
            <color indexed="81"/>
            <rFont val="Tahoma"/>
            <family val="2"/>
          </rPr>
          <t>15000 EUR de anualidad Mktint
Fra del 11/01/23
Cobro previsto: enero
RE Alberto 22/02: Les damos hasta final feb.  Me avisáis lunes 6/3.
07/03 Reclamado por Alberto
Esperar al lunes 20/03 para reclamar si no llega el pago
El 21/03 realizan el pago
Abonado Caixa: 22/03/23</t>
        </r>
      </text>
    </comment>
    <comment ref="CC6" authorId="0" shapeId="0" xr:uid="{51CD3094-67A0-495B-9960-CF93B0B596BE}">
      <text>
        <r>
          <rPr>
            <b/>
            <sz val="9"/>
            <color indexed="81"/>
            <rFont val="Tahoma"/>
            <family val="2"/>
          </rPr>
          <t xml:space="preserve">
</t>
        </r>
        <r>
          <rPr>
            <sz val="9"/>
            <color indexed="81"/>
            <rFont val="Tahoma"/>
            <family val="2"/>
          </rPr>
          <t xml:space="preserve">15000 EUR de anualidad Mktint
Fra del 24/01/24
Cobro previsto: febrero
Abonado Caixa: 31/01/24
</t>
        </r>
      </text>
    </comment>
    <comment ref="CP6" authorId="0" shapeId="0" xr:uid="{035BFFDA-7E98-4315-BBC1-0B6DE5684A2B}">
      <text>
        <r>
          <rPr>
            <b/>
            <sz val="9"/>
            <color indexed="81"/>
            <rFont val="Tahoma"/>
            <family val="2"/>
          </rPr>
          <t xml:space="preserve">
</t>
        </r>
        <r>
          <rPr>
            <sz val="9"/>
            <color indexed="81"/>
            <rFont val="Tahoma"/>
            <family val="2"/>
          </rPr>
          <t xml:space="preserve">16000 EUR de anualidad Mktint
Fra del 17/01/25
Cobro previsto: febrero
Abonado Caixa: 31/01/25
</t>
        </r>
      </text>
    </comment>
    <comment ref="DE6" authorId="0" shapeId="0" xr:uid="{1641A914-C971-489C-9B3D-D3A104E1D3AB}">
      <text>
        <r>
          <rPr>
            <b/>
            <sz val="9"/>
            <color indexed="81"/>
            <rFont val="Tahoma"/>
            <family val="2"/>
          </rPr>
          <t xml:space="preserve">
</t>
        </r>
        <r>
          <rPr>
            <sz val="9"/>
            <color indexed="81"/>
            <rFont val="Tahoma"/>
            <family val="2"/>
          </rPr>
          <t xml:space="preserve">16000 EUR de anualidad Mktint
Fra del 19/02/26
Cobro previsto: marzo
Abonado Caixa: 20/03/26
</t>
        </r>
      </text>
    </comment>
    <comment ref="AD7" authorId="0" shapeId="0" xr:uid="{58A9BFD3-4118-4563-A34B-5E26D21FA715}">
      <text>
        <r>
          <rPr>
            <b/>
            <sz val="9"/>
            <color indexed="81"/>
            <rFont val="Tahoma"/>
            <family val="2"/>
          </rPr>
          <t>rosa:</t>
        </r>
        <r>
          <rPr>
            <sz val="9"/>
            <color indexed="81"/>
            <rFont val="Tahoma"/>
            <family val="2"/>
          </rPr>
          <t xml:space="preserve">
40000 eu entran en banco
Abonado: 27/02/20</t>
        </r>
      </text>
    </comment>
    <comment ref="AP7" authorId="0" shapeId="0" xr:uid="{8894E2F9-AA3B-432F-B8B1-ACDBA1243844}">
      <text>
        <r>
          <rPr>
            <b/>
            <sz val="9"/>
            <color indexed="81"/>
            <rFont val="Tahoma"/>
            <family val="2"/>
          </rPr>
          <t xml:space="preserve">rosa:
</t>
        </r>
        <r>
          <rPr>
            <sz val="9"/>
            <color indexed="81"/>
            <rFont val="Tahoma"/>
            <family val="2"/>
          </rPr>
          <t>40000 EUR de anualidad Mktint
Fra del 11/01/21 
Cobro previsto: enero
Abonado Caixa: 18/01/21</t>
        </r>
      </text>
    </comment>
    <comment ref="BE7" authorId="0" shapeId="0" xr:uid="{662B6C57-0D55-41B5-9D8E-0F4F97E01DC8}">
      <text>
        <r>
          <rPr>
            <b/>
            <sz val="9"/>
            <color indexed="81"/>
            <rFont val="Tahoma"/>
            <family val="2"/>
          </rPr>
          <t xml:space="preserve">rosa:
</t>
        </r>
        <r>
          <rPr>
            <sz val="9"/>
            <color indexed="81"/>
            <rFont val="Tahoma"/>
            <family val="2"/>
          </rPr>
          <t>40000€ de anualidad Mktint
Fra del 24/02/22 
Cobro previsto: marzo
Abonado Caixa: 07/03/22
-------------------------------------------
10000€ de "Additional services to the 2021 contract requested by the client and according to clause 3.1.1 of the contract"
Fra del 24/02/22 
Cobro previsto: marzo
Abonado Caixa: 07/03/22</t>
        </r>
      </text>
    </comment>
    <comment ref="BP7" authorId="0" shapeId="0" xr:uid="{0FD14C70-E73D-409B-BBE3-A637094A91BF}">
      <text>
        <r>
          <rPr>
            <b/>
            <sz val="9"/>
            <color indexed="81"/>
            <rFont val="Tahoma"/>
            <family val="2"/>
          </rPr>
          <t xml:space="preserve">Info Alberto 09/01/23: Teniamos contrato por 2 años:
</t>
        </r>
        <r>
          <rPr>
            <sz val="9"/>
            <color indexed="81"/>
            <rFont val="Tahoma"/>
            <family val="2"/>
          </rPr>
          <t xml:space="preserve">40000€ de anualidad Mktint
Fra del 10/01/23 
Cobro previsto: febrero
Abonado Caixa: 25/01/23
-------------------------------------------
</t>
        </r>
      </text>
    </comment>
    <comment ref="CC7" authorId="0" shapeId="0" xr:uid="{69B6FEE3-BE60-48A9-8F53-D60A7CC48057}">
      <text>
        <r>
          <rPr>
            <b/>
            <sz val="9"/>
            <color indexed="81"/>
            <rFont val="Tahoma"/>
            <family val="2"/>
          </rPr>
          <t xml:space="preserve">Info Alberto 15/01/24: Renovación de Bioagra por 2 años a 41500 Eur/año. 
</t>
        </r>
        <r>
          <rPr>
            <sz val="9"/>
            <color indexed="81"/>
            <rFont val="Tahoma"/>
            <family val="2"/>
          </rPr>
          <t xml:space="preserve">41500€ de anualidad Mktint
Fra del 15/01/24 
Cobro previsto: febrero
Abonado Caixa: 31/01/24
</t>
        </r>
      </text>
    </comment>
    <comment ref="CD7" authorId="0" shapeId="0" xr:uid="{C816D942-8E67-492F-8263-ECCB68EC4EC9}">
      <text>
        <r>
          <rPr>
            <sz val="9"/>
            <color indexed="81"/>
            <rFont val="Tahoma"/>
            <family val="2"/>
          </rPr>
          <t xml:space="preserve">Info Alberto 24/01/24: Suscripción ARA Storage por 17.892 USD
Esto lo vamos a repercutir a cuatro clientes a partes iguales de 4.200 Eur cada uno (Vertex, Bioagra, Panonnia y Verbio 4.300€) Finalmt Sucden tb
Incluir en febrero
Info Alberto 07/02/24: 
Aditional coverage of Market Intelligence services por 4.200€
Fra del 07/02/24
Cobro previsto: febrero
Abonado Cta Caixa: 22/02/24
-----------------------------------
</t>
        </r>
      </text>
    </comment>
    <comment ref="CP7" authorId="0" shapeId="0" xr:uid="{FBD9EA89-0748-4212-A20A-A2BB040C073D}">
      <text>
        <r>
          <rPr>
            <b/>
            <sz val="9"/>
            <color indexed="81"/>
            <rFont val="Tahoma"/>
            <family val="2"/>
          </rPr>
          <t xml:space="preserve">Info Alberto 15/01/24: Renovación de Bioagra por 2 años a 41500 Eur/año. 
</t>
        </r>
        <r>
          <rPr>
            <sz val="9"/>
            <color indexed="81"/>
            <rFont val="Tahoma"/>
            <family val="2"/>
          </rPr>
          <t xml:space="preserve">41500€ de anualidad Mktint
Fra del 15/01/25
Cobro previsto: febrero
Abonado Caixa: 31/01/25
-------------------------------------------
</t>
        </r>
      </text>
    </comment>
    <comment ref="CS7" authorId="1" shapeId="0" xr:uid="{D8C40EA4-AC1E-4161-8086-CFA4D0F5DB32}">
      <text>
        <r>
          <rPr>
            <sz val="9"/>
            <color indexed="81"/>
            <rFont val="Tahoma"/>
            <family val="2"/>
          </rPr>
          <t xml:space="preserve">Info Alberto 19/03/25: Esto lo vamos a repercutir a cinco clientes a partes iguales de 4.400 Eur cada uno:
Bioagra
Verbio
Vertex
Sucden
Panonnia
Aditional coverage of Market Intelligence services por 4.400€
Fra del 21/03/25
Cobro previsto: abril
Abonado Cta Caixa: 07/04/25
</t>
        </r>
      </text>
    </comment>
    <comment ref="DE7" authorId="0" shapeId="0" xr:uid="{C96FDA38-122C-4CA6-9C5C-68F0A5F88AEE}">
      <text>
        <r>
          <rPr>
            <b/>
            <sz val="9"/>
            <color indexed="81"/>
            <rFont val="Tahoma"/>
            <family val="2"/>
          </rPr>
          <t xml:space="preserve">Info Alberto 13/03/26: Renovación de Bioagra por 2 años a 42.300 Eur/año. 
</t>
        </r>
        <r>
          <rPr>
            <sz val="9"/>
            <color indexed="81"/>
            <rFont val="Tahoma"/>
            <family val="2"/>
          </rPr>
          <t xml:space="preserve">42.300€ de anualidad Mktint
Fra del 13/03/26
Cobro previsto: marzo
Abonado Caixa: 30/03/26
-------------------------------------------
</t>
        </r>
      </text>
    </comment>
    <comment ref="DF7" authorId="0" shapeId="0" xr:uid="{A883C49D-509B-4C92-9450-4871C22A3FFA}">
      <text>
        <r>
          <rPr>
            <b/>
            <sz val="9"/>
            <color indexed="81"/>
            <rFont val="Tahoma"/>
            <family val="2"/>
          </rPr>
          <t xml:space="preserve">Info Alberto 18/03/26: 
</t>
        </r>
        <r>
          <rPr>
            <sz val="9"/>
            <color indexed="81"/>
            <rFont val="Tahoma"/>
            <family val="2"/>
          </rPr>
          <t xml:space="preserve">8.500€: Brazil Market Study
Fra del 19/03/26
Cobro previsto: abril
Abonado Caixa: 07/04/26
-------------------------------------------
</t>
        </r>
      </text>
    </comment>
    <comment ref="DI7" authorId="1" shapeId="0" xr:uid="{C6068EF3-4569-48CC-A25A-A17C2695CD9B}">
      <text>
        <r>
          <rPr>
            <sz val="9"/>
            <color indexed="81"/>
            <rFont val="Tahoma"/>
            <family val="2"/>
          </rPr>
          <t xml:space="preserve">Info Alberto 09/06/26: Esto lo vamos a repercutir a cinco clientes a partes iguales de 4.400 Eur cada uno:
Bioagra
Verbio
Vertex
Sucden
Panonnia
Aditional coverage of Market Intelligence services por 4.400€
Fra del 10/06/26
Cobro previsto: junio
Abonado Cta Caixa: 
</t>
        </r>
      </text>
    </comment>
    <comment ref="DP7" authorId="0" shapeId="0" xr:uid="{53AB0ABF-15BB-48AB-A357-37075CDFC161}">
      <text>
        <r>
          <rPr>
            <b/>
            <sz val="9"/>
            <color indexed="81"/>
            <rFont val="Tahoma"/>
            <family val="2"/>
          </rPr>
          <t xml:space="preserve">Info Alberto 13/03/26: Renovación de Bioagra por 2 años a 42.300 Eur/año. 
</t>
        </r>
        <r>
          <rPr>
            <sz val="9"/>
            <color indexed="81"/>
            <rFont val="Tahoma"/>
            <family val="2"/>
          </rPr>
          <t xml:space="preserve">42.300€ de anualidad Mktint
Fra del 
Abonado Caixa: 
-------------------------------------------
</t>
        </r>
      </text>
    </comment>
    <comment ref="AE8" authorId="1" shapeId="0" xr:uid="{B13B4B8C-41F2-4E7F-87AC-E296C4013176}">
      <text>
        <r>
          <rPr>
            <b/>
            <sz val="8"/>
            <color indexed="81"/>
            <rFont val="Tahoma"/>
            <family val="2"/>
          </rPr>
          <t>Rosa:</t>
        </r>
        <r>
          <rPr>
            <sz val="8"/>
            <color indexed="81"/>
            <rFont val="Tahoma"/>
            <family val="2"/>
          </rPr>
          <t xml:space="preserve">
9000 E de anualidad Mktint 
30000 E de additional bonus fee for Market Intel services
39000 eu entran en banco
-78 eu comision bancaria anotado en gastos bancarios
Abonado: 24/03/20</t>
        </r>
      </text>
    </comment>
    <comment ref="AU8" authorId="1" shapeId="0" xr:uid="{CD843E49-F2B9-4F06-AC37-3D0D0B037EF0}">
      <text>
        <r>
          <rPr>
            <b/>
            <sz val="8"/>
            <color indexed="81"/>
            <rFont val="Tahoma"/>
            <family val="2"/>
          </rPr>
          <t>Rosa:</t>
        </r>
        <r>
          <rPr>
            <sz val="8"/>
            <color indexed="81"/>
            <rFont val="Tahoma"/>
            <family val="2"/>
          </rPr>
          <t xml:space="preserve">
9000 E de anualidad Mktint 
Fra del 11/01/21
Cobro previsto: enero
Abonado el 02/06/21. 
</t>
        </r>
      </text>
    </comment>
    <comment ref="AV8" authorId="1" shapeId="0" xr:uid="{5CA8C7CD-A4B3-46B5-86B2-52E1A4F4B062}">
      <text>
        <r>
          <rPr>
            <b/>
            <sz val="8"/>
            <color indexed="81"/>
            <rFont val="Tahoma"/>
            <family val="2"/>
          </rPr>
          <t>Rosa:</t>
        </r>
        <r>
          <rPr>
            <sz val="8"/>
            <color indexed="81"/>
            <rFont val="Tahoma"/>
            <family val="2"/>
          </rPr>
          <t xml:space="preserve">
30000 E de additional bonus fee for Market Intel services
Fra del 18/01/21
Cobro previsto: febrero
Cobro: 28/07/21.</t>
        </r>
      </text>
    </comment>
    <comment ref="BF8" authorId="1" shapeId="0" xr:uid="{5AFF6B8C-7A5B-45F9-8974-6DB25423C624}">
      <text>
        <r>
          <rPr>
            <b/>
            <sz val="8"/>
            <color indexed="81"/>
            <rFont val="Tahoma"/>
            <family val="2"/>
          </rPr>
          <t xml:space="preserve">Rosa:
</t>
        </r>
        <r>
          <rPr>
            <sz val="8"/>
            <color indexed="81"/>
            <rFont val="Tahoma"/>
            <family val="2"/>
          </rPr>
          <t>9000 E de anualidad Mktint 
Fra del 12/01/22
Cobro previsto: enero
Abonado Caixa: 13/04/22
---------------------------------------
30000 E de additional bonus fee for Market Intel services
Fra del 12/01/22 pndte sin pasar a conta
Esperar respuesta de Alberto, pndte de confirmación por parte de Verbio
08/02/22: Comunicado por Alberto que ha enviado esa factura al cliente, preguntado a Verónica si puede ser con esa fecha de enero, Ok Verónica y Alf
Abonado Caixa: 13/04/22</t>
        </r>
      </text>
    </comment>
    <comment ref="BQ8" authorId="0" shapeId="0" xr:uid="{83C8058C-9196-40E3-B516-64E7E84BCB1A}">
      <text>
        <r>
          <rPr>
            <sz val="9"/>
            <color indexed="81"/>
            <rFont val="Tahoma"/>
            <family val="2"/>
          </rPr>
          <t xml:space="preserve">9000€ de anualidad Mktint 
Fra del 11/01/23
Cobro previsto: enero
Info Alberto 19/01/23: Modificamos fra a 15000€
Fra de Abono del 19/01/23
Fra importe correcto del 19/01/23
Abonado Caixa: 01/02/23
</t>
        </r>
      </text>
    </comment>
    <comment ref="CM8" authorId="0" shapeId="0" xr:uid="{5203E123-DF34-490A-BF70-7DDD52AF5921}">
      <text>
        <r>
          <rPr>
            <sz val="9"/>
            <color indexed="81"/>
            <rFont val="Tahoma"/>
            <family val="2"/>
          </rPr>
          <t>Info Alberto 24/01/24: Suscripción ARA Storage por 17.892 USD
Esto lo vamos a repercutir a cuatro clientes a partes iguales de 4.200 Eur cada uno (Vertex, Bioagra, Panonnia y Verbio 4.300€) Finalmt Sucden tb
Incluir en febrero
4.300€: Suscripción ARA
15.000€ de anualidad Mktint 
Fra del 26/01/24
Cobro previsto: febrero
25/04/24: Reclamado pago
Solicitan nueva fra
Fra del 20/09/24
Cobro previsto: octubre
Abonado Caixa: 02/10/24</t>
        </r>
      </text>
    </comment>
    <comment ref="CW8" authorId="0" shapeId="0" xr:uid="{46448677-3D18-4F46-A8E4-989846B46627}">
      <text>
        <r>
          <rPr>
            <sz val="9"/>
            <color indexed="81"/>
            <rFont val="Tahoma"/>
            <family val="2"/>
          </rPr>
          <t xml:space="preserve">15.000€ de anualidad Mktint 
Fra del 14/08/25
Cobro previsto: septiembre
Abonado Cta Caixa: 27/08/25 
---------------------------------------
Info Alberto 19/03/25: Esto lo vamos a repercutir a cinco clientes a partes iguales de 4.400 Eur cada uno:
Bioagra
Verbio
Vertex
Sucden
Panonnia
Aditional coverage of Market Intelligence services por 4.400€
Fra del 14/08/25
Cobro previsto: septiembre
Abonado Cta Caixa: 27/08/25 
</t>
        </r>
      </text>
    </comment>
    <comment ref="DI8" authorId="0" shapeId="0" xr:uid="{438C8BE1-269C-4DDE-B671-F6328D1FF59E}">
      <text>
        <r>
          <rPr>
            <sz val="9"/>
            <color indexed="81"/>
            <rFont val="Tahoma"/>
            <family val="2"/>
          </rPr>
          <t xml:space="preserve">16.000€ de anualidad Mktint 
Fra del 09/06/26
Cobro previsto: junio
Abonado Cta Caixa:  
---------------------------------------
Info Alberto 09/06/26: Esto lo vamos a repercutir a cinco clientes a partes iguales de 4.400 Eur cada uno:
Bioagra
Verbio
Vertex
Sucden
Panonnia
Aditional coverage of Market Intelligence services por 4.400€
Fra del 09/06/26
Cobro previsto: junio
Abonado Cta Caixa: 
</t>
        </r>
      </text>
    </comment>
    <comment ref="Z9" authorId="1" shapeId="0" xr:uid="{2F8ECB80-2E44-4400-962F-F9B2137EEDCF}">
      <text>
        <r>
          <rPr>
            <b/>
            <sz val="8"/>
            <color indexed="81"/>
            <rFont val="Tahoma"/>
            <family val="2"/>
          </rPr>
          <t>alfonso:</t>
        </r>
        <r>
          <rPr>
            <sz val="8"/>
            <color indexed="81"/>
            <rFont val="Tahoma"/>
            <family val="2"/>
          </rPr>
          <t xml:space="preserve">
15000+iva de anualidad Mktint 1 de 2
</t>
        </r>
      </text>
    </comment>
    <comment ref="AC9" authorId="1" shapeId="0" xr:uid="{96748AE6-85F3-4204-A725-2EA55D6B50B2}">
      <text>
        <r>
          <rPr>
            <b/>
            <sz val="8"/>
            <color indexed="81"/>
            <rFont val="Tahoma"/>
            <family val="2"/>
          </rPr>
          <t>de noviembre:</t>
        </r>
        <r>
          <rPr>
            <sz val="8"/>
            <color indexed="81"/>
            <rFont val="Tahoma"/>
            <family val="2"/>
          </rPr>
          <t xml:space="preserve">
15000 de anualidad Mktint 2de 2 pasada a empresa de francia sin IVA en una de 20.000 que incluye 5000 de 10 year market outlook AdHoc
en diciembre estaba en rojo 16000x1,21
Modificado a 15 + Iva según he acordado con Vertex</t>
        </r>
      </text>
    </comment>
    <comment ref="AR9" authorId="0" shapeId="0" xr:uid="{CC89FBCF-0385-4CF5-B833-83762313A92D}">
      <text>
        <r>
          <rPr>
            <b/>
            <sz val="9"/>
            <color indexed="81"/>
            <rFont val="Tahoma"/>
            <family val="2"/>
          </rPr>
          <t xml:space="preserve">rosa:
</t>
        </r>
        <r>
          <rPr>
            <sz val="9"/>
            <color indexed="81"/>
            <rFont val="Tahoma"/>
            <family val="2"/>
          </rPr>
          <t>25000 EUR de anualidad Mktint
pasada a empresa de francia sin IVA 
Fra del 23/12/20 
Cobro previsto: enero
Info Alberto 08/01/21: Cobro en febrero 
26/02/21: Reclamado por Alberto
Lo abonarán el próximo 05/03/21
Abonado Cta Caixa Molino: 09/03/21 y realizada transferencia a Cta Caixa Nixal el 10/03/21</t>
        </r>
      </text>
    </comment>
    <comment ref="BA9" authorId="1" shapeId="0" xr:uid="{3B029F89-C252-4390-B76A-A956EE05B2D9}">
      <text>
        <r>
          <rPr>
            <sz val="9"/>
            <color indexed="81"/>
            <rFont val="Tahoma"/>
            <family val="2"/>
          </rPr>
          <t>Info Alberto 17/12/20:
25.000€: Previsión en enero 2021
Info Alberto 08/01/21: Pndte emitir fra en enero, Alberto nos avisa. Cobro en marzo.
Anotado en marzo. 
10/03/21: Pndte de que le confirmen a Alberto el nº de pedido
Fra del 29/04/21.
Abonado: 08/11/21</t>
        </r>
      </text>
    </comment>
    <comment ref="BF9" authorId="1" shapeId="0" xr:uid="{C08ECC9A-1229-4FD4-99BC-9EB9CBDCF45C}">
      <text>
        <r>
          <rPr>
            <b/>
            <sz val="9"/>
            <color indexed="81"/>
            <rFont val="Tahoma"/>
            <family val="2"/>
          </rPr>
          <t>alfonso:</t>
        </r>
        <r>
          <rPr>
            <sz val="9"/>
            <color indexed="81"/>
            <rFont val="Tahoma"/>
            <family val="2"/>
          </rPr>
          <t xml:space="preserve">
nueva estimación Alberto  a 14/6/21
Corresponde al contrato de 2021
10/02/22: Confirmado a Alberto el nº de pedido
Fra del 10/02/22
Pago a 60 días
Cobro previsto: 05/04/22
Abonado Caixa: 06/04/22</t>
        </r>
      </text>
    </comment>
    <comment ref="BN9" authorId="0" shapeId="0" xr:uid="{8DA5AAFE-DC07-45AE-B981-B4DF2F1212B3}">
      <text>
        <r>
          <rPr>
            <b/>
            <sz val="9"/>
            <color indexed="81"/>
            <rFont val="Tahoma"/>
            <family val="2"/>
          </rPr>
          <t>Corresponde al contrato 2022</t>
        </r>
        <r>
          <rPr>
            <sz val="9"/>
            <color indexed="81"/>
            <rFont val="Tahoma"/>
            <family val="2"/>
          </rPr>
          <t xml:space="preserve">
</t>
        </r>
      </text>
    </comment>
    <comment ref="BP9" authorId="1" shapeId="0" xr:uid="{4D05F5EB-6847-4038-9585-50F972DD546F}">
      <text>
        <r>
          <rPr>
            <b/>
            <sz val="9"/>
            <color indexed="81"/>
            <rFont val="Tahoma"/>
            <family val="2"/>
          </rPr>
          <t>alfonso:</t>
        </r>
        <r>
          <rPr>
            <sz val="9"/>
            <color indexed="81"/>
            <rFont val="Tahoma"/>
            <family val="2"/>
          </rPr>
          <t xml:space="preserve">
nueva estimación Alberto  a 14/6/21
Corresponde al contrato de 2021.
Fra 2022/VTX/002 emitida el 24/11/22.
segunda anualidad: 25.000,00€. 
Cobro: 60 días fecha factura. 
Abonado Caixa: 21/01/23</t>
        </r>
      </text>
    </comment>
    <comment ref="BS9" authorId="0" shapeId="0" xr:uid="{DB60FBDF-F151-48F4-8BA3-471CF1A5083E}">
      <text>
        <r>
          <rPr>
            <b/>
            <sz val="9"/>
            <color indexed="81"/>
            <rFont val="Tahoma"/>
            <family val="2"/>
          </rPr>
          <t>Corresponde 2023</t>
        </r>
        <r>
          <rPr>
            <sz val="9"/>
            <color indexed="81"/>
            <rFont val="Tahoma"/>
            <family val="2"/>
          </rPr>
          <t xml:space="preserve">
Fra 2023/VTX/001 emitida el 15/02/23.
25.000,00€. 
Cobro: 60 días fecha factura. 
Abonado Caixa: 11/04/23</t>
        </r>
      </text>
    </comment>
    <comment ref="CB9" authorId="0" shapeId="0" xr:uid="{972A3C5A-BF47-4761-9461-BCD2DA73A58E}">
      <text>
        <r>
          <rPr>
            <b/>
            <sz val="9"/>
            <color indexed="81"/>
            <rFont val="Tahoma"/>
            <family val="2"/>
          </rPr>
          <t xml:space="preserve">Corresponde 2023
</t>
        </r>
        <r>
          <rPr>
            <sz val="9"/>
            <color indexed="81"/>
            <rFont val="Tahoma"/>
            <family val="2"/>
          </rPr>
          <t xml:space="preserve">
Fra 2023/VTX/002 emitida el 18/10/23.
segunda anualidad: 25.000,00€. 
Cobro: 60 días fecha factura. 
Cobro previsto: diciembre
Abonado Caixa: 06/12/23</t>
        </r>
      </text>
    </comment>
    <comment ref="CF9" authorId="1" shapeId="0" xr:uid="{B716CC34-4913-4320-9B63-279E8A6FD58F}">
      <text>
        <r>
          <rPr>
            <sz val="9"/>
            <color indexed="81"/>
            <rFont val="Tahoma"/>
            <family val="2"/>
          </rPr>
          <t>Info Alberto 24/01/24: 
Suscripción ARA Storage por 17.892 USD
Esto lo vamos a repercutir a cuatro clientes a partes iguales de 4.200 Eur cada uno (Vertex, Bioagra, Panonnia y Verbio 4.300€) Finalmt Sucden tb
Incluir en febrero
Fra del 23/02/24
Cobro previsto: abril
Abonado Caixa: 20/04/24</t>
        </r>
      </text>
    </comment>
    <comment ref="CO9" authorId="2" shapeId="0" xr:uid="{41E45E7A-E4A6-4697-94CA-73D05A828D18}">
      <text>
        <r>
          <rPr>
            <b/>
            <sz val="9"/>
            <color indexed="81"/>
            <rFont val="Tahoma"/>
            <family val="2"/>
          </rPr>
          <t>Maria:</t>
        </r>
        <r>
          <rPr>
            <sz val="9"/>
            <color indexed="81"/>
            <rFont val="Tahoma"/>
            <family val="2"/>
          </rPr>
          <t xml:space="preserve">
Fra 2024/VTX/002 emitida el 06/09/24.
segunda anualidad: 25.000,00€. 
Cobro: 60 días fecha factura. 
Cobro previsto: diciembre
14/11/24: Reclamado pago
29/11/24: Realizarán el pago el 05/12/24
Abonado Caixa: 06/12/24</t>
        </r>
      </text>
    </comment>
    <comment ref="CT9" authorId="1" shapeId="0" xr:uid="{5D6AFB89-C541-4346-BB70-701BA6C10B9D}">
      <text>
        <r>
          <rPr>
            <sz val="9"/>
            <color indexed="81"/>
            <rFont val="Tahoma"/>
            <family val="2"/>
          </rPr>
          <t xml:space="preserve">Info Alberto 19/03/25: Esto lo vamos a repercutir a cinco clientes a partes iguales de 4.400 Eur cada uno:
Bioagra,Verbio,Vertex,Sucden y
Panonnia
Aditional coverage of Market Intelligence services por 4.400€
Primera anualidad 2025-pedido Nº 4501004841: 25.000,00€. 
Fra 2025/VTX/001 emitida el 20/03/25 por 29.400€.
Cobro: 60 días fecha factura. 
Cobro previsto: mayo
Abonado Cta Caixa: 08/05/25
</t>
        </r>
      </text>
    </comment>
    <comment ref="CZ9" authorId="1" shapeId="0" xr:uid="{AFFF3D31-C57C-4978-9792-8144F82B2AD5}">
      <text>
        <r>
          <rPr>
            <sz val="9"/>
            <color indexed="81"/>
            <rFont val="Tahoma"/>
            <family val="2"/>
          </rPr>
          <t xml:space="preserve">Segunda anualidad 2025-pedido Nº 4501004841: 25.000,00€. 
Fra 2025/VTX/002 emitida el 14/08/25 por 25.000€.
Cobro: 60 días fecha factura. 
Cobro previsto: octubre
Abonado Cta Caixa: 06/10/25 
</t>
        </r>
      </text>
    </comment>
    <comment ref="DG9" authorId="1" shapeId="0" xr:uid="{9AC2CE13-13D8-45DE-9F54-E5EE19AA6510}">
      <text>
        <r>
          <rPr>
            <sz val="9"/>
            <color indexed="81"/>
            <rFont val="Tahoma"/>
            <family val="2"/>
          </rPr>
          <t xml:space="preserve">Info Alberto 17/03/26:
Primera anualidad 2026-pedido Nº 4501009989: 25.000,00€. 
Fra 2026/VTX/001 emitida el 17/03/26 por 25.000€.
Cobro: 60 días fecha factura. 
Cobro previsto: mayo
Abonado Cta Caixa: 07/05/26
</t>
        </r>
      </text>
    </comment>
    <comment ref="DI9" authorId="0" shapeId="0" xr:uid="{F9FE2A58-FBEF-4632-B3D2-48ED7E5BBF4E}">
      <text>
        <r>
          <rPr>
            <b/>
            <sz val="9"/>
            <color indexed="81"/>
            <rFont val="Tahoma"/>
            <family val="2"/>
          </rPr>
          <t>Segunda anualidad emitida en agosto 2025, preguntar a Alberto si emitimos ya la fra</t>
        </r>
        <r>
          <rPr>
            <sz val="9"/>
            <color indexed="81"/>
            <rFont val="Tahoma"/>
            <family val="2"/>
          </rPr>
          <t xml:space="preserve">
</t>
        </r>
      </text>
    </comment>
    <comment ref="DJ9" authorId="1" shapeId="0" xr:uid="{C3139F6F-2C72-420F-82FD-555C9F9AFA1B}">
      <text>
        <r>
          <rPr>
            <sz val="9"/>
            <color indexed="81"/>
            <rFont val="Tahoma"/>
            <family val="2"/>
          </rPr>
          <t xml:space="preserve">Info Alberto 09/06/26: Esto lo vamos a repercutir a cinco clientes a partes iguales de 4.400 Eur cada uno:
Bioagra
Verbio
Vertex
Sucden
Panonnia
Aditional coverage of Market Intelligence services por 4.400€
Fra del 10/06/26
Cobro previsto: junio
Abonado Cta Caixa: 
</t>
        </r>
      </text>
    </comment>
    <comment ref="DM9" authorId="0" shapeId="0" xr:uid="{FBFEA4EF-A52D-4424-850F-BE59969C91D0}">
      <text>
        <r>
          <rPr>
            <b/>
            <sz val="9"/>
            <color indexed="81"/>
            <rFont val="Tahoma"/>
            <family val="2"/>
          </rPr>
          <t>Segunda anualidad emitida en agosto 2025, preguntar a Alberto si emitimos ya la fra</t>
        </r>
        <r>
          <rPr>
            <sz val="9"/>
            <color indexed="81"/>
            <rFont val="Tahoma"/>
            <family val="2"/>
          </rPr>
          <t xml:space="preserve">
</t>
        </r>
      </text>
    </comment>
    <comment ref="AG10" authorId="0" shapeId="0" xr:uid="{F0DF2EFB-4796-4314-B31B-D15795EB8B13}">
      <text>
        <r>
          <rPr>
            <b/>
            <sz val="9"/>
            <color indexed="81"/>
            <rFont val="Tahoma"/>
            <family val="2"/>
          </rPr>
          <t>rosa:</t>
        </r>
        <r>
          <rPr>
            <sz val="9"/>
            <color indexed="81"/>
            <rFont val="Tahoma"/>
            <family val="2"/>
          </rPr>
          <t xml:space="preserve">
Factura 2 de 2 (el pago de la 1 es en julio de 2019)
Fra: 10/01/20
Cobro previsto: enero
4500 eu entran en banco
77,60 eu comision bancaria
Abonado: 14/05/20</t>
        </r>
      </text>
    </comment>
    <comment ref="AP10" authorId="0" shapeId="0" xr:uid="{6132D001-23A0-4A88-B0B1-6BFE6DC45E77}">
      <text>
        <r>
          <rPr>
            <b/>
            <sz val="9"/>
            <color indexed="81"/>
            <rFont val="Tahoma"/>
            <family val="2"/>
          </rPr>
          <t>rosa:</t>
        </r>
        <r>
          <rPr>
            <sz val="9"/>
            <color indexed="81"/>
            <rFont val="Tahoma"/>
            <family val="2"/>
          </rPr>
          <t xml:space="preserve">
Factura 2 de 2
Fra: 15/12/20
Cobro previsto: diciembre
Abonado Caixa: 15/01/21
</t>
        </r>
      </text>
    </comment>
    <comment ref="AQ10" authorId="0" shapeId="0" xr:uid="{DD0AE5D7-710E-4E2B-B092-04285C0D0CAC}">
      <text>
        <r>
          <rPr>
            <b/>
            <sz val="9"/>
            <color indexed="81"/>
            <rFont val="Tahoma"/>
            <family val="2"/>
          </rPr>
          <t>rosa:</t>
        </r>
        <r>
          <rPr>
            <sz val="9"/>
            <color indexed="81"/>
            <rFont val="Tahoma"/>
            <family val="2"/>
          </rPr>
          <t xml:space="preserve">
Factura 1 de 2
Fra: 15/06/20
Cobro previsto: julio
Pendiente de pago, reclamado por Alberto
Abonado Caixa: 09/02/21
</t>
        </r>
      </text>
    </comment>
    <comment ref="AZ10" authorId="3" shapeId="0" xr:uid="{82B21743-E82B-41C8-9A8B-E68FA8049C05}">
      <text>
        <r>
          <rPr>
            <sz val="9"/>
            <color indexed="81"/>
            <rFont val="Tahoma"/>
            <family val="2"/>
          </rPr>
          <t>Info alberto 07/05/21: Emitir factura en la primera semana de junio. 
Fra del 04/06/21
Fra 1 de 2. 
Cobro previsto: junio.
Info Alberto 15/06/21: si no nos pagan en dos semanas, el día 29 del junio. 
Volver a AVISAR a Alberto en una semana el 06/07/21.
Abonado Caixa: 14/10/21</t>
        </r>
      </text>
    </comment>
    <comment ref="BC10" authorId="3" shapeId="0" xr:uid="{B934A4F3-2F41-4503-8A81-998AD8674FAB}">
      <text>
        <r>
          <rPr>
            <sz val="9"/>
            <color indexed="81"/>
            <rFont val="Tahoma"/>
            <family val="2"/>
          </rPr>
          <t xml:space="preserve">Info alberto 15/06/21: Emitir factura en la primera semana de diciembre. 
Fra 2 de 2. </t>
        </r>
        <r>
          <rPr>
            <b/>
            <sz val="9"/>
            <color indexed="81"/>
            <rFont val="Tahoma"/>
            <family val="2"/>
          </rPr>
          <t xml:space="preserve">
</t>
        </r>
        <r>
          <rPr>
            <sz val="9"/>
            <color indexed="81"/>
            <rFont val="Tahoma"/>
            <family val="2"/>
          </rPr>
          <t xml:space="preserve">Fra del 13/12/21
Cobro: 06/01/2021.
</t>
        </r>
      </text>
    </comment>
    <comment ref="BO10" authorId="3" shapeId="0" xr:uid="{B3B71E7E-9E85-48A0-A685-A92D9C6F20AC}">
      <text>
        <r>
          <rPr>
            <sz val="9"/>
            <color indexed="81"/>
            <rFont val="Tahoma"/>
            <family val="2"/>
          </rPr>
          <t xml:space="preserve">Info alberto 05/10/22: 12.000€ de anualidad Mktint en 2 fras semestrales de 6.000€
Fra del 06/10/22
Fra 1 de 2. 
Cobro previsto: octubre
Abonado Caixa: 21/12/22
</t>
        </r>
      </text>
    </comment>
    <comment ref="BS10" authorId="3" shapeId="0" xr:uid="{7ACC26CE-5A18-43B9-9BAE-91239FCE692C}">
      <text>
        <r>
          <rPr>
            <sz val="9"/>
            <color indexed="81"/>
            <rFont val="Tahoma"/>
            <family val="2"/>
          </rPr>
          <t xml:space="preserve">Info alberto 05/10/22: 12.000€ de anualidad Mktint en 2 fras semestrales de 6.000€
 emitimos en febrero Fra 2 de 2. 
Fra del 21/02/23
Cobro previsto: marzo
Abonado Caixa: 05/04/23
</t>
        </r>
      </text>
    </comment>
    <comment ref="BY10" authorId="3" shapeId="0" xr:uid="{96518AF2-FB38-4652-8FCC-5C5CD6701346}">
      <text>
        <r>
          <rPr>
            <sz val="9"/>
            <color indexed="81"/>
            <rFont val="Tahoma"/>
            <family val="2"/>
          </rPr>
          <t>Info alberto 06/07/23: 12.000€ de anualidad Mktint en 2 fras semestrales de 6.000€
Fra del 07/07/23
Fra 1 de 2. 
Cobro previsto: agosto
09/08/23: Enviada fra modificada con nueva dirección
1€: Abonado Caixa: 05/09/23
5.999€: Abonado Caixa: 07/09/23</t>
        </r>
      </text>
    </comment>
    <comment ref="CB10" authorId="3" shapeId="0" xr:uid="{5AAA5FB2-B301-4A15-B4E2-D6FF47FA9333}">
      <text>
        <r>
          <rPr>
            <sz val="9"/>
            <color indexed="81"/>
            <rFont val="Tahoma"/>
            <family val="2"/>
          </rPr>
          <t>Info alberto 06/07/23: 12.000€ de anualidad Mktint en 2 fras semestrales de 6.000€
Emitir Fra a principios de dic
Fra 2 de 2. 
Fra del 12/12/23
Abonado Caixa: 27/12/23</t>
        </r>
      </text>
    </comment>
    <comment ref="CQ10" authorId="3" shapeId="0" xr:uid="{4996E13F-E2C8-4FDA-BDE6-3E0C704E19AC}">
      <text>
        <r>
          <rPr>
            <sz val="9"/>
            <color indexed="81"/>
            <rFont val="Tahoma"/>
            <family val="2"/>
          </rPr>
          <t>Info alberto 07/08/24: 13.000€ de anualidad Mktint en 2 fras semestrales de 6.500€
Fra 1 de 2. 
Fra del 08/08/24
10/10/24: Reclamado pago
13/12/24: Reclamado pago
15/01/24: Reclamado pago
Abonado Caixa: 13/02/25
--------------------
Info alberto 07/08/24: 13.000€ de anualidad Mktint en 2 fras semestrales de 6.500€
Emitir Fra a principios de dic
Fra 2 de 2. 
Fra del 13/12/24
Cobro previsto: diciembre
15/01/24: Reclamado pago
Abonado Caixa: 12/02/25</t>
        </r>
      </text>
    </comment>
    <comment ref="DE10" authorId="3" shapeId="0" xr:uid="{4E38E8C3-3582-4ED0-9487-C473DEEDAE77}">
      <text>
        <r>
          <rPr>
            <sz val="9"/>
            <color indexed="81"/>
            <rFont val="Tahoma"/>
            <family val="2"/>
          </rPr>
          <t>Info alberto 12/03/26: 13.000€ de anualidad Mktint en una fra del 01/06/25 a 31/05/26
Fra del 12/03/26
Cobro previsto: marzo
Abonado Caixa: 27/03/26</t>
        </r>
      </text>
    </comment>
    <comment ref="AL11" authorId="1" shapeId="0" xr:uid="{53CCC93E-7371-4BB0-8F5F-07F28F7B70BF}">
      <text>
        <r>
          <rPr>
            <b/>
            <sz val="8"/>
            <color indexed="81"/>
            <rFont val="Tahoma"/>
            <family val="2"/>
          </rPr>
          <t>Rosa:</t>
        </r>
        <r>
          <rPr>
            <sz val="8"/>
            <color indexed="81"/>
            <rFont val="Tahoma"/>
            <family val="2"/>
          </rPr>
          <t xml:space="preserve">
10000 EUR de anualidad Mktint
Fra del 31/08/20
Cobro previsto: septiembre
Abonado Caixa: 18/09/20</t>
        </r>
      </text>
    </comment>
    <comment ref="AZ11" authorId="3" shapeId="0" xr:uid="{39AB02C8-A808-4B7D-B18F-87906151226C}">
      <text>
        <r>
          <rPr>
            <sz val="9"/>
            <color indexed="81"/>
            <rFont val="Tahoma"/>
            <family val="2"/>
          </rPr>
          <t>10.000 EUR de anualidad Mktint
Fra del 16/09/21
Cobro previsto: septiembre
Abonado: 01/10/21</t>
        </r>
      </text>
    </comment>
    <comment ref="BL11" authorId="3" shapeId="0" xr:uid="{82C872C1-D094-482B-B24F-5F4689E7DBF3}">
      <text>
        <r>
          <rPr>
            <sz val="9"/>
            <color indexed="81"/>
            <rFont val="Tahoma"/>
            <family val="2"/>
          </rPr>
          <t>10.000 EUR de anualidad Mktint
Fra del 08/09/22
Cobro previsto: septiembre
Abonado Caixa: 27/09/22</t>
        </r>
      </text>
    </comment>
    <comment ref="BW11" authorId="3" shapeId="0" xr:uid="{99614F87-FEE2-474F-8830-75B85481E695}">
      <text>
        <r>
          <rPr>
            <sz val="9"/>
            <color indexed="81"/>
            <rFont val="Tahoma"/>
            <family val="2"/>
          </rPr>
          <t>10.500 EUR de anualidad Mktint
Fra del 10/08/23
Cobro previsto: septiembre
Cobro: 24/08/23.</t>
        </r>
      </text>
    </comment>
    <comment ref="CL11" authorId="3" shapeId="0" xr:uid="{76CBB87E-8936-43CE-BBC5-4398FF3835F9}">
      <text>
        <r>
          <rPr>
            <sz val="9"/>
            <color indexed="81"/>
            <rFont val="Tahoma"/>
            <family val="2"/>
          </rPr>
          <t>9.000 EUR de anualidad Mktint
Fra del 23/08/24
Fra del 04/09/24 con nueva dirección y fra abono
Cobro previsto: septiembre
Cobro: 06/09/24</t>
        </r>
      </text>
    </comment>
    <comment ref="DB11" authorId="3" shapeId="0" xr:uid="{334930FE-789C-4E7E-BACE-643C28246CD9}">
      <text>
        <r>
          <rPr>
            <sz val="9"/>
            <color indexed="81"/>
            <rFont val="Tahoma"/>
            <family val="2"/>
          </rPr>
          <t>9.000 EUR de anualidad Mktint
Fra del 03/12/25
Cobro previsto: diciembre
Abonado Caixa: 16/12/25</t>
        </r>
      </text>
    </comment>
    <comment ref="AG12" authorId="0" shapeId="0" xr:uid="{12F876D7-8177-4F6C-A698-B4315ABC3311}">
      <text>
        <r>
          <rPr>
            <b/>
            <sz val="9"/>
            <color indexed="81"/>
            <rFont val="Tahoma"/>
            <family val="2"/>
          </rPr>
          <t>rosa:</t>
        </r>
        <r>
          <rPr>
            <sz val="9"/>
            <color indexed="81"/>
            <rFont val="Tahoma"/>
            <family val="2"/>
          </rPr>
          <t xml:space="preserve">
Factura 2 de 2 (el pago de la 1 es en octubre de 2019)
Fra: 22/04/20
Cobro previsto: mayo
Abonado: 11/05/20</t>
        </r>
      </text>
    </comment>
    <comment ref="AN12" authorId="0" shapeId="0" xr:uid="{21B4FFEC-C0A9-40F4-8BE2-B7961FD5A7B9}">
      <text>
        <r>
          <rPr>
            <sz val="11"/>
            <color theme="1"/>
            <rFont val="Calibri"/>
            <family val="2"/>
            <scheme val="minor"/>
          </rPr>
          <t>rosa:
Factura 1 de 2 
Fra: 15/10/20
Cobro previsto: octubre
Abonado Caixa: 04/11/20</t>
        </r>
      </text>
    </comment>
    <comment ref="AR12" authorId="0" shapeId="0" xr:uid="{74D15A23-0E8A-4913-94E4-ABC08587BC3F}">
      <text>
        <r>
          <rPr>
            <sz val="11"/>
            <color theme="1"/>
            <rFont val="Calibri"/>
            <family val="2"/>
            <scheme val="minor"/>
          </rPr>
          <t xml:space="preserve">rosa:
Factura 2 de 2 (la emisión de la 1 es en octubre de 2020). 
Emitir fra el 15/03/21
Fra del 16/03/21
Cobro previsto en marzo.
Abonado: 31/03/21
</t>
        </r>
      </text>
    </comment>
    <comment ref="BA12" authorId="0" shapeId="0" xr:uid="{AF29E761-FBC5-4206-8310-5B88796D8B6F}">
      <text>
        <r>
          <rPr>
            <sz val="11"/>
            <color theme="1"/>
            <rFont val="Calibri"/>
            <family val="2"/>
            <scheme val="minor"/>
          </rPr>
          <t xml:space="preserve">Info Alberto 05/10/21:
Factura 1 de 2 
Fra del 15/10/21
Cobro previsto: noviembre
Abonado Caixa: 03/11/21
</t>
        </r>
      </text>
    </comment>
    <comment ref="BF12" authorId="0" shapeId="0" xr:uid="{BD934A73-882C-43F9-90B1-0E7B3FD63EFA}">
      <text>
        <r>
          <rPr>
            <sz val="11"/>
            <color theme="1"/>
            <rFont val="Calibri"/>
            <family val="2"/>
            <scheme val="minor"/>
          </rPr>
          <t xml:space="preserve">Info Alberto 05/10/21:
Factura 2 de 2 
Preguntar a Alberto si emitimos el 15/03/22, ok Alberto, en reunión de cierre Nixal, emitir esta fra
Fra del 18/03/22
Cobro previsto: abril 
Abonado Caixa: 07/04/22
</t>
        </r>
      </text>
    </comment>
    <comment ref="BO12" authorId="0" shapeId="0" xr:uid="{E12B490A-C721-4B43-BE78-F94E029116EC}">
      <text>
        <r>
          <rPr>
            <sz val="11"/>
            <color theme="1"/>
            <rFont val="Calibri"/>
            <family val="2"/>
            <scheme val="minor"/>
          </rPr>
          <t xml:space="preserve">Info Alberto 07/11/22: Renovación mismas condiciones
Factura 1 de 2 
Fra del 07/11/22
18/11/22: Enviadas Fra de abono y nueva Fra del 18/11/22 con VAT nuevo y persona contacto
Cobro previsto: noviembre
Abonado Caixa: 06/12/22
</t>
        </r>
      </text>
    </comment>
    <comment ref="BR12" authorId="0" shapeId="0" xr:uid="{FA98B6D4-1654-4A9D-81B0-0F03E1F60225}">
      <text>
        <r>
          <rPr>
            <sz val="11"/>
            <color theme="1"/>
            <rFont val="Calibri"/>
            <family val="2"/>
            <scheme val="minor"/>
          </rPr>
          <t xml:space="preserve">Info Alberto 07/11/22: Renovación mismas condiciones
Factura 2 de 2 
Preguntar a Alberto si emitimos el 15/03/23, OK Alberto 08/03/23 
Fra del 09/03/23
Cobro previsto: abril 
Abonado Caixa: 28/03/23
</t>
        </r>
      </text>
    </comment>
    <comment ref="AI13" authorId="0" shapeId="0" xr:uid="{24733F19-438C-425E-A7BB-F4346F2D1931}">
      <text>
        <r>
          <rPr>
            <b/>
            <sz val="9"/>
            <color indexed="81"/>
            <rFont val="Tahoma"/>
            <family val="2"/>
          </rPr>
          <t>rosa:</t>
        </r>
        <r>
          <rPr>
            <sz val="9"/>
            <color indexed="81"/>
            <rFont val="Tahoma"/>
            <family val="2"/>
          </rPr>
          <t xml:space="preserve">
Fra: 07/02/20
Cobro previsto: febrero
Reenviada Fra: 10/07/20
Abonada Caixa: 17/07/20</t>
        </r>
      </text>
    </comment>
    <comment ref="AR13" authorId="0" shapeId="0" xr:uid="{0A19AC1A-9F29-4807-9D1D-40CE1CE6182E}">
      <text>
        <r>
          <rPr>
            <b/>
            <sz val="9"/>
            <color indexed="81"/>
            <rFont val="Tahoma"/>
            <family val="2"/>
          </rPr>
          <t xml:space="preserve">rosa:
</t>
        </r>
        <r>
          <rPr>
            <sz val="9"/>
            <color indexed="81"/>
            <rFont val="Tahoma"/>
            <family val="2"/>
          </rPr>
          <t>10000 EUR de anualidad Mktint
Fra: 10/02/21
Cobro previsto: febrero
Abonado Caixa: 19/03/21</t>
        </r>
      </text>
    </comment>
    <comment ref="BE13" authorId="0" shapeId="0" xr:uid="{5DFD1386-9AE3-4CDF-83BC-482E6F994057}">
      <text>
        <r>
          <rPr>
            <b/>
            <sz val="9"/>
            <color indexed="81"/>
            <rFont val="Tahoma"/>
            <family val="2"/>
          </rPr>
          <t xml:space="preserve">rosa:
</t>
        </r>
        <r>
          <rPr>
            <sz val="9"/>
            <color indexed="81"/>
            <rFont val="Tahoma"/>
            <family val="2"/>
          </rPr>
          <t>10000 EUR de anualidad Mktint
Fra: 10/02/22
Cobro previsto: febrero
Abonado Caixa: 04/03/22</t>
        </r>
      </text>
    </comment>
    <comment ref="BR13" authorId="0" shapeId="0" xr:uid="{BF159638-4367-4D10-9F7A-9EBA10F5C4EA}">
      <text>
        <r>
          <rPr>
            <sz val="9"/>
            <color indexed="81"/>
            <rFont val="Tahoma"/>
            <family val="2"/>
          </rPr>
          <t xml:space="preserve">
12500 EUR de anualidad Mktint
Fra: 14/02/23
Cobro previsto: febrero
Abonado Caixa: 22/03/23
</t>
        </r>
      </text>
    </comment>
    <comment ref="CD13" authorId="0" shapeId="0" xr:uid="{21EDEC3D-7A89-4FBA-8D7E-5D8BAD8FC5C1}">
      <text>
        <r>
          <rPr>
            <sz val="9"/>
            <color indexed="81"/>
            <rFont val="Tahoma"/>
            <family val="2"/>
          </rPr>
          <t xml:space="preserve">
12000 EUR de anualidad Mktint
Fra: 31/01/24
Cobro previsto: febrero
Abonado Caixa: 28/02/24
</t>
        </r>
      </text>
    </comment>
    <comment ref="CQ13" authorId="0" shapeId="0" xr:uid="{A12AC686-B2F1-4495-930C-79D0FDEBAAA9}">
      <text>
        <r>
          <rPr>
            <sz val="9"/>
            <color indexed="81"/>
            <rFont val="Tahoma"/>
            <family val="2"/>
          </rPr>
          <t xml:space="preserve">
12000 EUR de anualidad Mktint
Fra: 15/01/25
Cobro previsto: febrero
Abonado Caixa: 05/02/25</t>
        </r>
      </text>
    </comment>
    <comment ref="DE13" authorId="0" shapeId="0" xr:uid="{D8FC476E-A6F1-41C2-9A20-897CF5580EB5}">
      <text>
        <r>
          <rPr>
            <sz val="9"/>
            <color indexed="81"/>
            <rFont val="Tahoma"/>
            <family val="2"/>
          </rPr>
          <t xml:space="preserve">
12000 EUR de anualidad Mktint
Fra: 18/02/26
Cobro previsto: marzo
Abonado Caixa: 05/03/26</t>
        </r>
      </text>
    </comment>
    <comment ref="AD14" authorId="0" shapeId="0" xr:uid="{FDB6DB54-65E6-4F7B-BAF0-6F689C5714B7}">
      <text>
        <r>
          <rPr>
            <b/>
            <sz val="9"/>
            <color indexed="81"/>
            <rFont val="Tahoma"/>
            <family val="2"/>
          </rPr>
          <t>rosa:</t>
        </r>
        <r>
          <rPr>
            <sz val="9"/>
            <color indexed="81"/>
            <rFont val="Tahoma"/>
            <family val="2"/>
          </rPr>
          <t xml:space="preserve">
Abonado: 05/02/20</t>
        </r>
      </text>
    </comment>
    <comment ref="AJ14" authorId="1" shapeId="0" xr:uid="{063BD969-809E-4D6D-A874-5A290100C1ED}">
      <text>
        <r>
          <rPr>
            <b/>
            <sz val="8"/>
            <color indexed="81"/>
            <rFont val="Tahoma"/>
            <family val="2"/>
          </rPr>
          <t>Rosa:</t>
        </r>
        <r>
          <rPr>
            <sz val="8"/>
            <color indexed="81"/>
            <rFont val="Tahoma"/>
            <family val="2"/>
          </rPr>
          <t xml:space="preserve">
6000 EUR de anualidad Mktint
Fra del 17/07/20
Cobro previsto: agosto
Abonado Caixa: 28/08/20</t>
        </r>
      </text>
    </comment>
    <comment ref="AQ14" authorId="0" shapeId="0" xr:uid="{4346F347-5104-4751-93A5-CFF3E28E5B8A}">
      <text>
        <r>
          <rPr>
            <b/>
            <sz val="9"/>
            <color indexed="81"/>
            <rFont val="Tahoma"/>
            <family val="2"/>
          </rPr>
          <t xml:space="preserve">rosa:
</t>
        </r>
        <r>
          <rPr>
            <sz val="9"/>
            <color indexed="81"/>
            <rFont val="Tahoma"/>
            <family val="2"/>
          </rPr>
          <t>6000 EUR de anualidad Mktint
Fra 1 de 2
Fra del 11/01/21 
Cobro previsto: enero
Abonado: 08/02/21</t>
        </r>
      </text>
    </comment>
    <comment ref="AY14" authorId="0" shapeId="0" xr:uid="{FF27FA71-8C54-4814-8F14-465DC3BADCA4}">
      <text>
        <r>
          <rPr>
            <b/>
            <sz val="9"/>
            <color indexed="81"/>
            <rFont val="Tahoma"/>
            <family val="2"/>
          </rPr>
          <t xml:space="preserve">rosa:
</t>
        </r>
        <r>
          <rPr>
            <sz val="9"/>
            <color indexed="81"/>
            <rFont val="Tahoma"/>
            <family val="2"/>
          </rPr>
          <t>6000 EUR de anualidad Mktint.
Emitir factura el miercoles 30 con fecha de emisión el 01/07/21 y enviar a Alberto. 
Fra 2 de 2
Fra del 01/07/21. 
Cobro previsto: julio.
Info alberto 21/07: pasar el cobro a Agosto. 
Cobro: 07/09/21.</t>
        </r>
      </text>
    </comment>
    <comment ref="BF14" authorId="0" shapeId="0" xr:uid="{0A5BC5A8-7146-4219-8847-AEECC77DB8E2}">
      <text>
        <r>
          <rPr>
            <b/>
            <sz val="9"/>
            <color indexed="81"/>
            <rFont val="Tahoma"/>
            <family val="2"/>
          </rPr>
          <t xml:space="preserve">
</t>
        </r>
        <r>
          <rPr>
            <sz val="9"/>
            <color indexed="81"/>
            <rFont val="Tahoma"/>
            <family val="2"/>
          </rPr>
          <t>6000 EUR de anualidad Mktint.
Emitir factura la primera semana de enero. 
Fra 1 de 2
Fra del 12/01/2022. 
Cobro previsto: enero.
29/03/22: Debe de llegar el pago esta semana
Reclamado por Alberto el 19/04/22
Abonado Caixa: 21/04/22</t>
        </r>
      </text>
    </comment>
    <comment ref="BJ14" authorId="0" shapeId="0" xr:uid="{67252247-F699-4BF2-B199-F94DB0719881}">
      <text>
        <r>
          <rPr>
            <b/>
            <sz val="9"/>
            <color indexed="81"/>
            <rFont val="Tahoma"/>
            <family val="2"/>
          </rPr>
          <t xml:space="preserve">
</t>
        </r>
        <r>
          <rPr>
            <sz val="9"/>
            <color indexed="81"/>
            <rFont val="Tahoma"/>
            <family val="2"/>
          </rPr>
          <t>6000 EUR de anualidad Mktint.
Preguntar a Alberto si emitimos factura a principios de julio
Fra 2 de 2
Pendiente realizar factura. 
Enviar fra en junio
Fra del 29/06/22
Cobro previsto: Julio  
Cobro en caixa el 22/08/22.</t>
        </r>
      </text>
    </comment>
    <comment ref="BQ14" authorId="0" shapeId="0" xr:uid="{DB99D021-DAD3-4A40-99B3-028A5DAA75BC}">
      <text>
        <r>
          <rPr>
            <b/>
            <sz val="9"/>
            <color indexed="81"/>
            <rFont val="Tahoma"/>
            <family val="2"/>
          </rPr>
          <t xml:space="preserve">
</t>
        </r>
        <r>
          <rPr>
            <sz val="9"/>
            <color indexed="81"/>
            <rFont val="Tahoma"/>
            <family val="2"/>
          </rPr>
          <t xml:space="preserve">6000 EUR de anualidad Mktint.
Emitir Fra 1 de 2
Fra del 19/01/2023. 
Cobro previsto: febrero.
Abonado Caixa: 03/02/23 
</t>
        </r>
      </text>
    </comment>
    <comment ref="BV14" authorId="0" shapeId="0" xr:uid="{322CFA01-DD65-4A15-A325-BF6CB3A6B4D1}">
      <text>
        <r>
          <rPr>
            <b/>
            <sz val="9"/>
            <color indexed="81"/>
            <rFont val="Tahoma"/>
            <family val="2"/>
          </rPr>
          <t xml:space="preserve">
</t>
        </r>
        <r>
          <rPr>
            <sz val="9"/>
            <color indexed="81"/>
            <rFont val="Tahoma"/>
            <family val="2"/>
          </rPr>
          <t>6000€ de anualidad Mktint.
Preguntar a Alberto si emitimos factura a principios de julio
Fra 2 de 2
Pendiente realizar factura. 
Enviar fra el 01/06/23
Fra del 02/06/23
Cobro previsto: junio
Abonado Caixa: 11/07/23</t>
        </r>
      </text>
    </comment>
    <comment ref="CD14" authorId="0" shapeId="0" xr:uid="{306D2291-E51A-488B-91D5-CE36040F83E9}">
      <text>
        <r>
          <rPr>
            <sz val="9"/>
            <color indexed="81"/>
            <rFont val="Tahoma"/>
            <family val="2"/>
          </rPr>
          <t>01/02/24: Confirmado por Alberto que no renuevan</t>
        </r>
      </text>
    </comment>
    <comment ref="X15" authorId="1" shapeId="0" xr:uid="{0D4FC19E-69C9-4A82-9FE0-671EC76C569A}">
      <text>
        <r>
          <rPr>
            <b/>
            <sz val="8"/>
            <color indexed="81"/>
            <rFont val="Tahoma"/>
            <family val="2"/>
          </rPr>
          <t>alfonso:</t>
        </r>
        <r>
          <rPr>
            <sz val="8"/>
            <color indexed="81"/>
            <rFont val="Tahoma"/>
            <family val="2"/>
          </rPr>
          <t xml:space="preserve">
factura de agosto
(Hacen dos pagos por error)</t>
        </r>
      </text>
    </comment>
    <comment ref="AD15" authorId="1" shapeId="0" xr:uid="{0398428C-3A6C-4E30-969D-FA21F70690A0}">
      <text>
        <r>
          <rPr>
            <b/>
            <sz val="8"/>
            <color indexed="81"/>
            <rFont val="Tahoma"/>
            <family val="2"/>
          </rPr>
          <t>devolucion del pago doble de septiembre
Pago realizado el 27/02/20</t>
        </r>
      </text>
    </comment>
    <comment ref="S16" authorId="1" shapeId="0" xr:uid="{053314AA-2C25-4180-BB71-C4D7C39660C3}">
      <text>
        <r>
          <rPr>
            <b/>
            <sz val="9"/>
            <color indexed="81"/>
            <rFont val="Tahoma"/>
            <family val="2"/>
          </rPr>
          <t>alfonso:</t>
        </r>
        <r>
          <rPr>
            <sz val="9"/>
            <color indexed="81"/>
            <rFont val="Tahoma"/>
            <family val="2"/>
          </rPr>
          <t xml:space="preserve">
factura no pasada por Alberto a Sinver. Acordado ponerla en IS 2019 y para IVA declaradas en Enero de 2020. No lleva IVA asi que no debe llevar sanción.</t>
        </r>
      </text>
    </comment>
    <comment ref="AI16" authorId="1" shapeId="0" xr:uid="{91D78658-2E99-4CEA-A948-E15DA9817986}">
      <text>
        <r>
          <rPr>
            <b/>
            <sz val="8"/>
            <color indexed="81"/>
            <rFont val="Tahoma"/>
            <family val="2"/>
          </rPr>
          <t>Rosa:</t>
        </r>
        <r>
          <rPr>
            <sz val="8"/>
            <color indexed="81"/>
            <rFont val="Tahoma"/>
            <family val="2"/>
          </rPr>
          <t xml:space="preserve">
4500 EUR de anualidad Mktint
Fra del 26/06/20
Cobro previsto: julio
Abonado Caixa: 07/07/20</t>
        </r>
      </text>
    </comment>
    <comment ref="BB16" authorId="1" shapeId="0" xr:uid="{E41D3E2E-8675-42D9-9666-31036964CC7B}">
      <text>
        <r>
          <rPr>
            <b/>
            <sz val="8"/>
            <color indexed="81"/>
            <rFont val="Tahoma"/>
            <family val="2"/>
          </rPr>
          <t>Rosa:</t>
        </r>
        <r>
          <rPr>
            <sz val="8"/>
            <color indexed="81"/>
            <rFont val="Tahoma"/>
            <family val="2"/>
          </rPr>
          <t xml:space="preserve">
10000 EUR de anualidad Mktint
Fra del 25/11/21
Cobro previsto: diciembre
Abonado Caixa: 01/12/21</t>
        </r>
      </text>
    </comment>
    <comment ref="BY16" authorId="1" shapeId="0" xr:uid="{77FAB293-5CA3-4F83-B576-42FAFB77D2DE}">
      <text>
        <r>
          <rPr>
            <sz val="8"/>
            <color indexed="81"/>
            <rFont val="Tahoma"/>
            <family val="2"/>
          </rPr>
          <t xml:space="preserve">
11.000 EUR de anualidad Mktint
Periodo 23/24 por valor de 5285 Eur
Periodo 24/25 por valor de 5715 Eur.
Fra del 10/08/23
Cobro previsto: agosto
11/08/23: Modificada dirección solicitada por el cliente
Pagarán a finales de agosto
Reclamado pago12/09/23
Abonado Caixa: 13/09/23</t>
        </r>
      </text>
    </comment>
    <comment ref="CG16" authorId="1" shapeId="0" xr:uid="{2B32F601-76A7-4B29-ABCE-1EE995E422A2}">
      <text>
        <r>
          <rPr>
            <sz val="9"/>
            <color indexed="81"/>
            <rFont val="Tahoma"/>
            <family val="2"/>
          </rPr>
          <t>Esto lo vamos a repercutir a cuatro clientes a partes iguales de 4.200 Eur cada uno (Vertex, Bioagra, Panonnia y Verbio 4.300€) Finalmt Sucden tb
Incluir en febrero
Info Alberto 07/02/24: 
Aditional coverage of Market Intelligence services por 4.200€
Fra del 07/02/24
Cobro previsto: febrero
Abonado Cta Caixa: 
Reclamado el 25/04/24
Abonado Caixa: 03/05/24</t>
        </r>
      </text>
    </comment>
    <comment ref="CS16" authorId="1" shapeId="0" xr:uid="{D0299F23-E97B-4EAF-8EF4-AF8295A0EB6F}">
      <text>
        <r>
          <rPr>
            <sz val="9"/>
            <color indexed="81"/>
            <rFont val="Tahoma"/>
            <family val="2"/>
          </rPr>
          <t xml:space="preserve">Info Alberto 19/03/25: Esto lo vamos a repercutir a cinco clientes a partes iguales de 4.400 Eur cada uno:
Bioagra
Verbio
Vertex
Sucden
Panonnia
Aditional coverage of Market Intelligence services por 4.400€
Fra del 20/03/25
Cobro previsto: abril
Reclamado pago: 25/04/25
Abonado Cta Caixa: 28/04/25
</t>
        </r>
      </text>
    </comment>
    <comment ref="DB16" authorId="1" shapeId="0" xr:uid="{1A915575-B555-43EA-B26E-E77CB980FF6A}">
      <text>
        <r>
          <rPr>
            <sz val="8"/>
            <color indexed="81"/>
            <rFont val="Tahoma"/>
            <family val="2"/>
          </rPr>
          <t>5.500 EUR de anualidad Mktint
Periodo del 01/04/25 a 31/03/26.
Fra del 03/12/25
Cobro previsto: diciembre
Abonado Caixa: 05/12/25</t>
        </r>
      </text>
    </comment>
    <comment ref="DH16" authorId="1" shapeId="0" xr:uid="{011B5F18-58B4-46C7-A375-6057A1A545DE}">
      <text>
        <r>
          <rPr>
            <sz val="9"/>
            <color indexed="81"/>
            <rFont val="Tahoma"/>
            <family val="2"/>
          </rPr>
          <t xml:space="preserve">Info Alberto 09/06/26: Esto lo vamos a repercutir a cinco clientes a partes iguales de 4.400 Eur cada uno:
Bioagra
Verbio
Vertex
Sucden
Panonnia
Aditional coverage of Market Intelligence services por 4.400€
Fra del 10/06/26
Cobro previsto: junio
Abonado Cta Caixa: 
</t>
        </r>
      </text>
    </comment>
    <comment ref="AC17" authorId="0" shapeId="0" xr:uid="{42AE1D61-91BA-4E98-9322-2BF20B2FFFB4}">
      <text>
        <r>
          <rPr>
            <b/>
            <sz val="9"/>
            <color indexed="81"/>
            <rFont val="Tahoma"/>
            <family val="2"/>
          </rPr>
          <t>recepción:</t>
        </r>
        <r>
          <rPr>
            <sz val="9"/>
            <color indexed="81"/>
            <rFont val="Tahoma"/>
            <family val="2"/>
          </rPr>
          <t xml:space="preserve">
12500 eu entran en banco
</t>
        </r>
      </text>
    </comment>
    <comment ref="AN17" authorId="4" shapeId="0" xr:uid="{453D3B61-58A8-4876-9E25-A6995902F2FB}">
      <text>
        <r>
          <rPr>
            <b/>
            <sz val="9"/>
            <color indexed="81"/>
            <rFont val="Tahoma"/>
            <family val="2"/>
          </rPr>
          <t>Alberto Carmona:</t>
        </r>
        <r>
          <rPr>
            <sz val="9"/>
            <color indexed="81"/>
            <rFont val="Tahoma"/>
            <family val="2"/>
          </rPr>
          <t xml:space="preserve">
Me han comunicado baja el 26/11/20</t>
        </r>
      </text>
    </comment>
    <comment ref="AF18" authorId="1" shapeId="0" xr:uid="{9EE04FD9-1219-41F0-BC9B-C1BC9F97451A}">
      <text>
        <r>
          <rPr>
            <b/>
            <sz val="8"/>
            <color indexed="81"/>
            <rFont val="Tahoma"/>
            <family val="2"/>
          </rPr>
          <t>Rosa:</t>
        </r>
        <r>
          <rPr>
            <sz val="8"/>
            <color indexed="81"/>
            <rFont val="Tahoma"/>
            <family val="2"/>
          </rPr>
          <t xml:space="preserve">
12000 E de anualidad Mktint 
Fra: 18/12/2019
Cobro previsto: enero 2020
Abonado Caixa: 15/04/20</t>
        </r>
      </text>
    </comment>
    <comment ref="AU18" authorId="1" shapeId="0" xr:uid="{356BEAA9-8523-4558-AF83-C13040600FF4}">
      <text>
        <r>
          <rPr>
            <b/>
            <sz val="8"/>
            <color indexed="81"/>
            <rFont val="Tahoma"/>
            <family val="2"/>
          </rPr>
          <t xml:space="preserve">Rosa:
</t>
        </r>
        <r>
          <rPr>
            <sz val="8"/>
            <color indexed="81"/>
            <rFont val="Tahoma"/>
            <family val="2"/>
          </rPr>
          <t>Info Alberto 12/11/20:
12000 E de anualidad Mktint 
Emitir fra la primera semana de enero, avisar a Alberto
Fra del 11/01/21
Cobro previsto: enero. 
Cobro: 25/06/21.</t>
        </r>
      </text>
    </comment>
    <comment ref="BE18" authorId="1" shapeId="0" xr:uid="{212A090A-6EEB-44B3-A921-3CEC621260E6}">
      <text>
        <r>
          <rPr>
            <sz val="8"/>
            <color indexed="81"/>
            <rFont val="Tahoma"/>
            <family val="2"/>
          </rPr>
          <t xml:space="preserve">
12000 E de anualidad Mktint 
Fra del 18/01/22
Cobro previsto: febrero
Abonado Caixa: 24/03/22</t>
        </r>
      </text>
    </comment>
    <comment ref="BR18" authorId="1" shapeId="0" xr:uid="{308642DE-0CF2-4F00-A41C-987C67D84796}">
      <text>
        <r>
          <rPr>
            <sz val="8"/>
            <color indexed="81"/>
            <rFont val="Tahoma"/>
            <family val="2"/>
          </rPr>
          <t xml:space="preserve">
12000€ de anualidad Mktint 
Fra del 12/01/23
Cobro previsto: febrero
Abonado Cta VFX €: 07/03/23</t>
        </r>
      </text>
    </comment>
    <comment ref="CD18" authorId="1" shapeId="0" xr:uid="{EF966A52-0FE2-428E-93D2-B352385769D5}">
      <text>
        <r>
          <rPr>
            <sz val="8"/>
            <color indexed="81"/>
            <rFont val="Tahoma"/>
            <family val="2"/>
          </rPr>
          <t xml:space="preserve">
13.200€ de anualidad Mktint 
Fra del 25/01/24
Cobro previsto: febrero
Abonado Cta VFX €: 12/02/24</t>
        </r>
      </text>
    </comment>
    <comment ref="CP18" authorId="1" shapeId="0" xr:uid="{B04D26AA-2D5E-484C-B71D-4BCA0A84B9A3}">
      <text>
        <r>
          <rPr>
            <sz val="8"/>
            <color indexed="81"/>
            <rFont val="Tahoma"/>
            <family val="2"/>
          </rPr>
          <t xml:space="preserve">
13.200€ de anualidad Mktint 
Fra del 08/01/25
Cobro previsto: febrero
23/01/25: Llega copia de transferencia
Abonado Cta VFX €: 24/01/24</t>
        </r>
      </text>
    </comment>
    <comment ref="DC18" authorId="1" shapeId="0" xr:uid="{3A140A7D-8E57-4F78-B75F-3763495F4D5D}">
      <text>
        <r>
          <rPr>
            <sz val="8"/>
            <color indexed="81"/>
            <rFont val="Tahoma"/>
            <family val="2"/>
          </rPr>
          <t>Info Alberto 12/12/25: Realizar Fra en enero
14.000€ de anualidad Mktint 
Fra del 07/01/25
Cobro previsto: febrero
Abonado Caixa: 22/01/26</t>
        </r>
      </text>
    </comment>
    <comment ref="AM19" authorId="0" shapeId="0" xr:uid="{FCABE5F8-7E52-4ECB-B4D0-B8809CA8DD36}">
      <text>
        <r>
          <rPr>
            <b/>
            <sz val="9"/>
            <color indexed="81"/>
            <rFont val="Tahoma"/>
            <family val="2"/>
          </rPr>
          <t>rosa:</t>
        </r>
        <r>
          <rPr>
            <sz val="9"/>
            <color indexed="81"/>
            <rFont val="Tahoma"/>
            <family val="2"/>
          </rPr>
          <t xml:space="preserve">
Anotado en marzo
Fra del 05/10/20
Cobro previsto: octubre
Abonado Caixa: 20/10/20</t>
        </r>
      </text>
    </comment>
    <comment ref="AW19" authorId="1" shapeId="0" xr:uid="{EA981256-94CD-471A-A160-53265F6CF32C}">
      <text>
        <r>
          <rPr>
            <b/>
            <sz val="8"/>
            <color indexed="81"/>
            <rFont val="Tahoma"/>
            <family val="2"/>
          </rPr>
          <t xml:space="preserve">Rosa:
</t>
        </r>
        <r>
          <rPr>
            <sz val="8"/>
            <color indexed="81"/>
            <rFont val="Tahoma"/>
            <family val="2"/>
          </rPr>
          <t xml:space="preserve">Info Alberto 16/03/21:
12500 E de anualidad Mktint 
Fra del 17/03/21
Cobro previsto: Abril
Info de Alberto 19/05/21: Emitir fra de abono y nueva fra por la misma cantidad, con fecha de vencimiento 01 de agosto. 
Fra de abono del 21/05/21
Fra del 21/05/21
Cobro previsto: 01/08/21.
Cobro:27/08/21.
</t>
        </r>
      </text>
    </comment>
    <comment ref="BL19" authorId="4" shapeId="0" xr:uid="{643F9891-0165-4707-875E-18141A07636D}">
      <text>
        <r>
          <rPr>
            <b/>
            <sz val="9"/>
            <color indexed="81"/>
            <rFont val="Tahoma"/>
            <family val="2"/>
          </rPr>
          <t>Rosa:
Info Alberto 10/01/22:</t>
        </r>
        <r>
          <rPr>
            <sz val="9"/>
            <color indexed="81"/>
            <rFont val="Tahoma"/>
            <family val="2"/>
          </rPr>
          <t xml:space="preserve">
11500€: Emitir a principios de febrero segunda anualidad ya que el contrato era por 2 años
Fra del 04/02/22
Fecha prevista: febrero
24/03/22: Info Alberto: Realizarán el pago en agosto
08/09/22: Realizarán el pago la próxima semana
Abonado: 27/09/22.</t>
        </r>
      </text>
    </comment>
    <comment ref="BV19" authorId="4" shapeId="0" xr:uid="{805FC385-1F7B-4FAB-BEE4-6603C2C1B6CF}">
      <text>
        <r>
          <rPr>
            <b/>
            <sz val="9"/>
            <color indexed="81"/>
            <rFont val="Tahoma"/>
            <family val="2"/>
          </rPr>
          <t>Info Alberto 20/01/23:</t>
        </r>
        <r>
          <rPr>
            <sz val="9"/>
            <color indexed="81"/>
            <rFont val="Tahoma"/>
            <family val="2"/>
          </rPr>
          <t xml:space="preserve">
12000€: Emitir a finales de febrero con periodo del 1/03 al 28/02
Fra del 01/03/23
Fecha prevista: Agosto
23/02/23: Preguntado a Alberto si realizarán el pago en agosto como años anteriores
10/07/23: Comunicado por ellos que realizaron el pago la semana pasada, solicitado justificante de transferencia
11/07/23: Enviada copia transferencia realizada hoy mismo
Abonado Caixa: 11/07/23
</t>
        </r>
      </text>
    </comment>
    <comment ref="CJ19" authorId="4" shapeId="0" xr:uid="{81192279-BB56-4347-AE4D-68D3AFB70BCA}">
      <text>
        <r>
          <rPr>
            <sz val="9"/>
            <color indexed="81"/>
            <rFont val="Tahoma"/>
            <family val="2"/>
          </rPr>
          <t xml:space="preserve">12000€ de anualidad Mktint
El contrato es por 2 años
Preguntar a Alberto si podemos realizar fra, Ok Alberto
Fra del 11/03/24
Cobro previsto: agosto
17/07/24: Reclamado pago, RE pagarán en agosto
Abonado Caixa: 15/08/24
</t>
        </r>
      </text>
    </comment>
    <comment ref="CW19" authorId="4" shapeId="0" xr:uid="{101013F2-B59C-49C6-AFC7-192668AB145E}">
      <text>
        <r>
          <rPr>
            <sz val="9"/>
            <color indexed="81"/>
            <rFont val="Tahoma"/>
            <family val="2"/>
          </rPr>
          <t xml:space="preserve">13.200€ de anualidad Mktint
El contrato es por 2 años
Fra del 14/04/25
Cobro previsto: agosto
Abonado Caixa: 25/08/25
</t>
        </r>
      </text>
    </comment>
    <comment ref="DJ19" authorId="4" shapeId="0" xr:uid="{87417951-9060-4B0B-A099-5397D48E2FEC}">
      <text>
        <r>
          <rPr>
            <sz val="9"/>
            <color indexed="81"/>
            <rFont val="Tahoma"/>
            <family val="2"/>
          </rPr>
          <t xml:space="preserve">13.200€ de anualidad Mktint
El contrato es por 2 años
01/03/26: Preguntar a Alberto si emitimos segunda fra, OK emitir
Fra del 15/04/26
Cobro previsto: agosto
Abonado Caixa: 
</t>
        </r>
      </text>
    </comment>
    <comment ref="T20" authorId="1" shapeId="0" xr:uid="{B8591135-4C05-48E8-B75C-6B98CA6C8B33}">
      <text>
        <r>
          <rPr>
            <b/>
            <sz val="8"/>
            <color indexed="81"/>
            <rFont val="Tahoma"/>
            <family val="2"/>
          </rPr>
          <t>alfonso:</t>
        </r>
        <r>
          <rPr>
            <sz val="8"/>
            <color indexed="81"/>
            <rFont val="Tahoma"/>
            <family val="2"/>
          </rPr>
          <t xml:space="preserve">
factura de abril por 8000 USD</t>
        </r>
      </text>
    </comment>
    <comment ref="AI20" authorId="1" shapeId="0" xr:uid="{D6D79665-F254-46E9-BA48-493591CFA819}">
      <text>
        <r>
          <rPr>
            <b/>
            <sz val="8"/>
            <color indexed="81"/>
            <rFont val="Tahoma"/>
            <family val="2"/>
          </rPr>
          <t>Rosa:</t>
        </r>
        <r>
          <rPr>
            <sz val="8"/>
            <color indexed="81"/>
            <rFont val="Tahoma"/>
            <family val="2"/>
          </rPr>
          <t xml:space="preserve">
4000 USD de anualidad Mktint 
Fra: 26/05/20
Cobro previsto: Junio Cta Ebury
Info Alberto 17/07/20: Este cobro debe de entrar en cuenta el 3-4/08/20
Abonado Ebury: 24/07/20</t>
        </r>
      </text>
    </comment>
    <comment ref="AT20" authorId="3" shapeId="0" xr:uid="{CE186465-F575-43C0-A4D0-31F8025B7C4E}">
      <text>
        <r>
          <rPr>
            <sz val="9"/>
            <color indexed="81"/>
            <rFont val="Tahoma"/>
            <family val="2"/>
          </rPr>
          <t>5000 USD de anualidad Mktint 
Fra: 22/04/21
Cobro previsto: Mayo.
Cobro: abonado en caixa Nixal USD el 07/05/21.</t>
        </r>
      </text>
    </comment>
    <comment ref="BH20" authorId="3" shapeId="0" xr:uid="{CF2FD68C-8EF9-4FAF-8158-907A32F5F1AF}">
      <text>
        <r>
          <rPr>
            <sz val="9"/>
            <color indexed="81"/>
            <rFont val="Tahoma"/>
            <family val="2"/>
          </rPr>
          <t>Info Alberto 10/05/22:
6000 USD de anualidad Mktint. * 2 años (el contrato es por 2 años)
Fra del 11/05/22.
Cobro previsto: junio
Abonado Cta VFX en USD: 06/06/22
Tc: 1,0726</t>
        </r>
      </text>
    </comment>
    <comment ref="BS20" authorId="3" shapeId="0" xr:uid="{C2BD871C-D2DB-4A7C-9830-1D6D3A1ED177}">
      <text>
        <r>
          <rPr>
            <sz val="9"/>
            <color indexed="81"/>
            <rFont val="Tahoma"/>
            <family val="2"/>
          </rPr>
          <t xml:space="preserve">Info Alberto 10/05/22:
6000 USD de anualidad Mktint. * 2 años (el contrato es por 2 años)
OK Alberto emitir ya fra
Fra del 15/03/23
Cobro previsto: Abril
Abonado Cta VFX en USD: 05/04/23
Tc: 1,0940
</t>
        </r>
      </text>
    </comment>
    <comment ref="CF20" authorId="3" shapeId="0" xr:uid="{3C0F0DF4-EF2A-4411-991C-EE8DDA929704}">
      <text>
        <r>
          <rPr>
            <sz val="9"/>
            <color indexed="81"/>
            <rFont val="Tahoma"/>
            <family val="2"/>
          </rPr>
          <t>Info Alberto 20/04/24:
8.000 USD de anualidad Mktint. 
Fra del 22/04/24
Cobro previsto: Mayo
Abonado Cta VFX USD: 25/04/24
Tc: 1,072</t>
        </r>
      </text>
    </comment>
    <comment ref="CS20" authorId="3" shapeId="0" xr:uid="{79725742-3D12-4AFB-812C-E522B2919E18}">
      <text>
        <r>
          <rPr>
            <sz val="9"/>
            <color indexed="81"/>
            <rFont val="Tahoma"/>
            <family val="2"/>
          </rPr>
          <t>Info Alberto 19/03/25:
8.500 USD de anualidad Mktint. 
Ok Alberto realizar fra el 01/04/25
Fra del 02/04/25
Cobro previsto: abril
Abonado Cta VFX USD: 28/04/25
Tc: 1,1358</t>
        </r>
      </text>
    </comment>
    <comment ref="AL21" authorId="1" shapeId="0" xr:uid="{62EF59F4-EBBC-475E-B3F6-E50B001EBDD5}">
      <text>
        <r>
          <rPr>
            <b/>
            <sz val="8"/>
            <color indexed="81"/>
            <rFont val="Tahoma"/>
            <family val="2"/>
          </rPr>
          <t>Rosa:</t>
        </r>
        <r>
          <rPr>
            <sz val="8"/>
            <color indexed="81"/>
            <rFont val="Tahoma"/>
            <family val="2"/>
          </rPr>
          <t xml:space="preserve">
22000 EUR de anualidad Mktint
Fra del 30/03/20
Cobro previsto: abril
Reenviada a Alberto: 10/07/20
Fra de abono: 06/08/20
Fra del 06/08/20
Abonado Caixa: 07/09/20</t>
        </r>
      </text>
    </comment>
    <comment ref="AV21" authorId="3" shapeId="0" xr:uid="{17E7AA75-FD6B-46F4-83AC-5CB41A2AD101}">
      <text>
        <r>
          <rPr>
            <sz val="9"/>
            <color indexed="81"/>
            <rFont val="Tahoma"/>
            <family val="2"/>
          </rPr>
          <t>22000 USD de anualidad Mktint.
Info de Alberto 20/04/21: Emitir factura el 15 de mayo. Ya esta creada y guardada como 2021-RAI-001 errónea
Fra del 15/05/21.
Fra del 24/06/21 de abono. 
Fra del 24/06/21 (mismas condiciones). 
Cobro previsto: julio.
Cobro: en VFX el 23/07/21.</t>
        </r>
      </text>
    </comment>
    <comment ref="BF21" authorId="3" shapeId="0" xr:uid="{9E162332-080B-4860-96CA-2126460BADAC}">
      <text>
        <r>
          <rPr>
            <sz val="9"/>
            <color indexed="81"/>
            <rFont val="Tahoma"/>
            <family val="2"/>
          </rPr>
          <t>22000 USD de anualidad Mktint.
Fra del 11/03/22.
Cobro previsto: abril.
Cobro en VFX el 20/04/22.
Tc: 1,083</t>
        </r>
      </text>
    </comment>
    <comment ref="BR21" authorId="3" shapeId="0" xr:uid="{123E82C5-952C-46D8-89BD-254C5055EB71}">
      <text>
        <r>
          <rPr>
            <sz val="9"/>
            <color indexed="81"/>
            <rFont val="Tahoma"/>
            <family val="2"/>
          </rPr>
          <t>22000 USD de anualidad Mktint.
Fra del 15/03/23.
Cobro previsto: abril.
Abonado Cta VFX en USD: 31/03/23
Tc: 1,0875</t>
        </r>
      </text>
    </comment>
    <comment ref="CH21" authorId="3" shapeId="0" xr:uid="{25602BA7-1D08-4FFD-81F8-8367FE72C43E}">
      <text>
        <r>
          <rPr>
            <sz val="9"/>
            <color indexed="81"/>
            <rFont val="Tahoma"/>
            <family val="2"/>
          </rPr>
          <t>22000 USD de anualidad Mktint.
Info Alberto 20/02/24: Facturar a partir de 1 abril y enviar la factura directamente 
Fra del 02/04/24
21/05/24: Enviada fra de abono y nueva fra con datos modificados
Cobro previsto: abril
Abonado VFX USD: 03/06/24
Tc: 1,0842</t>
        </r>
      </text>
    </comment>
    <comment ref="CV21" authorId="3" shapeId="0" xr:uid="{E9EC1289-5BB9-4779-86D7-47706B50168F}">
      <text>
        <r>
          <rPr>
            <sz val="9"/>
            <color indexed="81"/>
            <rFont val="Tahoma"/>
            <family val="2"/>
          </rPr>
          <t>Info Alberto 08/04/25: 
16500 USD de anualidad Mktint.
Fra del 08/04/25
Cobro previsto: mayo
Reclamado pago: 15/05/25
Abonado Cta VFX USD: 07/07/25
Tc: 1,1728</t>
        </r>
      </text>
    </comment>
    <comment ref="AM22" authorId="1" shapeId="0" xr:uid="{974FF7F8-DE90-4E0D-BDD7-8ADCE7D1AC1E}">
      <text>
        <r>
          <rPr>
            <b/>
            <sz val="8"/>
            <color indexed="81"/>
            <rFont val="Tahoma"/>
            <family val="2"/>
          </rPr>
          <t>Rosa:</t>
        </r>
        <r>
          <rPr>
            <sz val="8"/>
            <color indexed="81"/>
            <rFont val="Tahoma"/>
            <family val="2"/>
          </rPr>
          <t xml:space="preserve">
15000 E de anualidad Mktint 
Fra: 23/03/20 Incluida en sistema de Repsol el 25/05/20
Cobro previsto: mayo
Abonado Caixa: 15/10/20</t>
        </r>
      </text>
    </comment>
    <comment ref="AT22" authorId="1" shapeId="0" xr:uid="{67CEA4AE-05F6-4792-8A52-819934E628DD}">
      <text>
        <r>
          <rPr>
            <b/>
            <sz val="8"/>
            <color indexed="81"/>
            <rFont val="Tahoma"/>
            <family val="2"/>
          </rPr>
          <t>Rosa:</t>
        </r>
        <r>
          <rPr>
            <sz val="8"/>
            <color indexed="81"/>
            <rFont val="Tahoma"/>
            <family val="2"/>
          </rPr>
          <t xml:space="preserve">
15000 E de anualidad Mktint 
Fra: 03/03/21
Cobro previsto: marzo.
Cobro: Abonado el 27/05/21 en Caixa Nixal. </t>
        </r>
      </text>
    </comment>
    <comment ref="BD22" authorId="1" shapeId="0" xr:uid="{FF0CE8B5-BD3F-4B7B-9033-9CD9BC1A073F}">
      <text>
        <r>
          <rPr>
            <sz val="8"/>
            <color indexed="81"/>
            <rFont val="Tahoma"/>
            <family val="2"/>
          </rPr>
          <t>3750€+IVA= 4537,50€
Factura 2 de 2 por el 25% de 15.000 Euros, correspondientes al trabajo “Biocombustibles en Brasil: situación actual, evolución futura y posibilidades de negocio.
Fra del 14/12/21
Cobro previsto: enero.
24/02/22: Reclamado por Alberto
Abonado Caixa: 25/02/22</t>
        </r>
      </text>
    </comment>
    <comment ref="BH22" authorId="1" shapeId="0" xr:uid="{8077FED6-6AA7-46ED-BAA1-571D60C95E8A}">
      <text>
        <r>
          <rPr>
            <b/>
            <sz val="8"/>
            <color indexed="81"/>
            <rFont val="Tahoma"/>
            <family val="2"/>
          </rPr>
          <t>Rosa:</t>
        </r>
        <r>
          <rPr>
            <sz val="8"/>
            <color indexed="81"/>
            <rFont val="Tahoma"/>
            <family val="2"/>
          </rPr>
          <t xml:space="preserve">
15000 E de anualidad Mktint 
Fra: 07/04/22
Cobro previsto: mayo
Abonado Caixa: 04/06/22</t>
        </r>
      </text>
    </comment>
    <comment ref="BS22" authorId="1" shapeId="0" xr:uid="{52013878-DD9D-46A1-B419-BD09C934AA6D}">
      <text>
        <r>
          <rPr>
            <b/>
            <sz val="8"/>
            <color indexed="81"/>
            <rFont val="Tahoma"/>
            <family val="2"/>
          </rPr>
          <t>Info Alberto 14/02/23:</t>
        </r>
        <r>
          <rPr>
            <sz val="8"/>
            <color indexed="81"/>
            <rFont val="Tahoma"/>
            <family val="2"/>
          </rPr>
          <t xml:space="preserve">
16500 E de anualidad Mktint 
Fra del 22/02/23
Cobro previsto: Marzo
Abonado Caixa: 21/04/23</t>
        </r>
      </text>
    </comment>
    <comment ref="CG22" authorId="1" shapeId="0" xr:uid="{AD422741-9EC8-4472-8768-C89642BE54E1}">
      <text>
        <r>
          <rPr>
            <b/>
            <sz val="8"/>
            <color indexed="81"/>
            <rFont val="Tahoma"/>
            <family val="2"/>
          </rPr>
          <t>Info Alberto 14/03/24:</t>
        </r>
        <r>
          <rPr>
            <sz val="8"/>
            <color indexed="81"/>
            <rFont val="Tahoma"/>
            <family val="2"/>
          </rPr>
          <t xml:space="preserve">
16900 E de anualidad Mktint 
Fra del 19/03/24
Cobro previsto: Mayo
Abonado Caixa: 17/05/24</t>
        </r>
      </text>
    </comment>
    <comment ref="AG23" authorId="1" shapeId="0" xr:uid="{65D52BD2-E699-46A2-8410-5D0F1F89FBB3}">
      <text>
        <r>
          <rPr>
            <b/>
            <sz val="8"/>
            <color indexed="81"/>
            <rFont val="Tahoma"/>
            <family val="2"/>
          </rPr>
          <t>Rosa:</t>
        </r>
        <r>
          <rPr>
            <sz val="8"/>
            <color indexed="81"/>
            <rFont val="Tahoma"/>
            <family val="2"/>
          </rPr>
          <t xml:space="preserve">
9000 USD de anualidad Mktint 
Fra: 11/05/20
Cobro previsto: Mayo
Recibido Cta Ebury: 15/05/20</t>
        </r>
      </text>
    </comment>
    <comment ref="BI24" authorId="3" shapeId="0" xr:uid="{F1386D67-FFF6-44CC-807A-6D25BBDC8215}">
      <text>
        <r>
          <rPr>
            <sz val="9"/>
            <color indexed="81"/>
            <rFont val="Tahoma"/>
            <family val="2"/>
          </rPr>
          <t>Info Alberto 20/04/22:
30000 USD de anualidad Mktint. * 2 años (el contrato es por 2 años)
15000 USD: Fra 1 de 2
Fra del 21/04/22.
Cobro previsto: mayo
Abonado Cta VFX en USD el 14/07/22
Tc: 1,0005</t>
        </r>
      </text>
    </comment>
    <comment ref="BM24" authorId="3" shapeId="0" xr:uid="{2F8800FB-5D00-4DEA-98CE-3D14765B5D62}">
      <text>
        <r>
          <rPr>
            <sz val="9"/>
            <color indexed="81"/>
            <rFont val="Tahoma"/>
            <family val="2"/>
          </rPr>
          <t>Info Alberto 20/04/22:
30000 USD de anualidad Mktint. * 2 años  (el contrato es por 2 años)
15000 USD: Fra 2 de 2
Emitir fra en octubre, preguntar a Alberto
Enviar ya
Fra del 14/09/22
Cobro previsto: Octubre
Abonado Cta VFX en USD el 27/10/22
Tc: 1,0037</t>
        </r>
      </text>
    </comment>
    <comment ref="BS24" authorId="3" shapeId="0" xr:uid="{A6DBE909-9399-48A0-9AC0-110D50540E98}">
      <text>
        <r>
          <rPr>
            <sz val="9"/>
            <color indexed="81"/>
            <rFont val="Tahoma"/>
            <family val="2"/>
          </rPr>
          <t>Info Alberto 20/04/22:
30000 USD de anualidad Mktint. * 2 años  (el contrato es por 2 años)
15000 USD: Fra 1 de 2
Fra del 16/03/23.
Cobro previsto: mayo
Abonado VFX USD: 21/04/23
Tc: 1,0978</t>
        </r>
      </text>
    </comment>
    <comment ref="CA24" authorId="3" shapeId="0" xr:uid="{6FFEFFC9-3093-485A-A7E4-FA6CD3BCDD15}">
      <text>
        <r>
          <rPr>
            <sz val="9"/>
            <color indexed="81"/>
            <rFont val="Tahoma"/>
            <family val="2"/>
          </rPr>
          <t>Info Alberto 20/04/22:
30000 USD de anualidad Mktint. * 2 años  (el contrato es por 2 años)
15000 USD: Fra 2 de 2
Emitir fra en octubre, preguntar a Alberto
Fra del 26/09/23
Cobro previsto: Octubre
Abonado VFX USD: 06/11/23
Tc: 1,0741</t>
        </r>
      </text>
    </comment>
    <comment ref="CH24" authorId="3" shapeId="0" xr:uid="{FD34F3BE-19E8-4CA8-94B3-375BF61FCCAF}">
      <text>
        <r>
          <rPr>
            <sz val="9"/>
            <color indexed="81"/>
            <rFont val="Tahoma"/>
            <family val="2"/>
          </rPr>
          <t xml:space="preserve">Info Alberto 12/06/24:
24.500 USD de anualidad Mktint. * 2 años  (el contrato es por 2 años)= 49.000 USD total
24.500 USD: Fra del 12/06/24
Cobro previsto: julio
Abonado Cta VFX USD: 18/06/24 por importe de 24.438 USD
Llegan 62 USD menos
Tc: 1,0715
07/08/24: OK Alberto, asumimos el coste
</t>
        </r>
      </text>
    </comment>
    <comment ref="CT24" authorId="3" shapeId="0" xr:uid="{B2FFB88E-EBE4-44AA-AA99-354CD88B990E}">
      <text>
        <r>
          <rPr>
            <sz val="9"/>
            <color indexed="81"/>
            <rFont val="Tahoma"/>
            <family val="2"/>
          </rPr>
          <t>Info Alberto 12/06/24:
24.500 USD de anualidad Mktint. * 2 años  (el contrato es por 2 años)= 49.000 USD total
Info Alberto 09/05/25: Facturar el total de RAA y SBA a Amerra Amambai
24.500+17.500= 42.000 USD SBA: Anualidad Mktint. * 2 años  (el contrato es por 2 años)= 35.000 USD total
42.000 USD: Fra del 08/05/25
Cobro previsto: junio
41.944 USD: Abonado Cta VFX en USD el 28/05/25. Llegan 56 USD menos
Tc: 1,1317</t>
        </r>
      </text>
    </comment>
    <comment ref="BI25" authorId="3" shapeId="0" xr:uid="{3E634892-B171-4430-9980-FB3784228A10}">
      <text>
        <r>
          <rPr>
            <sz val="9"/>
            <color indexed="81"/>
            <rFont val="Tahoma"/>
            <family val="2"/>
          </rPr>
          <t>Info Alberto 20/04/22:
10000 USD de anualidad Mktint.
5000 USD: Fra 1 de 2
Fra del 21/04/22.
Cobro previsto: mayo
Abonado Cta VFX en USD el 01/07/22
Tc: 1,0425</t>
        </r>
      </text>
    </comment>
    <comment ref="BM25" authorId="3" shapeId="0" xr:uid="{88B793EA-FA89-4500-B8CA-CFC797674CB6}">
      <text>
        <r>
          <rPr>
            <sz val="9"/>
            <color indexed="81"/>
            <rFont val="Tahoma"/>
            <family val="2"/>
          </rPr>
          <t>Info Alberto 20/04/22:
10000 USD de anualidad Mktint.
5000 USD: Fra 2 de 2
Emitir fra en octubre, preguntar a Alberto
Enviar ya
Fra del 14/09/22
Cobro previsto: Octubre
Abonado Cta VFX en USD el 06/10/22
Tc: 0,9860</t>
        </r>
      </text>
    </comment>
    <comment ref="BU25" authorId="3" shapeId="0" xr:uid="{06BEE610-8253-49EF-9B32-B4DD51114897}">
      <text>
        <r>
          <rPr>
            <sz val="9"/>
            <color indexed="81"/>
            <rFont val="Tahoma"/>
            <family val="2"/>
          </rPr>
          <t>Info Alberto 20/04/22:
10000 USD de anualidad Mktint.
5000 USD: Fra 1 de 2
Fra del 16/03/23.
Cobro previsto: mayo
Abonado Cta VFX USD: 27/06/23
Tc: 1,0951</t>
        </r>
      </text>
    </comment>
    <comment ref="BZ25" authorId="3" shapeId="0" xr:uid="{6179F55D-BCE4-48CC-BF45-B4915B1704D2}">
      <text>
        <r>
          <rPr>
            <sz val="9"/>
            <color indexed="81"/>
            <rFont val="Tahoma"/>
            <family val="2"/>
          </rPr>
          <t>Info Alberto 20/04/22:
10000 USD de anualidad Mktint. * 2 años  (el contrato es por 2 años)
5000 USD: Fra 2 de 2
Emitir fra en octubre, preguntar a Alberto
Fra del 26/09/23
Cobro previsto: Octubre
Abonado Cta VFX USD: 02/10/23 por importe de 4.985 USD
Llegan 15 USD menos
Tc: 1,053
15 USD: Abonado VFX USD: 16/10/23
Tc: 1,0538</t>
        </r>
      </text>
    </comment>
    <comment ref="CH25" authorId="3" shapeId="0" xr:uid="{4B38987C-407C-425D-969B-AE946C35AB81}">
      <text>
        <r>
          <rPr>
            <sz val="9"/>
            <color indexed="81"/>
            <rFont val="Tahoma"/>
            <family val="2"/>
          </rPr>
          <t>Info Alberto 12/06/24:
17.500 USD de anualidad Mktint. * 2 años  (el contrato es por 2 años)= 35.000 USD total
17.500 USD: Fra del 12/06/24
Cobro previsto: julio
Abonado Cta VFX USD: 28/06/24</t>
        </r>
      </text>
    </comment>
    <comment ref="AG26" authorId="1" shapeId="0" xr:uid="{B086B33B-B23A-4B8A-8265-57FAB8502C05}">
      <text>
        <r>
          <rPr>
            <b/>
            <sz val="8"/>
            <color indexed="81"/>
            <rFont val="Tahoma"/>
            <family val="2"/>
          </rPr>
          <t>Rosa:</t>
        </r>
        <r>
          <rPr>
            <sz val="8"/>
            <color indexed="81"/>
            <rFont val="Tahoma"/>
            <family val="2"/>
          </rPr>
          <t xml:space="preserve">
12500 E de anualidad Mktint 
Fra: 24/04/20
Cobro previsto: mayo
Abonado: 14/05/20</t>
        </r>
      </text>
    </comment>
    <comment ref="AW26" authorId="3" shapeId="0" xr:uid="{73E48BE9-2AF3-476E-AEE9-4406DCFC898F}">
      <text>
        <r>
          <rPr>
            <sz val="9"/>
            <color indexed="81"/>
            <rFont val="Tahoma"/>
            <family val="2"/>
          </rPr>
          <t xml:space="preserve">Eliminamos 12.500 de pevision de Varo. Mail de Alberto del 19/08/21 donde nos indica que no van a renovar contrato. </t>
        </r>
      </text>
    </comment>
    <comment ref="CM26" authorId="1" shapeId="0" xr:uid="{CD468609-07FC-438F-B8A0-F27D3A387535}">
      <text>
        <r>
          <rPr>
            <b/>
            <sz val="8"/>
            <color indexed="81"/>
            <rFont val="Tahoma"/>
            <family val="2"/>
          </rPr>
          <t>Info Alberto 06/08/24:</t>
        </r>
        <r>
          <rPr>
            <sz val="8"/>
            <color indexed="81"/>
            <rFont val="Tahoma"/>
            <family val="2"/>
          </rPr>
          <t xml:space="preserve">
15.000 E de anualidad Mktint del 01/08 al 31/07/25 por 2 años
Realizar Fra cuando confirmen datos: 
04/09/24: Reclamado VAT
Fra del 19/09/24
Cobro previsto: octubre
23/09/24: Llega email transferencia en proceso
Cargado Caixa: 04/10/24</t>
        </r>
      </text>
    </comment>
    <comment ref="DB26" authorId="1" shapeId="0" xr:uid="{4E02B63F-D93C-43D6-A18D-9822D1C041D1}">
      <text>
        <r>
          <rPr>
            <b/>
            <sz val="8"/>
            <color indexed="81"/>
            <rFont val="Tahoma"/>
            <family val="2"/>
          </rPr>
          <t>Info Alberto 06/08/24:</t>
        </r>
        <r>
          <rPr>
            <sz val="8"/>
            <color indexed="81"/>
            <rFont val="Tahoma"/>
            <family val="2"/>
          </rPr>
          <t xml:space="preserve">
15.000 E de anualidad Mktint del 01/08 al 31/07/25 por 2 años
Preguntar a Alberto si realizamos Fra 
Fra del 14/08/25
Cobro previsto: Septiembre
Reclamado pago: 17/10/25
Reclamado pago: 02/12/25
Abonado Caixa: 15/12/25</t>
        </r>
      </text>
    </comment>
    <comment ref="AG27" authorId="1" shapeId="0" xr:uid="{978EC20B-276C-463E-B159-93BB9239B572}">
      <text>
        <r>
          <rPr>
            <b/>
            <sz val="8"/>
            <color indexed="81"/>
            <rFont val="Tahoma"/>
            <family val="2"/>
          </rPr>
          <t>alfonso:</t>
        </r>
        <r>
          <rPr>
            <sz val="8"/>
            <color indexed="81"/>
            <rFont val="Tahoma"/>
            <family val="2"/>
          </rPr>
          <t xml:space="preserve">
factura de un año de servicio de contrato firmado por dos años
Fra: 11/11/19
Cobro previsto: diciembre
Realizamos fra de abono para compensar fra de 2019 y emitimos nueva fra con fecha: 22/04/20
Cobro previsto: mayo
Abonado Caixa: 22/05/20</t>
        </r>
      </text>
    </comment>
    <comment ref="AN27" authorId="0" shapeId="0" xr:uid="{C95854A4-E323-4D0B-836C-943AF53B1A7E}">
      <text>
        <r>
          <rPr>
            <b/>
            <sz val="9"/>
            <color indexed="81"/>
            <rFont val="Tahoma"/>
            <family val="2"/>
          </rPr>
          <t>Rosa:</t>
        </r>
        <r>
          <rPr>
            <sz val="9"/>
            <color indexed="81"/>
            <rFont val="Tahoma"/>
            <family val="2"/>
          </rPr>
          <t xml:space="preserve">
factura de un año de servicio de contrato firmado por dos años en 2019
Fra: 10/11/20
Cobro previsto: noviembre
Abonado Caixa: 24/11/20 
</t>
        </r>
      </text>
    </comment>
    <comment ref="BA27" authorId="3" shapeId="0" xr:uid="{C70516AB-352E-4306-8915-DA5279E5693D}">
      <text>
        <r>
          <rPr>
            <b/>
            <sz val="9"/>
            <color indexed="81"/>
            <rFont val="Tahoma"/>
            <family val="2"/>
          </rPr>
          <t xml:space="preserve">Info Alberto 21/09/21:
Fecha del contrato: 05/10/21. 
</t>
        </r>
        <r>
          <rPr>
            <sz val="9"/>
            <color indexed="81"/>
            <rFont val="Tahoma"/>
            <family val="2"/>
          </rPr>
          <t>factura de un año de servicio de contrato firmado por tres años
Factura del 05/10/21
Cobro fra: Octubre 2021.
Abonado Caixa: 25/11/21</t>
        </r>
      </text>
    </comment>
    <comment ref="BN27" authorId="3" shapeId="0" xr:uid="{4B6BB031-F8D1-4BCE-8128-6C990F343783}">
      <text>
        <r>
          <rPr>
            <b/>
            <sz val="9"/>
            <color indexed="81"/>
            <rFont val="Tahoma"/>
            <family val="2"/>
          </rPr>
          <t xml:space="preserve">Info Alberto 21/09/21:
Fecha del contrato: 01/10/21. 
</t>
        </r>
        <r>
          <rPr>
            <sz val="9"/>
            <color indexed="81"/>
            <rFont val="Tahoma"/>
            <family val="2"/>
          </rPr>
          <t>factura de un año de servicio de contrato firmado por tres años
Enviar 01/10/22
Fra del 04/10/2022
Cobro previsto: Octubre
Cobro: 24/11/22.</t>
        </r>
      </text>
    </comment>
    <comment ref="CA27" authorId="3" shapeId="0" xr:uid="{4C965EBB-B443-4875-A86A-7884E2FE8714}">
      <text>
        <r>
          <rPr>
            <b/>
            <sz val="9"/>
            <color indexed="81"/>
            <rFont val="Tahoma"/>
            <family val="2"/>
          </rPr>
          <t xml:space="preserve">Info Alberto 21/09/21:
Fecha del contrato: 01/10/21. 
</t>
        </r>
        <r>
          <rPr>
            <sz val="9"/>
            <color indexed="81"/>
            <rFont val="Tahoma"/>
            <family val="2"/>
          </rPr>
          <t>factura de un año de servicio de contrato firmado por tres años
¿Enviamos fra 01/10/23?
Ok Alberto: Enviar ya
Fra del 26/09/23
Cobro previsto: Octubre
24/10/23: Enviada fra con nuevo VAT y de abono
Cobro previsto: Noviembre
Abonado Caixa: 10/11/23</t>
        </r>
      </text>
    </comment>
    <comment ref="CQ27" authorId="3" shapeId="0" xr:uid="{A510EEE0-980D-43BE-BCE3-40F49C0DF02D}">
      <text>
        <r>
          <rPr>
            <b/>
            <sz val="9"/>
            <color indexed="81"/>
            <rFont val="Tahoma"/>
            <family val="2"/>
          </rPr>
          <t xml:space="preserve">Info Alberto 04/02/25:
</t>
        </r>
        <r>
          <rPr>
            <sz val="9"/>
            <color indexed="81"/>
            <rFont val="Tahoma"/>
            <family val="2"/>
          </rPr>
          <t>Factura de un año de servicio de contrato firmado por tres años
Fra del 04/02/25
Cobro previsto: Febrero
Abonado Caixa: 18/02/25</t>
        </r>
      </text>
    </comment>
    <comment ref="DB27" authorId="3" shapeId="0" xr:uid="{D921D115-3CD4-4F2F-8E9C-A1AC6038EFF7}">
      <text>
        <r>
          <rPr>
            <b/>
            <sz val="9"/>
            <color indexed="81"/>
            <rFont val="Tahoma"/>
            <family val="2"/>
          </rPr>
          <t xml:space="preserve">Info Alberto 04/02/25:
</t>
        </r>
        <r>
          <rPr>
            <sz val="9"/>
            <color indexed="81"/>
            <rFont val="Tahoma"/>
            <family val="2"/>
          </rPr>
          <t>Factura de un año de servicio de contrato firmado por tres años
OK ALB enviar fra el 01/10/25
Fra del 02/10/25
Cobro previsto: Octubre
Reclamado pago: 02/12/25
Abonado Caixa: 04/12/25</t>
        </r>
      </text>
    </comment>
    <comment ref="DM27" authorId="3" shapeId="0" xr:uid="{D5A658B9-2B2D-47C6-A566-B8A26B550F26}">
      <text>
        <r>
          <rPr>
            <b/>
            <sz val="9"/>
            <color indexed="81"/>
            <rFont val="Tahoma"/>
            <family val="2"/>
          </rPr>
          <t xml:space="preserve">Info Alberto 04/02/25:
</t>
        </r>
        <r>
          <rPr>
            <sz val="9"/>
            <color indexed="81"/>
            <rFont val="Tahoma"/>
            <family val="2"/>
          </rPr>
          <t xml:space="preserve">Factura de un año de servicio de contrato firmado por tres años
¿Enviamos fra 01/10/26?
</t>
        </r>
      </text>
    </comment>
    <comment ref="V28" authorId="1" shapeId="0" xr:uid="{56909A63-8633-415E-AA98-93C3E4E796BF}">
      <text>
        <r>
          <rPr>
            <b/>
            <sz val="9"/>
            <color indexed="81"/>
            <rFont val="Tahoma"/>
            <family val="2"/>
          </rPr>
          <t>alfonso:</t>
        </r>
        <r>
          <rPr>
            <sz val="9"/>
            <color indexed="81"/>
            <rFont val="Tahoma"/>
            <family val="2"/>
          </rPr>
          <t xml:space="preserve">
factura no pasada por Alberto a Sinver. Acordado ponerla en IS 2019 para a Iva declaradas en Enero de 2020. No lleva IVA asi que no debe llevar sanción</t>
        </r>
      </text>
    </comment>
    <comment ref="AJ28" authorId="1" shapeId="0" xr:uid="{E117152B-6E25-4D21-858E-DA70ED6B7DCD}">
      <text>
        <r>
          <rPr>
            <b/>
            <sz val="8"/>
            <color indexed="81"/>
            <rFont val="Tahoma"/>
            <family val="2"/>
          </rPr>
          <t>Rosa:</t>
        </r>
        <r>
          <rPr>
            <sz val="8"/>
            <color indexed="81"/>
            <rFont val="Tahoma"/>
            <family val="2"/>
          </rPr>
          <t xml:space="preserve">
12500 E de anualidad Mktint 
Fra: 06/07/20
Cobro previsto: julio
Abonado Caixa: 03/08/20</t>
        </r>
      </text>
    </comment>
    <comment ref="AV28" authorId="3" shapeId="0" xr:uid="{2D63A6D3-57F0-4518-A00C-51C965D76D1C}">
      <text>
        <r>
          <rPr>
            <sz val="9"/>
            <color indexed="81"/>
            <rFont val="Tahoma"/>
            <family val="2"/>
          </rPr>
          <t>Info alberto 07/05/21: Emitir fatura el día 01/06/21 con renovación. 
Fra del 01/06/21
Cobro previsto: Junio. 
Abonado: 01/07/21</t>
        </r>
      </text>
    </comment>
    <comment ref="BL28" authorId="1" shapeId="0" xr:uid="{7372DED6-F208-4076-9E00-E1E3DADC28CD}">
      <text>
        <r>
          <rPr>
            <b/>
            <sz val="8"/>
            <color indexed="81"/>
            <rFont val="Tahoma"/>
            <family val="2"/>
          </rPr>
          <t>Rosa:</t>
        </r>
        <r>
          <rPr>
            <sz val="8"/>
            <color indexed="81"/>
            <rFont val="Tahoma"/>
            <family val="2"/>
          </rPr>
          <t xml:space="preserve">
12500 E de anualidad Mktint 
Fra: 03/06/22
Cobro previsto: Junio
Abonado Caixa: 20/09/22</t>
        </r>
      </text>
    </comment>
    <comment ref="BW28" authorId="1" shapeId="0" xr:uid="{1E5159A1-5802-48FC-82B3-9A226B992CC6}">
      <text>
        <r>
          <rPr>
            <sz val="8"/>
            <color indexed="81"/>
            <rFont val="Tahoma"/>
            <family val="2"/>
          </rPr>
          <t xml:space="preserve">
14000 E de anualidad Mktint 
Fra: 27/06/23
Cobro previsto: Julio
14/07/23: Reclamada por Alberto
RE: El pago lo realizarán el 31/07/23
Abonado Cta VFX en € el 04/08/23</t>
        </r>
      </text>
    </comment>
    <comment ref="CI28" authorId="1" shapeId="0" xr:uid="{B87569BF-6872-4993-A4E4-ECE295D09C3E}">
      <text>
        <r>
          <rPr>
            <sz val="8"/>
            <color indexed="81"/>
            <rFont val="Tahoma"/>
            <family val="2"/>
          </rPr>
          <t xml:space="preserve">El contrato es por 2 años desde jun 23-jun25
14000 E de anualidad Mktint 
Ok Alberto emitir fra el 01/06/24
Fra del 03/06/24
Cobro previsto: Julio
17/07/24: Reclamado pago
Abonado VFX: 26/07/24
</t>
        </r>
      </text>
    </comment>
    <comment ref="DC28" authorId="1" shapeId="0" xr:uid="{2505C148-54EA-42EE-9002-27E09BE00F37}">
      <text>
        <r>
          <rPr>
            <sz val="8"/>
            <color indexed="81"/>
            <rFont val="Tahoma"/>
            <family val="2"/>
          </rPr>
          <t xml:space="preserve">14.000 E de anualidad Mktint desde jun 25-mayo26
Fra del 17/12/25
Cobro previsto: enero
Abonado Cta Caixa: 23/01/26
</t>
        </r>
      </text>
    </comment>
    <comment ref="Y29" authorId="1" shapeId="0" xr:uid="{2C540442-F731-4983-ACB4-5BD1911133B3}">
      <text>
        <r>
          <rPr>
            <b/>
            <sz val="8"/>
            <color indexed="81"/>
            <rFont val="Tahoma"/>
            <family val="2"/>
          </rPr>
          <t>alfonso:</t>
        </r>
        <r>
          <rPr>
            <sz val="8"/>
            <color indexed="81"/>
            <rFont val="Tahoma"/>
            <family val="2"/>
          </rPr>
          <t xml:space="preserve">
factura de mayo o junio.
14.10.19 Alberto da toque para cobro</t>
        </r>
      </text>
    </comment>
    <comment ref="AH29" authorId="1" shapeId="0" xr:uid="{32276890-9E56-4ADD-A98D-0A83B2C8F718}">
      <text>
        <r>
          <rPr>
            <b/>
            <sz val="8"/>
            <color indexed="81"/>
            <rFont val="Tahoma"/>
            <family val="2"/>
          </rPr>
          <t>Rosa:</t>
        </r>
        <r>
          <rPr>
            <sz val="8"/>
            <color indexed="81"/>
            <rFont val="Tahoma"/>
            <family val="2"/>
          </rPr>
          <t xml:space="preserve">
6000 E de anualidad Mktint 
Fra: 01/06/20
Cobro previsto: junio
Abonado Caixa: 15/06/20</t>
        </r>
      </text>
    </comment>
    <comment ref="BA29" authorId="1" shapeId="0" xr:uid="{1F3A89B5-B9DD-49A3-9436-605FCF114324}">
      <text>
        <r>
          <rPr>
            <b/>
            <sz val="8"/>
            <color indexed="81"/>
            <rFont val="Tahoma"/>
            <family val="2"/>
          </rPr>
          <t>Rosa:</t>
        </r>
        <r>
          <rPr>
            <sz val="8"/>
            <color indexed="81"/>
            <rFont val="Tahoma"/>
            <family val="2"/>
          </rPr>
          <t xml:space="preserve">
8000 E de anualidad Mktint 
Fra: 20/10/21
Cobro previsto: noviembre
Abonado Caixa: 19/11/21</t>
        </r>
      </text>
    </comment>
    <comment ref="BH29" authorId="1" shapeId="0" xr:uid="{4FE0FFDD-11FD-4800-AE62-005034002EDE}">
      <text>
        <r>
          <rPr>
            <b/>
            <sz val="8"/>
            <color indexed="81"/>
            <rFont val="Tahoma"/>
            <family val="2"/>
          </rPr>
          <t>Rosa:</t>
        </r>
        <r>
          <rPr>
            <sz val="8"/>
            <color indexed="81"/>
            <rFont val="Tahoma"/>
            <family val="2"/>
          </rPr>
          <t xml:space="preserve">
8000 E de anualidad Mktint 
Fra: 16/05/22
Cobro previsto: Junio
Abonado Caixa: 02/06/22</t>
        </r>
      </text>
    </comment>
    <comment ref="BW29" authorId="1" shapeId="0" xr:uid="{56C4EF93-B691-4C7C-AB36-DD5A2CE96553}">
      <text>
        <r>
          <rPr>
            <b/>
            <sz val="8"/>
            <color indexed="81"/>
            <rFont val="Tahoma"/>
            <family val="2"/>
          </rPr>
          <t>Rosa:</t>
        </r>
        <r>
          <rPr>
            <sz val="8"/>
            <color indexed="81"/>
            <rFont val="Tahoma"/>
            <family val="2"/>
          </rPr>
          <t xml:space="preserve">
12000€ de anualidad Mktint 
Fra: 10/07/23
Cobro previsto: Agosto
Abonado Caixa: 01/08/23</t>
        </r>
      </text>
    </comment>
    <comment ref="CH29" authorId="1" shapeId="0" xr:uid="{848C1311-128D-456C-92D3-6B6B983CED93}">
      <text>
        <r>
          <rPr>
            <sz val="8"/>
            <color indexed="81"/>
            <rFont val="Tahoma"/>
            <family val="2"/>
          </rPr>
          <t xml:space="preserve">El contrato es por 2 años desde jun 23-jun25
12000 E de anualidad Mktint 
Ok Alberto emitir fra el 01/06/24
Fra del 03/06/24
Cobro previsto: Julio
Abonado Caixa: 18/06/24
</t>
        </r>
      </text>
    </comment>
    <comment ref="CY29" authorId="1" shapeId="0" xr:uid="{9AA85BB8-6313-4CAC-9539-AE7BFFEC7EE7}">
      <text>
        <r>
          <rPr>
            <sz val="8"/>
            <color indexed="81"/>
            <rFont val="Tahoma"/>
            <family val="2"/>
          </rPr>
          <t xml:space="preserve">El contrato es por 1 año desde 1 jun 25-31 may26
12600 E de anualidad Mktint 
Fra del 25/08/25
Cobro previsto: Septiembre
Abonado Caixa: 09/09/25
</t>
        </r>
      </text>
    </comment>
    <comment ref="AN30" authorId="1" shapeId="0" xr:uid="{E91CC20D-7935-45D2-B074-839AF10A95A2}">
      <text>
        <r>
          <rPr>
            <b/>
            <sz val="8"/>
            <color indexed="81"/>
            <rFont val="Tahoma"/>
            <family val="2"/>
          </rPr>
          <t>Rosa:</t>
        </r>
        <r>
          <rPr>
            <sz val="8"/>
            <color indexed="81"/>
            <rFont val="Tahoma"/>
            <family val="2"/>
          </rPr>
          <t xml:space="preserve">
12500 E de anualidad Mktint 
Fra: 09/10/20
Cobro previsto: octubre
Abonado Caixa: 02/11/20</t>
        </r>
      </text>
    </comment>
    <comment ref="BA30" authorId="1" shapeId="0" xr:uid="{9EEA6906-AA0A-400B-A3D1-FFC86ACC999D}">
      <text>
        <r>
          <rPr>
            <b/>
            <sz val="8"/>
            <color indexed="81"/>
            <rFont val="Tahoma"/>
            <family val="2"/>
          </rPr>
          <t>Rosa:</t>
        </r>
        <r>
          <rPr>
            <sz val="8"/>
            <color indexed="81"/>
            <rFont val="Tahoma"/>
            <family val="2"/>
          </rPr>
          <t xml:space="preserve">
12500 E de anualidad Mktint 
Fra: 15/11/21
Cobro previsto: diciembre
Abonado Caixa: 19/11/21</t>
        </r>
      </text>
    </comment>
    <comment ref="BN30" authorId="1" shapeId="0" xr:uid="{974FBF16-6A9A-4D69-B11F-44C6B4D46F71}">
      <text>
        <r>
          <rPr>
            <b/>
            <sz val="8"/>
            <color indexed="81"/>
            <rFont val="Tahoma"/>
            <family val="2"/>
          </rPr>
          <t>Rosa:</t>
        </r>
        <r>
          <rPr>
            <sz val="8"/>
            <color indexed="81"/>
            <rFont val="Tahoma"/>
            <family val="2"/>
          </rPr>
          <t xml:space="preserve">
12500 E de anualidad Mktint 
Fra: 19/10/22
Cobro previsto: noviembre
Abonado Caixa: 08/11/22</t>
        </r>
      </text>
    </comment>
    <comment ref="CB30" authorId="1" shapeId="0" xr:uid="{E22F13F7-0765-4392-AE87-0F73644675D2}">
      <text>
        <r>
          <rPr>
            <b/>
            <sz val="8"/>
            <color indexed="81"/>
            <rFont val="Tahoma"/>
            <family val="2"/>
          </rPr>
          <t>Rosa:</t>
        </r>
        <r>
          <rPr>
            <sz val="8"/>
            <color indexed="81"/>
            <rFont val="Tahoma"/>
            <family val="2"/>
          </rPr>
          <t xml:space="preserve">
12500 E de anualidad Mktint 
Fra: 11/12/23
Cobro previsto: diciembre
Abonado Caixa: 14/12/23</t>
        </r>
      </text>
    </comment>
    <comment ref="CG30" authorId="1" shapeId="0" xr:uid="{8DC5BD0D-117C-4EAA-AE15-130543ED0BDD}">
      <text>
        <r>
          <rPr>
            <sz val="9"/>
            <color indexed="81"/>
            <rFont val="Tahoma"/>
            <family val="2"/>
          </rPr>
          <t>Info Alberto 24/01/24: Suscripción ARA Storage por 17.892 USD
Esto lo vamos a repercutir a cuatro clientes a partes iguales de 4.200 Eur cada uno (Vertex, Bioagra, Panonnia y Verbio 4.300€) Finalmt Sucden tb
Incluir en febrero
Info Alberto 07/02/24: 
Aditional coverage of Market Intelligence services por 4.200€
Fra del 07/02/24
Cobro previsto: febrero
Reclamado el 25/04/24
Abonado Cta Caixa: 23/05/24</t>
        </r>
      </text>
    </comment>
    <comment ref="CP30" authorId="1" shapeId="0" xr:uid="{84BA1205-33C2-46AF-A4B1-A26C46D668E7}">
      <text>
        <r>
          <rPr>
            <b/>
            <sz val="8"/>
            <color indexed="81"/>
            <rFont val="Tahoma"/>
            <family val="2"/>
          </rPr>
          <t>Rosa:</t>
        </r>
        <r>
          <rPr>
            <sz val="8"/>
            <color indexed="81"/>
            <rFont val="Tahoma"/>
            <family val="2"/>
          </rPr>
          <t xml:space="preserve">
12500 E de anualidad Mktint 
Fra del 25/10/24
Cobro previsto: noviembre
Reclamado pago: 18/12/24
Reclamado pago: 15/01/25
Abonado Caixa: 23/01/25</t>
        </r>
      </text>
    </comment>
    <comment ref="CS30" authorId="1" shapeId="0" xr:uid="{A55D61D0-5507-4BD7-9019-CDD70A99CD85}">
      <text>
        <r>
          <rPr>
            <sz val="9"/>
            <color indexed="81"/>
            <rFont val="Tahoma"/>
            <family val="2"/>
          </rPr>
          <t xml:space="preserve">Info Alberto 19/03/25: Esto lo vamos a repercutir a cinco clientes a partes iguales de 4.400 Eur cada uno:
Bioagra
Verbio
Vertex
Sucden
Panonnia
Aditional coverage of Market Intelligence services por 4.400€
Fra del 20/03/25
Cobro previsto: abril
Abonado Cta Caixa: 10/04/25
</t>
        </r>
      </text>
    </comment>
    <comment ref="DB30" authorId="1" shapeId="0" xr:uid="{5A23E9CE-C322-4D8A-B828-3DAF597F4F76}">
      <text>
        <r>
          <rPr>
            <b/>
            <sz val="8"/>
            <color indexed="81"/>
            <rFont val="Tahoma"/>
            <family val="2"/>
          </rPr>
          <t>Rosa:</t>
        </r>
        <r>
          <rPr>
            <sz val="8"/>
            <color indexed="81"/>
            <rFont val="Tahoma"/>
            <family val="2"/>
          </rPr>
          <t xml:space="preserve">
14000 E de anualidad Mktint 
Fra del 03/12/25
Cobro previsto: diciembre
Abonado Caixa: 18/12/25</t>
        </r>
      </text>
    </comment>
    <comment ref="DH30" authorId="1" shapeId="0" xr:uid="{F832DA14-0379-4C99-B668-54F5F4137A3F}">
      <text>
        <r>
          <rPr>
            <sz val="9"/>
            <color indexed="81"/>
            <rFont val="Tahoma"/>
            <family val="2"/>
          </rPr>
          <t xml:space="preserve">Info Alberto 09/06/26: Esto lo vamos a repercutir a cinco clientes a partes iguales de 4.400 Eur cada uno:
Bioagra
Verbio
Vertex
Sucden
Panonnia
Aditional coverage of Market Intelligence services por 4.400€
Fra del 10/06/26
Cobro previsto: junio
Abonado Cta Caixa: 
</t>
        </r>
      </text>
    </comment>
    <comment ref="AD31" authorId="1" shapeId="0" xr:uid="{6762CA32-797C-4F2F-A102-E24BE663DAD3}">
      <text>
        <r>
          <rPr>
            <b/>
            <sz val="8"/>
            <color indexed="81"/>
            <rFont val="Tahoma"/>
            <family val="2"/>
          </rPr>
          <t>alfonso:</t>
        </r>
        <r>
          <rPr>
            <sz val="8"/>
            <color indexed="81"/>
            <rFont val="Tahoma"/>
            <family val="2"/>
          </rPr>
          <t xml:space="preserve">
movido aquí de oct
</t>
        </r>
        <r>
          <rPr>
            <b/>
            <sz val="8"/>
            <color indexed="81"/>
            <rFont val="Tahoma"/>
            <family val="2"/>
          </rPr>
          <t xml:space="preserve">
rosa:
</t>
        </r>
        <r>
          <rPr>
            <sz val="8"/>
            <color indexed="81"/>
            <rFont val="Tahoma"/>
            <family val="2"/>
          </rPr>
          <t>4570,32 eu entran en banco
1 eu comision bancaria
Abonado: 24/02/20</t>
        </r>
      </text>
    </comment>
    <comment ref="AO31" authorId="4" shapeId="0" xr:uid="{A8D733F5-88C7-4D30-A7D2-C56EC9BE7B13}">
      <text>
        <r>
          <rPr>
            <b/>
            <sz val="9"/>
            <color indexed="81"/>
            <rFont val="Tahoma"/>
            <family val="2"/>
          </rPr>
          <t>Rosa:
Info Alberto 14/07/20:</t>
        </r>
        <r>
          <rPr>
            <sz val="9"/>
            <color indexed="81"/>
            <rFont val="Tahoma"/>
            <family val="2"/>
          </rPr>
          <t xml:space="preserve">
5000 USD
Renovación de Marquis para otro año al mismo precio.
Emitir el 30/09/20 
Fra del 30/09/20
Cobro previsto: Octubre
Abonado Caixa: 02/12/20
4109,32 eu entran en banco
1 eu comision bancaria</t>
        </r>
      </text>
    </comment>
    <comment ref="AZ31" authorId="3" shapeId="0" xr:uid="{7D419A3D-6A15-4038-90B2-4F040C5D1DE1}">
      <text>
        <r>
          <rPr>
            <sz val="9"/>
            <color indexed="81"/>
            <rFont val="Tahoma"/>
            <family val="2"/>
          </rPr>
          <t>Info Alberto 23/09/21:
7000 USD
Renovación de Marquis para otro año incremntado el precio a 7.000
Emitir el 30/09/21
Fra del 30/09/21 
Cobro en VFX: el 13/10/21 entra en VFX 5041,80 usd. No entra el importe total de la factura porque el pago lo realizaron es SGD. 
Tc: 1,1603
Pndte de ingreso: 1,958.20 USD
1933,20 USD: Ingresado en VFX: 22/10/21
Tc: 1,1603
25 USD ingresado de menos</t>
        </r>
      </text>
    </comment>
    <comment ref="BR31" authorId="3" shapeId="0" xr:uid="{7E00292D-8189-4481-9AAA-69182876F33D}">
      <text>
        <r>
          <rPr>
            <sz val="9"/>
            <color indexed="81"/>
            <rFont val="Tahoma"/>
            <family val="2"/>
          </rPr>
          <t>Info Alberto 30/11/22:
10.000 USD
Renovación de Marquis para otro año incrementado el precio a 10.000 USD
Fra del 01/12/22 
Cobro previsto: Diciembre
Reclamada 22/02/23
Cobro en VFX: el 07/03/23 entra en VFX 9,708.56 USD. No entra el importe total de la factura porque el pago lo realizaron en GBP, RE Nadia
Tc: 1,0586
Pndte de ingreso: 291,44 USD</t>
        </r>
      </text>
    </comment>
    <comment ref="BS31" authorId="3" shapeId="0" xr:uid="{B6EB9DF3-09E2-48F0-B015-48C224DD49C1}">
      <text>
        <r>
          <rPr>
            <sz val="9"/>
            <color indexed="81"/>
            <rFont val="Tahoma"/>
            <family val="2"/>
          </rPr>
          <t>Info Alberto 30/11/22:
10.000 USD
Renovación de Marquis para otro año incrementado el precio a 10.000 USD
Fra del 01/12/22 
Cobro previsto: Diciembre
Reclamada 22/02/23
Cobro en VFX: el 07/03/23 entra en VFX 9,708.56 USD. No entra el importe total de la factura porque el pago lo realizaron en GBP, RE Nadia
Tc: 1,0972
Pndte de ingreso: 291,44 USD
Ingresado en VFX USD: 18/04/23</t>
        </r>
      </text>
    </comment>
    <comment ref="BZ31" authorId="3" shapeId="0" xr:uid="{5F155AA6-C501-47BE-8E75-D35817CE0676}">
      <text>
        <r>
          <rPr>
            <sz val="9"/>
            <color indexed="81"/>
            <rFont val="Tahoma"/>
            <family val="2"/>
          </rPr>
          <t>Info Alberto 03/10/23:
10.000 USD
Renovación de Marquis
Fra del 05/10/23 
Cobro previsto: Noviembre
Abonado Cta VFX USD: 17/10/23
Tc: 1,0569</t>
        </r>
      </text>
    </comment>
    <comment ref="CN31" authorId="3" shapeId="0" xr:uid="{C512CB74-CF93-4BF9-8E80-A8033B902271}">
      <text>
        <r>
          <rPr>
            <sz val="9"/>
            <color indexed="81"/>
            <rFont val="Tahoma"/>
            <family val="2"/>
          </rPr>
          <t>Info Alberto 13/11/24:
10.000 USD
Renovación de Marquis
Fra del 13/11/24 
Cobro previsto: Noviembre
Abonado Cta VFX USD: 19/11/24
Tc: 1,0578</t>
        </r>
      </text>
    </comment>
    <comment ref="DF31" authorId="3" shapeId="0" xr:uid="{CC9E40A9-4EA7-42BA-BFE7-3CA9E4E51ADA}">
      <text>
        <r>
          <rPr>
            <sz val="9"/>
            <color indexed="81"/>
            <rFont val="Tahoma"/>
            <family val="2"/>
          </rPr>
          <t>Info Alberto 04/12/25:
Factura de un año de servicio de contrato firmado por tres años
11.000 USD
Renovación de Marquis
Fra del 04/12/25 
Cobro previsto: Diciembre
Reclamado pago el 18/02/26 y 14/04/26
Abonado Cta VFX USD: 17/04/26
Tc: 1,1797</t>
        </r>
      </text>
    </comment>
    <comment ref="DM31" authorId="3" shapeId="0" xr:uid="{999C4867-FE9D-44E4-B38A-88C5D4274625}">
      <text>
        <r>
          <rPr>
            <b/>
            <sz val="9"/>
            <color indexed="81"/>
            <rFont val="Tahoma"/>
            <family val="2"/>
          </rPr>
          <t>Info Alberto 04/12/25:</t>
        </r>
        <r>
          <rPr>
            <sz val="9"/>
            <color indexed="81"/>
            <rFont val="Tahoma"/>
            <family val="2"/>
          </rPr>
          <t xml:space="preserve">
Factura de un año de servicio de contrato firmado por tres años
11.000 USD
Renovación de Marquis
¿Enviamos fra 01/10/26?</t>
        </r>
      </text>
    </comment>
    <comment ref="DZ31" authorId="3" shapeId="0" xr:uid="{F2C0ED65-7BD5-4FE6-8D53-9F4EF20D18B6}">
      <text>
        <r>
          <rPr>
            <b/>
            <sz val="9"/>
            <color indexed="81"/>
            <rFont val="Tahoma"/>
            <family val="2"/>
          </rPr>
          <t>Info Alberto 04/12/25:</t>
        </r>
        <r>
          <rPr>
            <sz val="9"/>
            <color indexed="81"/>
            <rFont val="Tahoma"/>
            <family val="2"/>
          </rPr>
          <t xml:space="preserve">
Factura de un año de servicio de contrato firmado por tres años
11.000 USD
Renovación de Marquis
¿Enviamos fra 01/10/26?</t>
        </r>
      </text>
    </comment>
    <comment ref="AM32" authorId="1" shapeId="0" xr:uid="{2A7EC3FA-83A1-4EE2-B9AE-A3C20DD28E34}">
      <text>
        <r>
          <rPr>
            <b/>
            <sz val="8"/>
            <color indexed="81"/>
            <rFont val="Tahoma"/>
            <family val="2"/>
          </rPr>
          <t>Rosa:</t>
        </r>
        <r>
          <rPr>
            <sz val="8"/>
            <color indexed="81"/>
            <rFont val="Tahoma"/>
            <family val="2"/>
          </rPr>
          <t xml:space="preserve">
12500 E +21% de anualidad Mktint 
Fra: 15/10/20
Cobro previsto: octubre
Abonado Caixa: 30/10/20</t>
        </r>
      </text>
    </comment>
    <comment ref="AZ32" authorId="1" shapeId="0" xr:uid="{7C0CFBC8-A202-45FC-BE35-41BAF4F8CD55}">
      <text>
        <r>
          <rPr>
            <b/>
            <sz val="8"/>
            <color indexed="81"/>
            <rFont val="Tahoma"/>
            <family val="2"/>
          </rPr>
          <t>Rosa:</t>
        </r>
        <r>
          <rPr>
            <sz val="8"/>
            <color indexed="81"/>
            <rFont val="Tahoma"/>
            <family val="2"/>
          </rPr>
          <t xml:space="preserve">
12500 E +21% de anualidad Mktint 
Fra: 30/09/21
Cobro previsto: octubre
Abonado Caixa: 12/10/21</t>
        </r>
      </text>
    </comment>
    <comment ref="BN32" authorId="1" shapeId="0" xr:uid="{0C4EB456-4C7D-45F8-8C77-330050EB30E7}">
      <text>
        <r>
          <rPr>
            <b/>
            <sz val="8"/>
            <color indexed="81"/>
            <rFont val="Tahoma"/>
            <family val="2"/>
          </rPr>
          <t>Rosa:</t>
        </r>
        <r>
          <rPr>
            <sz val="8"/>
            <color indexed="81"/>
            <rFont val="Tahoma"/>
            <family val="2"/>
          </rPr>
          <t xml:space="preserve">
12500 E +21% de anualidad Mktint 
Fra: 04/11/22
Cobro previsto: noviembre
Abonado Caixa: 17/11/22</t>
        </r>
      </text>
    </comment>
    <comment ref="CA32" authorId="1" shapeId="0" xr:uid="{884CBF83-332A-4C54-A72B-10B5FA1F82DA}">
      <text>
        <r>
          <rPr>
            <b/>
            <sz val="8"/>
            <color indexed="81"/>
            <rFont val="Tahoma"/>
            <family val="2"/>
          </rPr>
          <t>Rosa:</t>
        </r>
        <r>
          <rPr>
            <sz val="8"/>
            <color indexed="81"/>
            <rFont val="Tahoma"/>
            <family val="2"/>
          </rPr>
          <t xml:space="preserve">
13000 E +21% de anualidad Mktint 
Fra: 05/10/23
Cobro previsto: octubre
Abonado Caixa: 06/11/23</t>
        </r>
      </text>
    </comment>
    <comment ref="CQ32" authorId="1" shapeId="0" xr:uid="{D5AB130E-9D8D-405E-9297-3CDB0BFD9402}">
      <text>
        <r>
          <rPr>
            <b/>
            <sz val="8"/>
            <color indexed="81"/>
            <rFont val="Tahoma"/>
            <family val="2"/>
          </rPr>
          <t>Rosa:</t>
        </r>
        <r>
          <rPr>
            <sz val="8"/>
            <color indexed="81"/>
            <rFont val="Tahoma"/>
            <family val="2"/>
          </rPr>
          <t xml:space="preserve">
12.500 E de anualidad Mktint 
Fra: 27/12/24
Cobro previsto: enero
Reclamado pago: 24/01/25
Abonado Caixa: 10/02/25</t>
        </r>
      </text>
    </comment>
    <comment ref="DE32" authorId="1" shapeId="0" xr:uid="{804B5ED2-65B5-4CC3-A866-65BFDAB5D2D6}">
      <text>
        <r>
          <rPr>
            <b/>
            <sz val="8"/>
            <color indexed="81"/>
            <rFont val="Tahoma"/>
            <family val="2"/>
          </rPr>
          <t>Rosa:</t>
        </r>
        <r>
          <rPr>
            <sz val="8"/>
            <color indexed="81"/>
            <rFont val="Tahoma"/>
            <family val="2"/>
          </rPr>
          <t xml:space="preserve">
12.500 E de anualidad Mktint 
Fra: 19/02/26
Cobro previsto: marzo
Abonado Caixa: 10/03/26</t>
        </r>
      </text>
    </comment>
    <comment ref="AF33" authorId="1" shapeId="0" xr:uid="{03156E51-E1D8-453C-81B9-5E00D53E9EA3}">
      <text>
        <r>
          <rPr>
            <b/>
            <sz val="8"/>
            <color indexed="81"/>
            <rFont val="Tahoma"/>
            <family val="2"/>
          </rPr>
          <t>Rosa:</t>
        </r>
        <r>
          <rPr>
            <sz val="8"/>
            <color indexed="81"/>
            <rFont val="Tahoma"/>
            <family val="2"/>
          </rPr>
          <t xml:space="preserve">
5000 USD de anualidad Mktint (1 de 4)
Fra del 10/01/20
Previsto cobro: enero 
5000 USD de anualidad Mktint (2 de 4)
Fra del 13/04/20
Previsto cobro: abril
Facilitada cta Ebury para pago pero lo realizan en Caixa
9074,41 eu entran en banco
Abonado Caixa: 15/04/20</t>
        </r>
      </text>
    </comment>
    <comment ref="AI33" authorId="1" shapeId="0" xr:uid="{99F2CD90-DC80-47AB-BFF7-41C02B93D253}">
      <text>
        <r>
          <rPr>
            <b/>
            <sz val="8"/>
            <color indexed="81"/>
            <rFont val="Tahoma"/>
            <family val="2"/>
          </rPr>
          <t>Rosa:</t>
        </r>
        <r>
          <rPr>
            <sz val="8"/>
            <color indexed="81"/>
            <rFont val="Tahoma"/>
            <family val="2"/>
          </rPr>
          <t xml:space="preserve">
5000 USD de anualidad Mktint (3 de 4)
Fra del 17/07/20
Cobro previsto: agosto
Facilitada cta Ebury para pago pero lo realizan en Caixa
4208,40 eu entran en banco
Abonado Caixa: 31/07/20</t>
        </r>
      </text>
    </comment>
    <comment ref="AT33" authorId="1" shapeId="0" xr:uid="{EFC8EFDD-49DB-4D93-92F0-71195BF83E4A}">
      <text>
        <r>
          <rPr>
            <b/>
            <sz val="8"/>
            <color indexed="81"/>
            <rFont val="Tahoma"/>
            <family val="2"/>
          </rPr>
          <t>Rosa:</t>
        </r>
        <r>
          <rPr>
            <sz val="8"/>
            <color indexed="81"/>
            <rFont val="Tahoma"/>
            <family val="2"/>
          </rPr>
          <t xml:space="preserve">
5000 USD de anualidad Mktint (4 de 4)
Fra del 13/10/20
Cobro previsto: octubre
Cobro: abonado en caixa Nixal USD el 06/05/21.
-------------------------------------------------------
3000 USD de anualidad Mktint (1 de 4)
Fra del 15/01/21
Cobro previsto: febrero
Cobro: abonado en caixa Nixal USD el 06/05/21.
--------------------------------------------------------
3000 USD de anualidad Mktint (2 de 4)
Fra del 23/04/21
Cobro previsto: mayo.
Cobro: abonado en caixa Nixal USD el 06/05/21.</t>
        </r>
      </text>
    </comment>
    <comment ref="AW33" authorId="1" shapeId="0" xr:uid="{3A5F51BC-6BBB-4F02-B58E-2B095B0F7ED8}">
      <text>
        <r>
          <rPr>
            <sz val="8"/>
            <color indexed="81"/>
            <rFont val="Tahoma"/>
            <family val="2"/>
          </rPr>
          <t xml:space="preserve">
3000 USD de anualidad Mktint (3 de 4)
Hacer Fra en julio
Fra del 05/07/21. 
Cobro previsto: julio. 
Abonado en Caixa USD:25/08/21.</t>
        </r>
      </text>
    </comment>
    <comment ref="BA33" authorId="1" shapeId="0" xr:uid="{50D7B32E-DD59-4F46-B52E-762935A5D332}">
      <text>
        <r>
          <rPr>
            <b/>
            <sz val="8"/>
            <color indexed="81"/>
            <rFont val="Tahoma"/>
            <family val="2"/>
          </rPr>
          <t>Rosa:</t>
        </r>
        <r>
          <rPr>
            <sz val="8"/>
            <color indexed="81"/>
            <rFont val="Tahoma"/>
            <family val="2"/>
          </rPr>
          <t xml:space="preserve">
3000 USD de anualidad Mktint (4 de 4)
Hacer Fra en octubre
Fra del 04/10/21
Cobro previsto: octubre. 
Reclamado al cliente: 15/11/21
Abonado Caixa USD: 16/11/21
Tc: 1,1368</t>
        </r>
      </text>
    </comment>
    <comment ref="BF33" authorId="1" shapeId="0" xr:uid="{C1FCCF18-04B3-446B-A67F-9823A49E3B87}">
      <text>
        <r>
          <rPr>
            <b/>
            <sz val="8"/>
            <color indexed="81"/>
            <rFont val="Tahoma"/>
            <family val="2"/>
          </rPr>
          <t>Rosa:</t>
        </r>
        <r>
          <rPr>
            <sz val="8"/>
            <color indexed="81"/>
            <rFont val="Tahoma"/>
            <family val="2"/>
          </rPr>
          <t xml:space="preserve">
3000 USD de anualidad Mktint (1 de 4)
09/03/22: Info Alberto hacer Fra en marzo
Fra del 10/03/22
Cobro previsto: marzo. 
Abonado Caixa USD: 01/04/22
Tc: 1,1052</t>
        </r>
      </text>
    </comment>
    <comment ref="BG33" authorId="1" shapeId="0" xr:uid="{A401B05A-A753-42A6-8E86-57ECB4A779C4}">
      <text>
        <r>
          <rPr>
            <b/>
            <sz val="8"/>
            <color indexed="81"/>
            <rFont val="Tahoma"/>
            <family val="2"/>
          </rPr>
          <t>Rosa:</t>
        </r>
        <r>
          <rPr>
            <sz val="8"/>
            <color indexed="81"/>
            <rFont val="Tahoma"/>
            <family val="2"/>
          </rPr>
          <t xml:space="preserve">
3000 USD de anualidad Mktint (2 de 4)
Hacer Fra en abril
Fra del 25/04/22
Cobro previsto: mayo 
Abonado Caixa USD: 02/05/22
Tc: 1,0524</t>
        </r>
      </text>
    </comment>
    <comment ref="BI33" authorId="1" shapeId="0" xr:uid="{25201CD8-8455-4EA3-ADD4-3944C8FB6BFC}">
      <text>
        <r>
          <rPr>
            <b/>
            <sz val="8"/>
            <color indexed="81"/>
            <rFont val="Tahoma"/>
            <family val="2"/>
          </rPr>
          <t>Rosa:</t>
        </r>
        <r>
          <rPr>
            <sz val="8"/>
            <color indexed="81"/>
            <rFont val="Tahoma"/>
            <family val="2"/>
          </rPr>
          <t xml:space="preserve">
3000 USD de anualidad Mktint (3 de 4)
Hacer Fra en julio
Fra del 08/07/22
Cobro previsto: julio 
Abonado Caixa USD: 26/07/22
Tc: 1,0124</t>
        </r>
      </text>
    </comment>
    <comment ref="BM33" authorId="1" shapeId="0" xr:uid="{496CE8C1-AEE4-41F2-BBB9-56C9E22552A8}">
      <text>
        <r>
          <rPr>
            <b/>
            <sz val="8"/>
            <color indexed="81"/>
            <rFont val="Tahoma"/>
            <family val="2"/>
          </rPr>
          <t>Rosa:</t>
        </r>
        <r>
          <rPr>
            <sz val="8"/>
            <color indexed="81"/>
            <rFont val="Tahoma"/>
            <family val="2"/>
          </rPr>
          <t xml:space="preserve">
3000 USD de anualidad Mktint (4 de 4)
Hacer Fra en octubre
Fra del 05/10/22
Cobro previsto: octubre 
Abonado Caixa USD: 20/10/22
Tc: 1,0124</t>
        </r>
      </text>
    </comment>
    <comment ref="BQ33" authorId="1" shapeId="0" xr:uid="{630B89FA-D363-4142-BEA4-2493E4DEE41B}">
      <text>
        <r>
          <rPr>
            <b/>
            <sz val="8"/>
            <color indexed="81"/>
            <rFont val="Tahoma"/>
            <family val="2"/>
          </rPr>
          <t>Rosa:</t>
        </r>
        <r>
          <rPr>
            <sz val="8"/>
            <color indexed="81"/>
            <rFont val="Tahoma"/>
            <family val="2"/>
          </rPr>
          <t xml:space="preserve">
3000 USD de anualidad Mktint (1 de 4)
Fra del 19/01/23
Cobro previsto: febrero 
Abonado Caixa USD: 07/02/23
Tc: 1,07</t>
        </r>
      </text>
    </comment>
    <comment ref="BS33" authorId="1" shapeId="0" xr:uid="{689562AD-6B7A-43F7-B7DC-414F3DA35589}">
      <text>
        <r>
          <rPr>
            <b/>
            <sz val="8"/>
            <color indexed="81"/>
            <rFont val="Tahoma"/>
            <family val="2"/>
          </rPr>
          <t>Rosa:</t>
        </r>
        <r>
          <rPr>
            <sz val="8"/>
            <color indexed="81"/>
            <rFont val="Tahoma"/>
            <family val="2"/>
          </rPr>
          <t xml:space="preserve">
3000 USD de anualidad Mktint (2 de 4)
Hacer Fra en abril
Fra del 03/04/23
Cobro previsto: abril
Abonado VFX USD: 24/04/23
Tc: 1,1002</t>
        </r>
      </text>
    </comment>
    <comment ref="BV33" authorId="1" shapeId="0" xr:uid="{22E0C65C-663F-459F-9CF5-E33133462B66}">
      <text>
        <r>
          <rPr>
            <b/>
            <sz val="8"/>
            <color indexed="81"/>
            <rFont val="Tahoma"/>
            <family val="2"/>
          </rPr>
          <t>Rosa:</t>
        </r>
        <r>
          <rPr>
            <sz val="8"/>
            <color indexed="81"/>
            <rFont val="Tahoma"/>
            <family val="2"/>
          </rPr>
          <t xml:space="preserve">
3000 USD de anualidad Mktint (3 de 4)
Hacer Fra en julio
Fra del 06/07/23
Cobro previsto: julio
Abonado Cta VFX USD: 24/07/23
Tc: 1,1059</t>
        </r>
      </text>
    </comment>
    <comment ref="BZ33" authorId="1" shapeId="0" xr:uid="{56E42510-7CF0-40E0-B187-90C653A86B57}">
      <text>
        <r>
          <rPr>
            <b/>
            <sz val="8"/>
            <color indexed="81"/>
            <rFont val="Tahoma"/>
            <family val="2"/>
          </rPr>
          <t>Rosa:</t>
        </r>
        <r>
          <rPr>
            <sz val="8"/>
            <color indexed="81"/>
            <rFont val="Tahoma"/>
            <family val="2"/>
          </rPr>
          <t xml:space="preserve">
3000 USD de anualidad Mktint (4 de 4)
Hacer Fra en octubre
Fra del 28/09/23
Cobro previsto: octubre
Abonado Cta VFX en USD: 23/10/23
Tc: 1,0597</t>
        </r>
      </text>
    </comment>
    <comment ref="AF34" authorId="1" shapeId="0" xr:uid="{638ABC75-C6BF-4C58-98D9-61C077984736}">
      <text>
        <r>
          <rPr>
            <b/>
            <sz val="8"/>
            <color indexed="81"/>
            <rFont val="Tahoma"/>
            <family val="2"/>
          </rPr>
          <t>Rosa:</t>
        </r>
        <r>
          <rPr>
            <sz val="8"/>
            <color indexed="81"/>
            <rFont val="Tahoma"/>
            <family val="2"/>
          </rPr>
          <t xml:space="preserve">
5000 E de anualidad Mktint 
Fra del 10/01/20
Cobro previsto: enero 
Abonado Caixa: 15/04/20</t>
        </r>
      </text>
    </comment>
    <comment ref="AP34" authorId="1" shapeId="0" xr:uid="{0A579539-D3A7-4B6B-BFA4-358148B3DEBC}">
      <text>
        <r>
          <rPr>
            <b/>
            <sz val="8"/>
            <color indexed="81"/>
            <rFont val="Tahoma"/>
            <family val="2"/>
          </rPr>
          <t>Rosa:</t>
        </r>
        <r>
          <rPr>
            <sz val="8"/>
            <color indexed="81"/>
            <rFont val="Tahoma"/>
            <family val="2"/>
          </rPr>
          <t xml:space="preserve">
5000 E de anualidad Mktint 
Fra del 12/01/21
Cobro previsto: enero
Abonado Caixa: 27/01/21
</t>
        </r>
      </text>
    </comment>
    <comment ref="BD34" authorId="1" shapeId="0" xr:uid="{FEF781A2-CE84-4DBB-93EA-F5431AED4E7D}">
      <text>
        <r>
          <rPr>
            <b/>
            <sz val="8"/>
            <color indexed="81"/>
            <rFont val="Tahoma"/>
            <family val="2"/>
          </rPr>
          <t>Rosa:</t>
        </r>
        <r>
          <rPr>
            <sz val="8"/>
            <color indexed="81"/>
            <rFont val="Tahoma"/>
            <family val="2"/>
          </rPr>
          <t xml:space="preserve">
5000 E de anualidad Mktint 
Fra del 13/01/22
Cobro previsto: enero
Abonado Caixa: 17/02/22
</t>
        </r>
      </text>
    </comment>
    <comment ref="BR34" authorId="1" shapeId="0" xr:uid="{410015F9-8DC0-4128-AAB0-17C3562C551D}">
      <text>
        <r>
          <rPr>
            <sz val="8"/>
            <color indexed="81"/>
            <rFont val="Tahoma"/>
            <family val="2"/>
          </rPr>
          <t xml:space="preserve">5000 E de anualidad Mktint 
Fra del 09/02/23
Cobro previsto: febrero
Abonado Caixa: 02/03/23
</t>
        </r>
      </text>
    </comment>
    <comment ref="CD34" authorId="1" shapeId="0" xr:uid="{5BE9224F-AABF-4D7D-AEE7-7586144E7017}">
      <text>
        <r>
          <rPr>
            <sz val="8"/>
            <color indexed="81"/>
            <rFont val="Tahoma"/>
            <family val="2"/>
          </rPr>
          <t xml:space="preserve">5.500€ de anualidad Mktint 
Fra del 02/02/24
Cobro previsto: febrero
Abonado Caixa: 14/02/24
</t>
        </r>
      </text>
    </comment>
    <comment ref="CQ34" authorId="1" shapeId="0" xr:uid="{DD98B797-26E6-4D64-834B-ED7BB8792C37}">
      <text>
        <r>
          <rPr>
            <sz val="8"/>
            <color indexed="81"/>
            <rFont val="Tahoma"/>
            <family val="2"/>
          </rPr>
          <t xml:space="preserve">6.000€ de anualidad Mktint 
Fra del 22/01/25
Cobro previsto: febrero
Abonado Caixa: 06/02/25
</t>
        </r>
      </text>
    </comment>
    <comment ref="DE34" authorId="1" shapeId="0" xr:uid="{48C599E5-87FF-4A83-BA1F-DE4F01E82C0B}">
      <text>
        <r>
          <rPr>
            <sz val="8"/>
            <color indexed="81"/>
            <rFont val="Tahoma"/>
            <family val="2"/>
          </rPr>
          <t xml:space="preserve">6.000€ de anualidad Mktint 
Fra del 19/02/26
Cobro previsto: marzo
Abonado Caixa: 05/03/26
</t>
        </r>
      </text>
    </comment>
    <comment ref="AH35" authorId="1" shapeId="0" xr:uid="{149ED1B7-B46B-45D6-9545-BD2DD776857F}">
      <text>
        <r>
          <rPr>
            <b/>
            <sz val="8"/>
            <color indexed="81"/>
            <rFont val="Tahoma"/>
            <family val="2"/>
          </rPr>
          <t>Rosa:</t>
        </r>
        <r>
          <rPr>
            <sz val="8"/>
            <color indexed="81"/>
            <rFont val="Tahoma"/>
            <family val="2"/>
          </rPr>
          <t xml:space="preserve">
8000 USD de anualidad Mktint 
Fra: 21/05/20
Cobro previsto: junio
Abonado Cta Ebury $: 08/06/20</t>
        </r>
      </text>
    </comment>
    <comment ref="AZ35" authorId="1" shapeId="0" xr:uid="{F2A22E92-5C93-4FE4-8973-94C91ACAC7EC}">
      <text>
        <r>
          <rPr>
            <b/>
            <sz val="8"/>
            <color indexed="81"/>
            <rFont val="Tahoma"/>
            <family val="2"/>
          </rPr>
          <t>Rosa:</t>
        </r>
        <r>
          <rPr>
            <sz val="8"/>
            <color indexed="81"/>
            <rFont val="Tahoma"/>
            <family val="2"/>
          </rPr>
          <t xml:space="preserve">
8000 USD de anualidad Mktint 
Info Alberto 16/03/21: Contrato firmado en 2020 por 3 años
Fra del 18/03/21
Cobro previsto en Abril.
Según mail 23/09/21: Pagarán el lunes 27/09
7987 USD: Abonado Cta Caixa USD: 02/10/21
Tc: 1,16
13 USD ingresado de menos</t>
        </r>
      </text>
    </comment>
    <comment ref="AI36" authorId="1" shapeId="0" xr:uid="{E6E087B1-98F6-4E1F-9853-E1EFFA08B7DB}">
      <text>
        <r>
          <rPr>
            <b/>
            <sz val="8"/>
            <color indexed="81"/>
            <rFont val="Tahoma"/>
            <family val="2"/>
          </rPr>
          <t>Rosa:</t>
        </r>
        <r>
          <rPr>
            <sz val="8"/>
            <color indexed="81"/>
            <rFont val="Tahoma"/>
            <family val="2"/>
          </rPr>
          <t xml:space="preserve">
22000 EUR de anualidad Mktint
Fra del 26/06/20
Cobro previsto: julio
Abonado Caixa: 23/07/20</t>
        </r>
      </text>
    </comment>
    <comment ref="BB36" authorId="3" shapeId="0" xr:uid="{5D8E8FA0-A81F-4118-AD80-4BC862A3FDEC}">
      <text>
        <r>
          <rPr>
            <sz val="9"/>
            <color indexed="81"/>
            <rFont val="Tahoma"/>
            <family val="2"/>
          </rPr>
          <t>22000 EUR de anualidad Mktint
Fra del 09/09/21
Cobro previsto: Septiembre
Abonado Caixa: 
Avisar a Alberto si no entran los fondos a mediados de noviembre, avisado Alberto el 19/11/21
Abonado Caixa: 28/12/21</t>
        </r>
      </text>
    </comment>
    <comment ref="BJ36" authorId="0" shapeId="0" xr:uid="{E26F0938-FB7C-4466-9863-54EAC49B0554}">
      <text>
        <r>
          <rPr>
            <b/>
            <sz val="9"/>
            <color indexed="81"/>
            <rFont val="Tahoma"/>
            <family val="2"/>
          </rPr>
          <t xml:space="preserve">Rosa:
Info Alberto 03/01/22: 
</t>
        </r>
        <r>
          <rPr>
            <sz val="9"/>
            <color indexed="81"/>
            <rFont val="Tahoma"/>
            <family val="2"/>
          </rPr>
          <t>Los de OCI me piden que las próximas facturas la enviemos también al email ap.ocifuels@ocimethanol.com
22000 EUR de anualidad Mktint
Fra del 21/07/22
Cobro previsto: Agosto
02/08/22: Debe llegar en breve el ingreso
Abonado Caixa: 03/08/22</t>
        </r>
      </text>
    </comment>
    <comment ref="BW36" authorId="0" shapeId="0" xr:uid="{ECA8C092-FA3D-443A-9614-AD5F6C20346C}">
      <text>
        <r>
          <rPr>
            <sz val="9"/>
            <color indexed="81"/>
            <rFont val="Tahoma"/>
            <family val="2"/>
          </rPr>
          <t>16.500 EUR de anualidad Mktint
Fra del 24/07/23
Cobro previsto: Agosto
Abono el 28/08/23.</t>
        </r>
      </text>
    </comment>
    <comment ref="CI36" authorId="0" shapeId="0" xr:uid="{61E433A1-6EC4-45DD-A65F-B4019FDB5C06}">
      <text>
        <r>
          <rPr>
            <sz val="9"/>
            <color indexed="81"/>
            <rFont val="Tahoma"/>
            <family val="2"/>
          </rPr>
          <t xml:space="preserve">16.500 EUR de anualidad Mktint
Fra del 08/07/24
Cobro previsto: Julio
Abonado Caixa: 24/07/24.
</t>
        </r>
      </text>
    </comment>
    <comment ref="CU36" authorId="0" shapeId="0" xr:uid="{338A744E-A8BA-43A4-A533-88A8AB847C33}">
      <text>
        <r>
          <rPr>
            <sz val="9"/>
            <color indexed="81"/>
            <rFont val="Tahoma"/>
            <family val="2"/>
          </rPr>
          <t xml:space="preserve">16.500 EUR de anualidad Mktint
Fra del 16/06/25
Cobro previsto: Julio
Abonado Caixa: 20/06/25
</t>
        </r>
      </text>
    </comment>
    <comment ref="AP37" authorId="4" shapeId="0" xr:uid="{EE746D0E-566C-4C92-AB09-E15B91FA1FCF}">
      <text>
        <r>
          <rPr>
            <b/>
            <sz val="9"/>
            <color indexed="81"/>
            <rFont val="Tahoma"/>
            <family val="2"/>
          </rPr>
          <t>Rosa:
Info Alberto 08/10/20:</t>
        </r>
        <r>
          <rPr>
            <sz val="9"/>
            <color indexed="81"/>
            <rFont val="Tahoma"/>
            <family val="2"/>
          </rPr>
          <t xml:space="preserve">
7000 USD
Emitir en enero
Fra del 11/01/21 facilitada cta USD Caixa
Cobro previsto: enero
6967 USD entran en Caixa (33 USD menos)
27,87 USD: Comisión reclamada a Caixa
Abonado Caixa Cta USD: 13/01/21</t>
        </r>
      </text>
    </comment>
    <comment ref="AQ37" authorId="0" shapeId="0" xr:uid="{C79354BD-D6B5-4B9D-85ED-63E49426EB7C}">
      <text>
        <r>
          <rPr>
            <sz val="9"/>
            <color indexed="81"/>
            <rFont val="Tahoma"/>
            <family val="2"/>
          </rPr>
          <t>21,87 USD: Devolución Comisión reclamada a Caixa por ingreso fra POET
Abonado Caixa Cta USD: 06/02/21</t>
        </r>
      </text>
    </comment>
    <comment ref="BC37" authorId="4" shapeId="0" xr:uid="{95A6AAEC-BABC-4973-B150-DEFA7338397F}">
      <text>
        <r>
          <rPr>
            <b/>
            <sz val="9"/>
            <color indexed="81"/>
            <rFont val="Tahoma"/>
            <family val="2"/>
          </rPr>
          <t xml:space="preserve">Rosa:
</t>
        </r>
        <r>
          <rPr>
            <sz val="9"/>
            <color indexed="81"/>
            <rFont val="Tahoma"/>
            <family val="2"/>
          </rPr>
          <t xml:space="preserve">7000 USD de anualidad Mktint
Fra del 12/01/22 facilitada cta USD VFX
Cobro previsto: enero
</t>
        </r>
        <r>
          <rPr>
            <b/>
            <sz val="9"/>
            <color indexed="81"/>
            <rFont val="Tahoma"/>
            <family val="2"/>
          </rPr>
          <t>Llega el ingreso de 335,72 USD menos, preguntado por Alberto a Poet a qué es debido</t>
        </r>
        <r>
          <rPr>
            <sz val="9"/>
            <color indexed="81"/>
            <rFont val="Tahoma"/>
            <family val="2"/>
          </rPr>
          <t xml:space="preserve">
6664,28 USD: Abonado en VFX el 27/01/22
Tc: 1,1160</t>
        </r>
      </text>
    </comment>
    <comment ref="BJ37" authorId="4" shapeId="0" xr:uid="{C287B6E3-2071-4488-B9BF-D0C71EB28EE6}">
      <text>
        <r>
          <rPr>
            <b/>
            <sz val="9"/>
            <color indexed="81"/>
            <rFont val="Tahoma"/>
            <family val="2"/>
          </rPr>
          <t xml:space="preserve">Rosa:
</t>
        </r>
        <r>
          <rPr>
            <sz val="9"/>
            <color indexed="81"/>
            <rFont val="Tahoma"/>
            <family val="2"/>
          </rPr>
          <t xml:space="preserve">7000 USD de anualidad Mktint
Fra del 12/01/22 facilitada cta USD VFX
Cobro previsto: enero
</t>
        </r>
        <r>
          <rPr>
            <b/>
            <sz val="9"/>
            <color indexed="81"/>
            <rFont val="Tahoma"/>
            <family val="2"/>
          </rPr>
          <t xml:space="preserve">
Llega el ingreso de 335,72 USD menos, preguntado por Alberto a Poet a qué es debido</t>
        </r>
        <r>
          <rPr>
            <sz val="9"/>
            <color indexed="81"/>
            <rFont val="Tahoma"/>
            <family val="2"/>
          </rPr>
          <t xml:space="preserve">
6664,28 USD: Abonado en VFX el 27/01/22
335,72 USD: Pndte de que realicen transferencia
24/02/22: Reclamado por Alberto
18/08/22: Info Alberto: Darlo por perdido.</t>
        </r>
      </text>
    </comment>
    <comment ref="BP37" authorId="4" shapeId="0" xr:uid="{749F13E9-E869-4479-9CA2-77F91BD2D774}">
      <text>
        <r>
          <rPr>
            <b/>
            <sz val="9"/>
            <color indexed="81"/>
            <rFont val="Tahoma"/>
            <family val="2"/>
          </rPr>
          <t xml:space="preserve">Info Alberto 10/01/23:
</t>
        </r>
        <r>
          <rPr>
            <sz val="9"/>
            <color indexed="81"/>
            <rFont val="Tahoma"/>
            <family val="2"/>
          </rPr>
          <t>12.000 USD de anualidad Mktint
Fra del 11/01/23 facilitada cta USD VFX
Cobro previsto: enero
11720,21 USD: Ingresado en VFX 30/01/23
Tc: 1,0903</t>
        </r>
      </text>
    </comment>
    <comment ref="BQ37" authorId="4" shapeId="0" xr:uid="{76E4603A-CB1E-4AAB-B06D-DF4E064565F7}">
      <text>
        <r>
          <rPr>
            <b/>
            <sz val="9"/>
            <color indexed="81"/>
            <rFont val="Tahoma"/>
            <family val="2"/>
          </rPr>
          <t xml:space="preserve">Info Alberto 10/01/23:
</t>
        </r>
        <r>
          <rPr>
            <sz val="9"/>
            <color indexed="81"/>
            <rFont val="Tahoma"/>
            <family val="2"/>
          </rPr>
          <t>12.000 USD de anualidad Mktint
Fra del 11/01/23 facilitada cta USD VFX
Cobro previsto: enero
280 USD: Ingresado en VFX el 02/02/23
Tc: 1,0988</t>
        </r>
      </text>
    </comment>
    <comment ref="CG37" authorId="4" shapeId="0" xr:uid="{3FCB74BA-C01C-43E3-B867-7F3EE82AED8B}">
      <text>
        <r>
          <rPr>
            <b/>
            <sz val="9"/>
            <color indexed="81"/>
            <rFont val="Tahoma"/>
            <family val="2"/>
          </rPr>
          <t xml:space="preserve">Info Alberto 14/02/24:
</t>
        </r>
        <r>
          <rPr>
            <sz val="9"/>
            <color indexed="81"/>
            <rFont val="Tahoma"/>
            <family val="2"/>
          </rPr>
          <t>15.000 USD de anualidad Mktint
Fra del 15/02/24 facilitada cta USD VFX
Cobro previsto: marzo
Abonado Cta VFX en USD: 02/05/24
Tc: 1,0698</t>
        </r>
      </text>
    </comment>
    <comment ref="CP37" authorId="4" shapeId="0" xr:uid="{1BD3C167-01A0-4E73-ABF8-EC155326BBEE}">
      <text>
        <r>
          <rPr>
            <b/>
            <sz val="9"/>
            <color indexed="81"/>
            <rFont val="Tahoma"/>
            <family val="2"/>
          </rPr>
          <t xml:space="preserve">Info Alberto 13/01/25:
</t>
        </r>
        <r>
          <rPr>
            <sz val="9"/>
            <color indexed="81"/>
            <rFont val="Tahoma"/>
            <family val="2"/>
          </rPr>
          <t>15.000 USD de anualidad Mktint
Fra del 14/01/25 facilitada cta USD VFX
Cobro previsto: febrero
Abonado Cta VFX USD: 22/01/25
Tc: 1,0443</t>
        </r>
      </text>
    </comment>
    <comment ref="DE37" authorId="4" shapeId="0" xr:uid="{2002E3C6-5925-485F-BEBD-C2AA888F8CC2}">
      <text>
        <r>
          <rPr>
            <b/>
            <sz val="9"/>
            <color indexed="81"/>
            <rFont val="Tahoma"/>
            <family val="2"/>
          </rPr>
          <t xml:space="preserve">Info Alberto 06/03/26:
</t>
        </r>
        <r>
          <rPr>
            <sz val="9"/>
            <color indexed="81"/>
            <rFont val="Tahoma"/>
            <family val="2"/>
          </rPr>
          <t>16.000 USD de anualidad Mktint
Fra del 06/03/26 facilitada cta USD VFX
Cobro previsto: marzo
Abonado Cta VFX USD: 20/03/26 
Tc: 1,1555</t>
        </r>
      </text>
    </comment>
    <comment ref="AW38" authorId="3" shapeId="0" xr:uid="{E121AB52-46C7-4059-A450-9B44A05B5AF9}">
      <text>
        <r>
          <rPr>
            <sz val="9"/>
            <color indexed="81"/>
            <rFont val="Tahoma"/>
            <family val="2"/>
          </rPr>
          <t>Anotado en julio. Info de alberto 19/05/21</t>
        </r>
        <r>
          <rPr>
            <b/>
            <sz val="9"/>
            <color indexed="81"/>
            <rFont val="Tahoma"/>
            <family val="2"/>
          </rPr>
          <t xml:space="preserve">.
</t>
        </r>
        <r>
          <rPr>
            <sz val="9"/>
            <color indexed="81"/>
            <rFont val="Tahoma"/>
            <family val="2"/>
          </rPr>
          <t>Fra del 10/06/21 por suscripción año 2021 y suscripción año 2022. 
Cobro previsto: junio.</t>
        </r>
        <r>
          <rPr>
            <b/>
            <sz val="9"/>
            <color indexed="81"/>
            <rFont val="Tahoma"/>
            <family val="2"/>
          </rPr>
          <t xml:space="preserve"> 
</t>
        </r>
        <r>
          <rPr>
            <sz val="9"/>
            <color indexed="81"/>
            <rFont val="Tahoma"/>
            <family val="2"/>
          </rPr>
          <t>Abonado: 10/08/21</t>
        </r>
        <r>
          <rPr>
            <b/>
            <sz val="9"/>
            <color indexed="81"/>
            <rFont val="Tahoma"/>
            <family val="2"/>
          </rPr>
          <t xml:space="preserve">
</t>
        </r>
      </text>
    </comment>
    <comment ref="BR38" authorId="3" shapeId="0" xr:uid="{04E94F6C-8FF9-4E60-B514-FD7271C2CDF6}">
      <text>
        <r>
          <rPr>
            <sz val="9"/>
            <color indexed="81"/>
            <rFont val="Tahoma"/>
            <family val="2"/>
          </rPr>
          <t>Info de alberto 05/01/23: La renovación ha sido por 2 años</t>
        </r>
        <r>
          <rPr>
            <b/>
            <sz val="9"/>
            <color indexed="81"/>
            <rFont val="Tahoma"/>
            <family val="2"/>
          </rPr>
          <t xml:space="preserve">.
</t>
        </r>
        <r>
          <rPr>
            <sz val="9"/>
            <color indexed="81"/>
            <rFont val="Tahoma"/>
            <family val="2"/>
          </rPr>
          <t>Fra del 13/01/23 por suscripción año 2023 y suscripción año 2024. 
Cobro previsto a 60 días: 13/03/23</t>
        </r>
        <r>
          <rPr>
            <b/>
            <sz val="9"/>
            <color indexed="81"/>
            <rFont val="Tahoma"/>
            <family val="2"/>
          </rPr>
          <t xml:space="preserve">
</t>
        </r>
        <r>
          <rPr>
            <sz val="9"/>
            <color indexed="81"/>
            <rFont val="Tahoma"/>
            <family val="2"/>
          </rPr>
          <t>Reclamado pago 14/03/23
Abonado Caixa: 15/03/23</t>
        </r>
      </text>
    </comment>
    <comment ref="CR38" authorId="3" shapeId="0" xr:uid="{18363BE1-4C8E-42D6-9873-C1F7DD0D9DE5}">
      <text>
        <r>
          <rPr>
            <sz val="9"/>
            <color indexed="81"/>
            <rFont val="Tahoma"/>
            <family val="2"/>
          </rPr>
          <t xml:space="preserve">16.500€ anualidad desde 01/01/25 a 31/12/25. </t>
        </r>
        <r>
          <rPr>
            <b/>
            <sz val="9"/>
            <color indexed="81"/>
            <rFont val="Tahoma"/>
            <family val="2"/>
          </rPr>
          <t xml:space="preserve">
</t>
        </r>
        <r>
          <rPr>
            <sz val="9"/>
            <color indexed="81"/>
            <rFont val="Tahoma"/>
            <family val="2"/>
          </rPr>
          <t>Fra del 13/01/25  
Cobro previsto a 60 días: 13/03/25
Abonado Caixa: 17/03/25</t>
        </r>
      </text>
    </comment>
    <comment ref="DH38" authorId="3" shapeId="0" xr:uid="{585F556B-BB19-4F19-8536-1CA4B7C49D34}">
      <text>
        <r>
          <rPr>
            <sz val="9"/>
            <color indexed="81"/>
            <rFont val="Tahoma"/>
            <family val="2"/>
          </rPr>
          <t xml:space="preserve">16.500€ anualidad desde 01/01/26 a 31/12/26. </t>
        </r>
        <r>
          <rPr>
            <b/>
            <sz val="9"/>
            <color indexed="81"/>
            <rFont val="Tahoma"/>
            <family val="2"/>
          </rPr>
          <t xml:space="preserve">
</t>
        </r>
        <r>
          <rPr>
            <sz val="9"/>
            <color indexed="81"/>
            <rFont val="Tahoma"/>
            <family val="2"/>
          </rPr>
          <t>Fra del 13/03/26  
Cobro previsto a 60 días: 13/05/26
Reclamado el 26/05 y 09/06/26
Abonado Caixa: 11/06/26</t>
        </r>
      </text>
    </comment>
    <comment ref="AY39" authorId="3" shapeId="0" xr:uid="{F7E0B288-A6CA-4494-A796-4C45935F5BE0}">
      <text>
        <r>
          <rPr>
            <sz val="9"/>
            <color indexed="81"/>
            <rFont val="Tahoma"/>
            <family val="2"/>
          </rPr>
          <t>Cliente nuevo/mail de alberto dl 31/08/21.
24.000€ anualidad desde 1/07/21 a 30/06/22. 
Fra del 01/09/21. 
Cobro previsto: septiembre. 
Cobro: 10/09/21</t>
        </r>
      </text>
    </comment>
    <comment ref="BN39" authorId="0" shapeId="0" xr:uid="{2A0D7D79-E22C-4BD9-99F1-5F6BAA3810BD}">
      <text>
        <r>
          <rPr>
            <b/>
            <sz val="9"/>
            <color indexed="81"/>
            <rFont val="Tahoma"/>
            <family val="2"/>
          </rPr>
          <t xml:space="preserve">Emitir fra el 01/07/22
Pndte que Alberto nos avise para emitirla
La previsión era de 15.000€
</t>
        </r>
        <r>
          <rPr>
            <sz val="9"/>
            <color indexed="81"/>
            <rFont val="Tahoma"/>
            <family val="2"/>
          </rPr>
          <t>24.000€ anualidad desde 01/07/22 a 30/06/23. 
Fra del 29/09/22 
Cobro previsto: octubre
Abonado Caixa: 21/11/22</t>
        </r>
      </text>
    </comment>
    <comment ref="BZ39" authorId="0" shapeId="0" xr:uid="{E80DB4DD-F705-4020-A53D-2A0BDAF5F13A}">
      <text>
        <r>
          <rPr>
            <sz val="9"/>
            <color indexed="81"/>
            <rFont val="Tahoma"/>
            <family val="2"/>
          </rPr>
          <t>La previsión era de 15.000€</t>
        </r>
        <r>
          <rPr>
            <b/>
            <sz val="9"/>
            <color indexed="81"/>
            <rFont val="Tahoma"/>
            <family val="2"/>
          </rPr>
          <t xml:space="preserve">
</t>
        </r>
        <r>
          <rPr>
            <sz val="9"/>
            <color indexed="81"/>
            <rFont val="Tahoma"/>
            <family val="2"/>
          </rPr>
          <t>24.000€ anualidad desde 01/07/23 a 30/06/24. 
Fra del 22/08/23 
Cobro previsto: octubre
29/08/23: Emitimos fra de abono y nueva factura por 36.000€ por la anualidad desde 01/07/23 a 31/12/24. 
Fra del 29/08/23
Cobro previsto: octubre
Abonado VFX €: 02/10/23.</t>
        </r>
      </text>
    </comment>
    <comment ref="CR39" authorId="0" shapeId="0" xr:uid="{FBA323B3-DD3C-46F3-AFB0-3B5E72B021F6}">
      <text>
        <r>
          <rPr>
            <sz val="9"/>
            <color indexed="81"/>
            <rFont val="Tahoma"/>
            <family val="2"/>
          </rPr>
          <t>24.000€ anualidad desde 01/01/25 a 31/12/25. 
Fra del 09/01/25
Cobro previsto: enero
11/02/25: Reclamado
12/03/25: Reclamado
27/03/25: Reclamado, RE realizarán ingreso
Abonado Caixa: 28/03/25</t>
        </r>
      </text>
    </comment>
    <comment ref="DF39" authorId="0" shapeId="0" xr:uid="{68459BC6-6142-4294-AC4F-8C4729874102}">
      <text>
        <r>
          <rPr>
            <sz val="9"/>
            <color indexed="81"/>
            <rFont val="Tahoma"/>
            <family val="2"/>
          </rPr>
          <t>24.480€ anualidad desde 01/01/25 a 31/12/26. 
Fra del 17/03/26
Cobro previsto: abril
Abonado Caixa: 17/04/26</t>
        </r>
      </text>
    </comment>
    <comment ref="BD40" authorId="3" shapeId="0" xr:uid="{050FA400-A83A-4C89-8F6A-9DB74E27C7EE}">
      <text>
        <r>
          <rPr>
            <sz val="9"/>
            <color indexed="81"/>
            <rFont val="Tahoma"/>
            <family val="2"/>
          </rPr>
          <t>15000 EUR de anualidad Mktint
Fra del 01/10/21
Cobro previsto: Octubre
Abonado Caixa: 16/02/22</t>
        </r>
      </text>
    </comment>
    <comment ref="BQ40" authorId="3" shapeId="0" xr:uid="{D8022D56-A2DC-4EEA-B399-50A74A36DE00}">
      <text>
        <r>
          <rPr>
            <sz val="9"/>
            <color indexed="81"/>
            <rFont val="Tahoma"/>
            <family val="2"/>
          </rPr>
          <t>15000 EUR de anualidad Mktint
Fra del 01/12/22
Cobro previsto: Diciembre
Facilitada Cta VFX
Realmt ingresado Cta VFX €: 23/01/23
Por error de VFX este ingreso no aparecía en el extracto de enero 2023, lo ingresan posteriormente en febrero
Abonado Cta VFX €: 02/02/23</t>
        </r>
      </text>
    </comment>
    <comment ref="BZ40" authorId="3" shapeId="0" xr:uid="{8B23588A-4F9F-4EB4-AD1E-8DED0009DDBD}">
      <text>
        <r>
          <rPr>
            <sz val="9"/>
            <color indexed="81"/>
            <rFont val="Tahoma"/>
            <family val="2"/>
          </rPr>
          <t>15900 EUR de anualidad Mktint
Fra del 28/09/23
Cobro previsto: Octubre
Facilitada Cta VFX
Llega copia transferencia: 09/10/23
Abonado Cta VFX en Eur: 10/10/23</t>
        </r>
      </text>
    </comment>
    <comment ref="CN40" authorId="3" shapeId="0" xr:uid="{D3151BD1-EEB9-4A94-98FE-7AA659ABA155}">
      <text>
        <r>
          <rPr>
            <sz val="9"/>
            <color indexed="81"/>
            <rFont val="Tahoma"/>
            <family val="2"/>
          </rPr>
          <t>15900 EUR de anualidad Mktint
Fra del 30/09/24
Cobro previsto: Octubre
Facilitada Cta VFX
14/11/24: Reclamado pago
19/11/24: Llega copia transferencia
Abonado Cta VFX €: 19/11/24</t>
        </r>
      </text>
    </comment>
    <comment ref="DB40" authorId="3" shapeId="0" xr:uid="{D20316DF-351A-4236-A83E-E5EDDD7A92C7}">
      <text>
        <r>
          <rPr>
            <sz val="9"/>
            <color indexed="81"/>
            <rFont val="Tahoma"/>
            <family val="2"/>
          </rPr>
          <t>16.200 EUR de anualidad Mktint
Fra del 25/09/25
Cobro previsto: Octubre
Facilitada Cta VFX, modificamos Cta a Caixa
Abonado Cta Caixa: 03/12/25</t>
        </r>
      </text>
    </comment>
    <comment ref="BD41" authorId="3" shapeId="0" xr:uid="{70F85302-6AED-4985-A7E6-DC46DDFCD164}">
      <text>
        <r>
          <rPr>
            <sz val="9"/>
            <color indexed="81"/>
            <rFont val="Tahoma"/>
            <family val="2"/>
          </rPr>
          <t>10000 EUR de anualidad Mktint
El contrato es por 3 años
Fra del 17/01/22
Cobro previsto: Febrero
Abonado Caixa: 02/02/22</t>
        </r>
      </text>
    </comment>
    <comment ref="BQ41" authorId="3" shapeId="0" xr:uid="{5A78C2BE-066A-431F-ADEE-51078BF7ADAD}">
      <text>
        <r>
          <rPr>
            <sz val="9"/>
            <color indexed="81"/>
            <rFont val="Tahoma"/>
            <family val="2"/>
          </rPr>
          <t>10000 EUR de anualidad Mktint
El contrato es por 3 años
Preguntar a Alberto si podemos realizar fra
Fra del 18/01/23
Cobro previsto: Febrero
Abonado Caixa: 10/02/23</t>
        </r>
      </text>
    </comment>
    <comment ref="CD41" authorId="3" shapeId="0" xr:uid="{3E04C9C8-F030-4C51-8672-6C17693CD433}">
      <text>
        <r>
          <rPr>
            <sz val="9"/>
            <color indexed="81"/>
            <rFont val="Tahoma"/>
            <family val="2"/>
          </rPr>
          <t xml:space="preserve">10000 EUR de anualidad Mktint
El contrato es por 3 años
Preguntar a Alberto si podemos realizar fra, Ok Alberto
Fra del 24/01/24
Cobro previsto: febrero
Abonado Caixa: 06/02/24
</t>
        </r>
      </text>
    </comment>
    <comment ref="BF42" authorId="3" shapeId="0" xr:uid="{581E9CCC-D143-469F-BBA2-89CE96880FB3}">
      <text>
        <r>
          <rPr>
            <sz val="9"/>
            <color indexed="81"/>
            <rFont val="Tahoma"/>
            <family val="2"/>
          </rPr>
          <t>12000 USD de anualidad Mktint.
Fra del 24/03/22.
Cobro previsto: abril.
Abonado en VFX el 22/04/22
Tc: 1,0746</t>
        </r>
      </text>
    </comment>
    <comment ref="BS42" authorId="3" shapeId="0" xr:uid="{12A7D902-8D97-4CDF-89CF-4A0B7F753B6F}">
      <text>
        <r>
          <rPr>
            <sz val="9"/>
            <color indexed="81"/>
            <rFont val="Tahoma"/>
            <family val="2"/>
          </rPr>
          <t>14000 USD de anualidad Mktint.
Fra del 09/03/23
Cobro previsto: abril
Abonado Cta VFX en USD: 03/04/23
Tc: 1,0870</t>
        </r>
      </text>
    </comment>
    <comment ref="CG42" authorId="3" shapeId="0" xr:uid="{6C2467B9-E6F5-4E9F-A7CC-E807144D7A30}">
      <text>
        <r>
          <rPr>
            <sz val="9"/>
            <color indexed="81"/>
            <rFont val="Tahoma"/>
            <family val="2"/>
          </rPr>
          <t>15.000 USD de anualidad Mktint.
Fra del 08/04/24
Cobro previsto: abril
Realizarán el pago a finales de abril
07/05/24: Reclamado pago
Abonado Cta VFX en USD: 10/05/24
Tc: 1,0779</t>
        </r>
      </text>
    </comment>
    <comment ref="CU42" authorId="3" shapeId="0" xr:uid="{40C7B1F7-3676-4E91-B8C7-0BB89856A601}">
      <text>
        <r>
          <rPr>
            <sz val="9"/>
            <color indexed="81"/>
            <rFont val="Tahoma"/>
            <family val="2"/>
          </rPr>
          <t>12.000 USD de anualidad Mktint.
Fra del 06/05/25
Cobro previsto: mayo
Abonado Cta VFX USD el 09/06/25
Tc: 1,1410</t>
        </r>
      </text>
    </comment>
    <comment ref="DE42" authorId="0" shapeId="0" xr:uid="{1569AA6E-BCB4-46B2-9D31-AAA37206327A}">
      <text>
        <r>
          <rPr>
            <b/>
            <sz val="9"/>
            <color indexed="81"/>
            <rFont val="Tahoma"/>
            <family val="2"/>
          </rPr>
          <t xml:space="preserve">Info Alberto 26/03/26:
</t>
        </r>
        <r>
          <rPr>
            <sz val="9"/>
            <color indexed="81"/>
            <rFont val="Tahoma"/>
            <family val="2"/>
          </rPr>
          <t xml:space="preserve">No renuevan de momento
</t>
        </r>
      </text>
    </comment>
    <comment ref="DR42" authorId="0" shapeId="0" xr:uid="{2D1D7DC2-F9C6-4C33-821A-335E9E2BF725}">
      <text>
        <r>
          <rPr>
            <b/>
            <sz val="9"/>
            <color indexed="81"/>
            <rFont val="Tahoma"/>
            <family val="2"/>
          </rPr>
          <t xml:space="preserve">Info Alberto 26/03/26:
</t>
        </r>
        <r>
          <rPr>
            <sz val="9"/>
            <color indexed="81"/>
            <rFont val="Tahoma"/>
            <family val="2"/>
          </rPr>
          <t xml:space="preserve">No renuevan de momento
</t>
        </r>
      </text>
    </comment>
    <comment ref="BG43" authorId="1" shapeId="0" xr:uid="{C64A9B8D-155E-488D-B640-8A4152DE3E28}">
      <text>
        <r>
          <rPr>
            <b/>
            <sz val="8"/>
            <color indexed="81"/>
            <rFont val="Tahoma"/>
            <family val="2"/>
          </rPr>
          <t>Rosa:</t>
        </r>
        <r>
          <rPr>
            <sz val="8"/>
            <color indexed="81"/>
            <rFont val="Tahoma"/>
            <family val="2"/>
          </rPr>
          <t xml:space="preserve">
4000€ de anualidad Mktint 
Fra: 13/04/22
Cobro previsto: mayo
Abonado Caixa: 06/05/22</t>
        </r>
      </text>
    </comment>
    <comment ref="BS43" authorId="1" shapeId="0" xr:uid="{EC4786F3-7922-4198-9852-5ED144F54E34}">
      <text>
        <r>
          <rPr>
            <sz val="8"/>
            <color indexed="81"/>
            <rFont val="Tahoma"/>
            <family val="2"/>
          </rPr>
          <t>4000€ de anualidad Mktint 
Fra: 28/03/223
Cobro previsto: abril
Cancelan contrato
Fra de abono del 05/04/23</t>
        </r>
      </text>
    </comment>
    <comment ref="BU43" authorId="1" shapeId="0" xr:uid="{E89D7F10-4B0D-45FA-BC9C-34831A51E96C}">
      <text>
        <r>
          <rPr>
            <sz val="8"/>
            <color indexed="81"/>
            <rFont val="Tahoma"/>
            <family val="2"/>
          </rPr>
          <t>4000€ de anualidad Mktint 
Fra: 16/05/23
Cobro previsto: Junio
Reclamada fra 14/06/23
Abonado Caixa: 16/06/23</t>
        </r>
      </text>
    </comment>
    <comment ref="BI44" authorId="0" shapeId="0" xr:uid="{A6FB6CC6-EAB8-4033-8648-177D4654ACCB}">
      <text>
        <r>
          <rPr>
            <b/>
            <sz val="9"/>
            <color indexed="81"/>
            <rFont val="Tahoma"/>
            <family val="2"/>
          </rPr>
          <t xml:space="preserve">
</t>
        </r>
        <r>
          <rPr>
            <sz val="9"/>
            <color indexed="81"/>
            <rFont val="Tahoma"/>
            <family val="2"/>
          </rPr>
          <t>18000 EUR de anualidad Mktint del 01/05/22 al 30/04/23
9000€: Fra del 03/05/2022. 
Fra 1 de 2
Cobro previsto: mayo
Facilitada Cta VFX €
Debe llegar el ingreso el próximo 22/07/22
Abonado VFX en €: 25/07/22</t>
        </r>
      </text>
    </comment>
    <comment ref="BO44" authorId="0" shapeId="0" xr:uid="{4718A817-D071-4F75-81B8-FC24C0A57665}">
      <text>
        <r>
          <rPr>
            <b/>
            <sz val="9"/>
            <color indexed="81"/>
            <rFont val="Tahoma"/>
            <family val="2"/>
          </rPr>
          <t xml:space="preserve">
</t>
        </r>
        <r>
          <rPr>
            <sz val="9"/>
            <color indexed="81"/>
            <rFont val="Tahoma"/>
            <family val="2"/>
          </rPr>
          <t xml:space="preserve">18000 EUR de anualidad Mktint del 01/05/22 al 30/04/23
9000€: Realizar fra a principios de noviembre 
Fra 2 de 2
Fra del 07/11/22
Cobro previsto: noviembre
Abonado Cta VFX: 09/12/22 
</t>
        </r>
      </text>
    </comment>
    <comment ref="BU44" authorId="0" shapeId="0" xr:uid="{EF546805-93F3-4C76-A46D-3203F000FB3E}">
      <text>
        <r>
          <rPr>
            <b/>
            <sz val="9"/>
            <color indexed="81"/>
            <rFont val="Tahoma"/>
            <family val="2"/>
          </rPr>
          <t xml:space="preserve">
</t>
        </r>
        <r>
          <rPr>
            <sz val="9"/>
            <color indexed="81"/>
            <rFont val="Tahoma"/>
            <family val="2"/>
          </rPr>
          <t>16500 EUR de anualidad Mktint del 01/05/23 al 30/04/24
8250€: Fra del 08/05/2023. 
Fra 1 de 2
Cobro previsto: mayo
Facilitada Cta VFX €
Reclamada fra 14/06/23
Enviada fra de abono y nueva fra con datos modificados
Fras del 14/06/23 enviada de nuevo el 15/06/23 con nombre modificado
Cobro previsto: junio
Abonado Cta VFX: 21/06/23</t>
        </r>
      </text>
    </comment>
    <comment ref="CA44" authorId="0" shapeId="0" xr:uid="{EF6FE4CB-3865-43C6-8A7F-CF5981BECFB1}">
      <text>
        <r>
          <rPr>
            <b/>
            <sz val="9"/>
            <color indexed="81"/>
            <rFont val="Tahoma"/>
            <family val="2"/>
          </rPr>
          <t xml:space="preserve">
</t>
        </r>
        <r>
          <rPr>
            <sz val="9"/>
            <color indexed="81"/>
            <rFont val="Tahoma"/>
            <family val="2"/>
          </rPr>
          <t>16500 EUR de anualidad Mktint del 01/05/23 al 30/04/24
8250€: Realizar fra a principios de noviembre 
Fra 2 de 2
Fra del 03/11/23
Nuevos datos facturación EDF desde el 01/06/23
Abonado Cta VFX en €: 20/11/23</t>
        </r>
      </text>
    </comment>
    <comment ref="CL44" authorId="0" shapeId="0" xr:uid="{5AAD9D03-0598-4AFF-BFAE-2CBAAFB5BE60}">
      <text>
        <r>
          <rPr>
            <b/>
            <sz val="9"/>
            <color indexed="81"/>
            <rFont val="Tahoma"/>
            <family val="2"/>
          </rPr>
          <t xml:space="preserve">
</t>
        </r>
        <r>
          <rPr>
            <sz val="9"/>
            <color indexed="81"/>
            <rFont val="Tahoma"/>
            <family val="2"/>
          </rPr>
          <t>16500 EUR de anualidad Mktint del 01/05/24 al 30/04/25
8250€: Fra del 24/05/2024. 
Fra 1 de 2
Cobro previsto: junio
Nota ALF 12/09/24: Emitir fra por el 100% de anualidad y fra de abono por el 50% que se emitió (2024/EDF/002)
Fra 2024/EDF/003 del 12/09/24 por 16.500€
Cobro previsto: octubre
Abonado Cta VFX en €: 18/09/24</t>
        </r>
      </text>
    </comment>
    <comment ref="CT44" authorId="0" shapeId="0" xr:uid="{304947B1-5D14-4C57-9F66-886B4EB57D28}">
      <text>
        <r>
          <rPr>
            <b/>
            <sz val="9"/>
            <color indexed="81"/>
            <rFont val="Tahoma"/>
            <family val="2"/>
          </rPr>
          <t xml:space="preserve">
</t>
        </r>
        <r>
          <rPr>
            <sz val="9"/>
            <color indexed="81"/>
            <rFont val="Tahoma"/>
            <family val="2"/>
          </rPr>
          <t>16500 EUR de anualidad Mktint del 01/05/25 al 30/04/26
16.500€: Fra del 15/05/25. 
Cobro previsto: junio
Abonado Cta VFX €: 21/05/25</t>
        </r>
      </text>
    </comment>
    <comment ref="DH44" authorId="0" shapeId="0" xr:uid="{21004D3E-7F0A-434A-A2FF-5F52CF9C77BA}">
      <text>
        <r>
          <rPr>
            <b/>
            <sz val="9"/>
            <color indexed="81"/>
            <rFont val="Tahoma"/>
            <family val="2"/>
          </rPr>
          <t xml:space="preserve">Info Alberto 26/03/26: 
</t>
        </r>
        <r>
          <rPr>
            <sz val="9"/>
            <color indexed="81"/>
            <rFont val="Tahoma"/>
            <family val="2"/>
          </rPr>
          <t>Quita pf a EDF de las previsiones de Market Intel, que dejan el etanol.</t>
        </r>
      </text>
    </comment>
    <comment ref="BI45" authorId="1" shapeId="0" xr:uid="{67861765-ADAF-4590-B8E3-31774796AB9B}">
      <text>
        <r>
          <rPr>
            <b/>
            <sz val="8"/>
            <color indexed="81"/>
            <rFont val="Tahoma"/>
            <family val="2"/>
          </rPr>
          <t>Rosa:</t>
        </r>
        <r>
          <rPr>
            <sz val="8"/>
            <color indexed="81"/>
            <rFont val="Tahoma"/>
            <family val="2"/>
          </rPr>
          <t xml:space="preserve">
8000 E de anualidad Mktint 
Fra: 14/06/22
Cobro previsto: julio
Abonado Caixa: 20/07/22</t>
        </r>
      </text>
    </comment>
    <comment ref="BW45" authorId="1" shapeId="0" xr:uid="{9DF1E22C-15E7-4F4B-A28C-A844E25F7C5F}">
      <text>
        <r>
          <rPr>
            <b/>
            <sz val="8"/>
            <color indexed="81"/>
            <rFont val="Tahoma"/>
            <family val="2"/>
          </rPr>
          <t>Rosa:</t>
        </r>
        <r>
          <rPr>
            <sz val="8"/>
            <color indexed="81"/>
            <rFont val="Tahoma"/>
            <family val="2"/>
          </rPr>
          <t xml:space="preserve">
8000 E de anualidad Mktint 
Fra del 07/06/23
Cobro previsto: julio
14/07/23: Reclamada por Alberto
RE: pagarán la semana del 07/08/23
Abonado Caixa: 03/08/23</t>
        </r>
      </text>
    </comment>
    <comment ref="CH45" authorId="1" shapeId="0" xr:uid="{E397ECEE-E351-40BA-82F6-4F8B5907F170}">
      <text>
        <r>
          <rPr>
            <sz val="8"/>
            <color indexed="81"/>
            <rFont val="Tahoma"/>
            <family val="2"/>
          </rPr>
          <t>Info Alberto 10/06/24: Cambia la razón social a Liquin B.V., lo demás continua todo igual.
8000 E de anualidad Mktint 
Fra del 10/06/24
Cobro previsto: julio
Abonado Caixa: 20/06/24</t>
        </r>
      </text>
    </comment>
    <comment ref="CW45" authorId="4" shapeId="0" xr:uid="{5122A671-6CF0-4CC8-A98B-632DEDCC39D3}">
      <text>
        <r>
          <rPr>
            <sz val="9"/>
            <color indexed="81"/>
            <rFont val="Tahoma"/>
            <family val="2"/>
          </rPr>
          <t xml:space="preserve">8.000€ de anualidad Mktint
El contrato es por 3 años
Fra del 31/07/25
Solicitan en fra PO: P1200-00335
Anotar este pedido para los tres años de contrato que será el mismo.
Fra de abono y nueva Fra del 06/08/25
Cobro previsto: agosto 
Abonado Caixa: 21/08/25
</t>
        </r>
      </text>
    </comment>
    <comment ref="DI45" authorId="4" shapeId="0" xr:uid="{1B5381E9-AA4C-40E0-8639-DF8E8578343D}">
      <text>
        <r>
          <rPr>
            <sz val="9"/>
            <color indexed="81"/>
            <rFont val="Tahoma"/>
            <family val="2"/>
          </rPr>
          <t xml:space="preserve">8.000€ de anualidad Mktint 1/06/26-31/05/27
El contrato es por 3 años
Solicitan en fra PO: P1200-00335
Anotar este pedido para los tres años de contrato que será el mismo.
Preguntar a Alberto si podemos realizar fra, Ok Alberto 09/06/26
Fra del 10/06/26
Abonado Caixa: 
</t>
        </r>
      </text>
    </comment>
    <comment ref="DV45" authorId="4" shapeId="0" xr:uid="{4F3487B9-6F8D-44C0-8C7D-D386BBBF6D16}">
      <text>
        <r>
          <rPr>
            <sz val="9"/>
            <color indexed="81"/>
            <rFont val="Tahoma"/>
            <family val="2"/>
          </rPr>
          <t xml:space="preserve">8.000€ de anualidad Mktint
El contrato es por 3 años
Solicitan en fra PO: P1200-00335
Anotar este pedido para los tres años de contrato que será el mismo.
Preguntar a Alberto si podemos realizar fra, Ok Alberto
Fra del 
</t>
        </r>
      </text>
    </comment>
    <comment ref="BM46" authorId="0" shapeId="0" xr:uid="{891D4F1F-3301-48A3-AF89-247565E1CFAC}">
      <text>
        <r>
          <rPr>
            <b/>
            <sz val="9"/>
            <color indexed="81"/>
            <rFont val="Tahoma"/>
            <family val="2"/>
          </rPr>
          <t xml:space="preserve">
</t>
        </r>
        <r>
          <rPr>
            <sz val="9"/>
            <color indexed="81"/>
            <rFont val="Tahoma"/>
            <family val="2"/>
          </rPr>
          <t>12000 USD de anualidad Mktint del 01/10/22 al 30/09/23
Fra del 26/09/22
Cobro previsto: Octubre
Abonado VFX en USD: 19/10/22
Tc: 0,9778</t>
        </r>
      </text>
    </comment>
    <comment ref="BZ46" authorId="0" shapeId="0" xr:uid="{D5D6119A-AFBF-4917-823D-691562FF642C}">
      <text>
        <r>
          <rPr>
            <sz val="9"/>
            <color indexed="81"/>
            <rFont val="Tahoma"/>
            <family val="2"/>
          </rPr>
          <t>06/10/23: Confirmado por Alberto que no renuevan</t>
        </r>
      </text>
    </comment>
    <comment ref="CM46" authorId="0" shapeId="0" xr:uid="{6F6336CF-B91E-4637-95B3-EA0EE4E2C48B}">
      <text>
        <r>
          <rPr>
            <sz val="9"/>
            <color indexed="81"/>
            <rFont val="Tahoma"/>
            <family val="2"/>
          </rPr>
          <t>01/10/24: Confirmado por Alberto que vuelven a renovar</t>
        </r>
        <r>
          <rPr>
            <b/>
            <sz val="9"/>
            <color indexed="81"/>
            <rFont val="Tahoma"/>
            <family val="2"/>
          </rPr>
          <t xml:space="preserve">
</t>
        </r>
        <r>
          <rPr>
            <sz val="9"/>
            <color indexed="81"/>
            <rFont val="Tahoma"/>
            <family val="2"/>
          </rPr>
          <t>15.000 USD de anualidad Mktint del 01/10/24 al 30/09/25
Fra del 01/10/24
Cobro previsto: Octubre
Abonado VFX en USD: 16/10/24
Tc: 1,0897</t>
        </r>
      </text>
    </comment>
    <comment ref="DB46" authorId="0" shapeId="0" xr:uid="{ADBC5165-489C-4C39-B189-C09D4C82F215}">
      <text>
        <r>
          <rPr>
            <sz val="9"/>
            <color indexed="81"/>
            <rFont val="Tahoma"/>
            <family val="2"/>
          </rPr>
          <t>09/12/25: Confirmado por Alberto que vuelven a renovar</t>
        </r>
        <r>
          <rPr>
            <b/>
            <sz val="9"/>
            <color indexed="81"/>
            <rFont val="Tahoma"/>
            <family val="2"/>
          </rPr>
          <t xml:space="preserve">
</t>
        </r>
        <r>
          <rPr>
            <sz val="9"/>
            <color indexed="81"/>
            <rFont val="Tahoma"/>
            <family val="2"/>
          </rPr>
          <t>15.000 USD de anualidad Mktint del 01/10/25 al 30/09/26
Fra del 09/12/25
Cobro previsto: Diciembre
Abonado VFX en USD: 31/12/25
Tc:: 1,1750</t>
        </r>
      </text>
    </comment>
    <comment ref="BV47" authorId="1" shapeId="0" xr:uid="{B1346BC8-D36F-4570-8724-250E48F45076}">
      <text>
        <r>
          <rPr>
            <sz val="8"/>
            <color indexed="81"/>
            <rFont val="Tahoma"/>
            <family val="2"/>
          </rPr>
          <t>9000€ de anualidad Mktint 
Fra: 26/06/23
Cobro previsto: Julio
Abonado Caixa: 10/07/23</t>
        </r>
      </text>
    </comment>
    <comment ref="CI47" authorId="1" shapeId="0" xr:uid="{63896F91-907C-4F09-B31D-458A4D646182}">
      <text>
        <r>
          <rPr>
            <sz val="8"/>
            <color indexed="81"/>
            <rFont val="Tahoma"/>
            <family val="2"/>
          </rPr>
          <t>9000€ de anualidad Mktint 
Fra: 24/06/24
Cobro previsto: Julio
Abonado Caixa: 12/07/24</t>
        </r>
      </text>
    </comment>
    <comment ref="CU47" authorId="1" shapeId="0" xr:uid="{C21AD8E9-2D81-4D37-B0E6-4057A0291DC7}">
      <text>
        <r>
          <rPr>
            <sz val="8"/>
            <color indexed="81"/>
            <rFont val="Tahoma"/>
            <family val="2"/>
          </rPr>
          <t>9000€ de anualidad Mktint 
Fra: 13/06/25
Cobro previsto: Julio
Abonado Caixa: 25/06/25</t>
        </r>
      </text>
    </comment>
    <comment ref="BW48" authorId="1" shapeId="0" xr:uid="{35AA1556-5A89-413A-A8D7-973BEB63380D}">
      <text>
        <r>
          <rPr>
            <sz val="8"/>
            <color indexed="81"/>
            <rFont val="Tahoma"/>
            <family val="2"/>
          </rPr>
          <t xml:space="preserve">Info Alberto 14/07/23:
4.200 USD/mes de anualidad Mktint del 1 ago-31 dic.
Primera factura a enviar a finales de agosto y la última a finales de diciembre.
</t>
        </r>
        <r>
          <rPr>
            <b/>
            <sz val="8"/>
            <color indexed="81"/>
            <rFont val="Tahoma"/>
            <family val="2"/>
          </rPr>
          <t>Mandar primera Fra entre el día 20 y el 30 de cada mes.</t>
        </r>
        <r>
          <rPr>
            <sz val="8"/>
            <color indexed="81"/>
            <rFont val="Tahoma"/>
            <family val="2"/>
          </rPr>
          <t xml:space="preserve">  
</t>
        </r>
      </text>
    </comment>
    <comment ref="BY48" authorId="1" shapeId="0" xr:uid="{31D0692E-E90A-482C-A959-D863344A496E}">
      <text>
        <r>
          <rPr>
            <sz val="8"/>
            <color indexed="81"/>
            <rFont val="Tahoma"/>
            <family val="2"/>
          </rPr>
          <t xml:space="preserve">1.755,60 USD: Travel expenses Alberto Carmona trip Tunis August 2023.
Fra: 2023/USG/001 del 07/09/23
1.735,60 USD: Abonado Cta VFX en USD: 08/09/23
Tc: 1,0704
20 USD: Ingresado de menos y reclamado al cliente
-----------------------------------------------
</t>
        </r>
      </text>
    </comment>
    <comment ref="BZ48" authorId="1" shapeId="0" xr:uid="{0261547B-1639-4B5B-9C67-52FA50AED983}">
      <text>
        <r>
          <rPr>
            <sz val="8"/>
            <color indexed="81"/>
            <rFont val="Tahoma"/>
            <family val="2"/>
          </rPr>
          <t xml:space="preserve">Info Alberto 14/07/23:
4.200 USD/mes de anualidad Mktint del 1 ago-31 dic.
Primera factura a enviar a finales de agosto y la última a finales de diciembre.
Enviar Fra entre el día 20 y el 30 de cada mes.  
Fra  pndte de enviar cuando Alb nos de el OK
Info Alberto 07/09/23: Se enviará la próxima semana junto con el informe
Fra 1 de 5: 2023/USG/002 del 27/09/23
Fra 2 de 5: 2023/USG/003 del 27/09/23
3.165,84 USD: Travel expenses Alberto Carmona trip Mozambique septiembre 2023.
Fra: 2023/USG/004 del 27/09/23
11.565,84 USD: Abonado Cta VFX en USD: 02/10/23 por importe 11.540,84 USD. Llegan 25 USD menos
Tc: 1,053
----------------------------------------------------
</t>
        </r>
      </text>
    </comment>
    <comment ref="CC48" authorId="1" shapeId="0" xr:uid="{C6531275-F0E2-41A5-A2DE-3A2D0F752157}">
      <text>
        <r>
          <rPr>
            <sz val="8"/>
            <color indexed="81"/>
            <rFont val="Tahoma"/>
            <family val="2"/>
          </rPr>
          <t>4.762,25 USD: Trip report to U.S. to attend the GES October 14-22
Fra: 2023/USG/005 del 09/01/24
--------------------------------------
3.857,18 USD: Trip report to Nigeria november 2023.
Fra: 2023/USG/006 del 09/01/24
-----------------------------^-`----------------
Info Alberto 14/07/23:
4.200 USD/mes de anualidad Mktint del 1 ago-31 dic.
Primera factura a enviar a finales de agosto y la última a finales de diciembre.
Enviar Fra entre el día 20 y el 30 de cada mes.  Enviar en octubre
Fra: 2024/USG/001 del 10/01/24
-----------------------------------------------------
Info Alberto 14/07/23:
4.200 USD/mes de anualidad Mktint del 1 ago-31 dic.
Primera factura a enviar a finales de agosto y la última a finales de diciembre.
Enviar Fra entre el día 20 y el 30 de cada mes. Enviar en noviemb
Fra: 2024/USG/002 del 10/01/24
----------------------------------------
Info Alberto 14/07/23:
4.200 USD/mes de anualidad Mktint del 1 ago-31 dic.
Primera factura a enviar a finales de agosto y la última a finales de diciembre.
Enviar Fra entre el día 20 y el 30 de cada mes. Enviar en diciemb
Fra: 2024/USG/003 del 10/01/24
----------------------------------
Info Alberto 09/01/24: Incluir 3500 USD en enero
----------------------------------------
2.830,19 USD: Trip report for the Dubai to COP28 December 8-11
Fra: 2024/USG/004 del 18/01/24
---------------------------------------
2.780,42 USD: Trip report to Senegal December 19-22.
Fra: 2024/USG/005 del 18/01/24
---------------------------------------
26.830,04 USD: Abonado Cta VFX en USD: 19/01/24 por importe 26.795,04 USD. Llegan 35 USD menos
Tc: 1,0887</t>
        </r>
      </text>
    </comment>
    <comment ref="CD48" authorId="0" shapeId="0" xr:uid="{2B814C16-D507-4A63-9646-15A6B0994D65}">
      <text>
        <r>
          <rPr>
            <b/>
            <sz val="9"/>
            <color indexed="81"/>
            <rFont val="Tahoma"/>
            <family val="2"/>
          </rPr>
          <t xml:space="preserve">Info Alberto 23/01/24: </t>
        </r>
        <r>
          <rPr>
            <sz val="9"/>
            <color indexed="81"/>
            <rFont val="Tahoma"/>
            <family val="2"/>
          </rPr>
          <t xml:space="preserve">Renovación por 4.960 USD/mes desde febrero 24 hasta enero 25.
08/02/24: OK Alberto enviar a mediados de febrero.
4.960 USD/mes de anualidad Mktint del 1ene-30 dic 24.
Fra del 15/02/24 (Fra 1 de 12)
Cobro previsto: marzo </t>
        </r>
        <r>
          <rPr>
            <b/>
            <sz val="9"/>
            <color indexed="81"/>
            <rFont val="Tahoma"/>
            <family val="2"/>
          </rPr>
          <t xml:space="preserve">
</t>
        </r>
        <r>
          <rPr>
            <sz val="9"/>
            <color indexed="81"/>
            <rFont val="Tahoma"/>
            <family val="2"/>
          </rPr>
          <t>4.960 USD: Abonado Cta VFX en USD: 29/02/24 por importe 4.940 USD. Llegan 20 USD menos
Tc: 1,0826</t>
        </r>
      </text>
    </comment>
    <comment ref="CE48" authorId="0" shapeId="0" xr:uid="{DE9450ED-8B72-4D86-AC76-A399769AE786}">
      <text>
        <r>
          <rPr>
            <b/>
            <sz val="9"/>
            <color indexed="81"/>
            <rFont val="Tahoma"/>
            <family val="2"/>
          </rPr>
          <t xml:space="preserve">Info Alberto 23/01/24: </t>
        </r>
        <r>
          <rPr>
            <sz val="9"/>
            <color indexed="81"/>
            <rFont val="Tahoma"/>
            <family val="2"/>
          </rPr>
          <t>Renovación por 4.960 USD/mes desde febrero 24 hasta enero 25.
13/03/24: OK Alberto enviar ya
4.960 USD/mes de anualidad Mktint del 1ene-30 dic 24.
Fra del 13/03/24 (Fra 2 de 12)
Cobro previsto: marzo 
4.960 USD: Abonado Cta VFX en USD: 15/03/24 por importe 4.940 USD. Llegan 20 USD menos
Tc: 1,0892</t>
        </r>
        <r>
          <rPr>
            <b/>
            <sz val="9"/>
            <color indexed="81"/>
            <rFont val="Tahoma"/>
            <family val="2"/>
          </rPr>
          <t xml:space="preserve">
--------------------------------
</t>
        </r>
      </text>
    </comment>
    <comment ref="CF48" authorId="0" shapeId="0" xr:uid="{CFD668D4-4E45-48AE-8F31-CCA009F4B4EF}">
      <text>
        <r>
          <rPr>
            <b/>
            <sz val="9"/>
            <color indexed="81"/>
            <rFont val="Tahoma"/>
            <family val="2"/>
          </rPr>
          <t xml:space="preserve">Info Alberto 23/01/24: </t>
        </r>
        <r>
          <rPr>
            <sz val="9"/>
            <color indexed="81"/>
            <rFont val="Tahoma"/>
            <family val="2"/>
          </rPr>
          <t>Renovación por 4.960 USD/mes desde febrero 24 hasta enero 25.
03/04/24: OK Alberto enviar ya
4.960 USD/mes de anualidad Mktint del 1ene-30 dic 24.
Fra del 04/04/24 (Fra 3 de 12)
Cobro previsto: abril 
---------------------------------------
5.088,42 USD: Trip report to Guatemala &amp; San Diego February 13-23.
Fra: 2024/USG/009 del 05/04/24
---------------------------------------
10.048,42 USD: Abonado Cta VFX en USD: 08/04/24 por importe 10.023,42 USD. Llegan 25 USD menos
Tc:1,086</t>
        </r>
      </text>
    </comment>
    <comment ref="CH48" authorId="0" shapeId="0" xr:uid="{A533B5C1-0F29-4DA2-931F-9B5BC5137AF2}">
      <text>
        <r>
          <rPr>
            <b/>
            <sz val="9"/>
            <color indexed="81"/>
            <rFont val="Tahoma"/>
            <family val="2"/>
          </rPr>
          <t>Info Alberto 23/01/24:</t>
        </r>
        <r>
          <rPr>
            <sz val="9"/>
            <color indexed="81"/>
            <rFont val="Tahoma"/>
            <family val="2"/>
          </rPr>
          <t xml:space="preserve"> Renovación por 4.960 USD/mes desde febrero 24 hasta enero 25.
14/06/24: OK Alberto enviar ya
4.960 USD/mes de anualidad Mktint del 1ene-30 dic 24.
Fra: 2024/USG/013 del 14/06/24 (Fra 5 de 12)
Cobro previsto: junio
4.960 USD: Abonado Cta VFX en USD: 24/06/24 por importe 4.940 USD. Llegan 20 USD menos
Tc: 1,073</t>
        </r>
      </text>
    </comment>
    <comment ref="CI48" authorId="0" shapeId="0" xr:uid="{39257E14-8F81-40FC-8C88-FF354AA15BD3}">
      <text>
        <r>
          <rPr>
            <b/>
            <sz val="9"/>
            <color indexed="81"/>
            <rFont val="Tahoma"/>
            <family val="2"/>
          </rPr>
          <t>Info Alberto 23/01/24:</t>
        </r>
        <r>
          <rPr>
            <sz val="9"/>
            <color indexed="81"/>
            <rFont val="Tahoma"/>
            <family val="2"/>
          </rPr>
          <t xml:space="preserve"> Renovación por 4.960 USD/mes desde febrero 24 hasta enero 25.</t>
        </r>
        <r>
          <rPr>
            <b/>
            <sz val="9"/>
            <color indexed="81"/>
            <rFont val="Tahoma"/>
            <family val="2"/>
          </rPr>
          <t xml:space="preserve">
</t>
        </r>
        <r>
          <rPr>
            <sz val="9"/>
            <color indexed="81"/>
            <rFont val="Tahoma"/>
            <family val="2"/>
          </rPr>
          <t xml:space="preserve">13/05/24: OK Alberto enviar ya
4.960 USD/mes de anualidad Mktint del 1ene-30 dic 24.
Fra: 2024/USG/010 del 14/05/24 (Fra 4 de 12)
Anono: 24/07/24
</t>
        </r>
        <r>
          <rPr>
            <b/>
            <sz val="9"/>
            <color indexed="81"/>
            <rFont val="Tahoma"/>
            <family val="2"/>
          </rPr>
          <t xml:space="preserve">
</t>
        </r>
        <r>
          <rPr>
            <sz val="9"/>
            <color indexed="81"/>
            <rFont val="Tahoma"/>
            <family val="2"/>
          </rPr>
          <t>3.584,28 USD: Trip report to Madrid &amp; Salamanca April 10-12.
Fra: 2024/USG/011 del 01/07/24
2.914,91 USD: Trip report to Nairobi &amp; Kenya April 22-26.
Fra: 2024/USG/012 del 01/07/24
11.459,19 USD: Abonado Cta VFX en USD: 03/07/24 por importe 11.434,19 USD. Llegan 25 USD menos
Tc: 1,0758
------------------------------------------
5.149,60 USD: Travel report and expenses Nordics trip 12-17 May
Fra: 2024/USG/014 del 12/07/24
5.149,60 USD: Abonado Cta VFX en USD: 15/07/24 
Tc: 1,0907
-------------------------------------------</t>
        </r>
        <r>
          <rPr>
            <b/>
            <sz val="9"/>
            <color indexed="81"/>
            <rFont val="Tahoma"/>
            <family val="2"/>
          </rPr>
          <t xml:space="preserve">
Info Alberto 23/01/24: </t>
        </r>
        <r>
          <rPr>
            <sz val="9"/>
            <color indexed="81"/>
            <rFont val="Tahoma"/>
            <family val="2"/>
          </rPr>
          <t>Renovación por 4.960 USD/mes desde febrero 24 hasta enero 25.
16/07/24: OK Alberto enviar ya
4.960 USD/mes de anualidad Mktint del 1ene-30 dic 24.
Fra: 2024/USG/015 del 17/07/24 (Fra 6 de 12)
Cobro previsto: julio
4.960 USD: Abonado Cta VFX en USD: 24/07/24 por importe 4.940 USD. Llegan 20 USD menos
Tc: 1,0848</t>
        </r>
      </text>
    </comment>
    <comment ref="CJ48" authorId="0" shapeId="0" xr:uid="{9373A351-0EE1-4B73-96DA-965CCC8224AF}">
      <text>
        <r>
          <rPr>
            <b/>
            <sz val="9"/>
            <color indexed="81"/>
            <rFont val="Tahoma"/>
            <family val="2"/>
          </rPr>
          <t xml:space="preserve">Info Alberto 23/01/24: </t>
        </r>
        <r>
          <rPr>
            <sz val="9"/>
            <color indexed="81"/>
            <rFont val="Tahoma"/>
            <family val="2"/>
          </rPr>
          <t>Renovación por 4.960 USD/mes desde febrero 24 hasta enero 25.
Info Alberto 23/01/24: Renovación por 4.960 USD/mes desde febrero 24 hasta enero 25.
16/07/24: OK Alberto enviar ya
4.960 USD/mes de anualidad Mktint del 1ene-30 dic 24.
Fra: 2024/USG/016 del 16/08/24 (Fra 7 de 12)
219,30 USD: Shipping cost corn from Vertex ethanol plants to Illinois al Tc: 1,0817
5.179,30 USD: Cobro previsto: agosto
4.179,30 USD: Abonado Cta VFX en USD: 27/07/24. Llegan 20 USD menos
Tc: 1,1117
1.000 USD: Abonado Cta VFX en USD: 28/07/24. Llegan 20 USD menos
Tc: 1,1117</t>
        </r>
      </text>
    </comment>
    <comment ref="CL48" authorId="0" shapeId="0" xr:uid="{CDB730E1-929E-432C-AD63-16B29A946BF5}">
      <text>
        <r>
          <rPr>
            <b/>
            <sz val="9"/>
            <color indexed="81"/>
            <rFont val="Tahoma"/>
            <family val="2"/>
          </rPr>
          <t xml:space="preserve">Info Alberto 23/01/24: </t>
        </r>
        <r>
          <rPr>
            <sz val="9"/>
            <color indexed="81"/>
            <rFont val="Tahoma"/>
            <family val="2"/>
          </rPr>
          <t>Renovación por 4.960 USD/mes desde febrero 24 hasta enero 25.
16/07/24: OK Alberto enviar ya
4.960 USD/mes de anualidad Mktint del 1ene-30 dic 24.
Fra: 2024/USG/017 del 20/09/24 (Fra 8 de 12)
4.960 USD: Cobro previsto: septiembre
4.960 USD: Abonado Cta VFX en USD: 23/09/24. Llegan 20 USD menos
Tc: 1,1119</t>
        </r>
      </text>
    </comment>
    <comment ref="CM48" authorId="0" shapeId="0" xr:uid="{F405C2B4-02EE-4207-B6C5-B813E439A9AB}">
      <text>
        <r>
          <rPr>
            <b/>
            <sz val="9"/>
            <color indexed="81"/>
            <rFont val="Tahoma"/>
            <family val="2"/>
          </rPr>
          <t xml:space="preserve">Info Alberto 23/01/24: </t>
        </r>
        <r>
          <rPr>
            <sz val="9"/>
            <color indexed="81"/>
            <rFont val="Tahoma"/>
            <family val="2"/>
          </rPr>
          <t>Renovación por 4.960 USD/mes desde febrero 24 hasta enero 25.
4.960 USD/mes de anualidad Mktint del 1ene-30 dic 24.
Fra: 2024/USG/018 del 30/09/24 (Fra 9 de 12)
4.960 USD: Cobro previsto: octubre
4.960 USD: Abonado Cta VFX en USD: 01/10/24. Llegan 20 USD menos
Tc: 1,1086</t>
        </r>
      </text>
    </comment>
    <comment ref="CO48" authorId="0" shapeId="0" xr:uid="{0C59042E-EDFB-43CC-91E3-58558061D9CC}">
      <text>
        <r>
          <rPr>
            <b/>
            <sz val="9"/>
            <color indexed="81"/>
            <rFont val="Tahoma"/>
            <family val="2"/>
          </rPr>
          <t xml:space="preserve">Info Alberto 23/01/24: </t>
        </r>
        <r>
          <rPr>
            <sz val="9"/>
            <color indexed="81"/>
            <rFont val="Tahoma"/>
            <family val="2"/>
          </rPr>
          <t>Renovación por 4.960 USD/mes desde febrero 24 hasta enero 25.
4.960 USD/mes de anualidad Mktint del 1ene-30 dic 24.
Fra: 2024/USG/019 del 20/11/24 (Fra 10 de 12)
4.960 USD: Cobro previsto: noviembre
Fra: 2024/USG/020 del 13/12/24 (Fra 11 de 12)
4.960 USD: Cobro previsto: diciembre
9.920 USD: Abonado Cta VFX en USD el 18/12/24 por importe 9.900 USD. Llegan 20 USD menos
Tc: 1,0496
---------------------------------------
5.812,90 USD: Trip report for the Italy and Spain mission from 14 to 18 October.
Fra: 2024/USG/021 del 30/12/24
5.812,90 USD: Abonado Cta VFX en USD: 31/12/24 
Tc: 1,0389</t>
        </r>
      </text>
    </comment>
    <comment ref="CQ48" authorId="0" shapeId="0" xr:uid="{68235390-73DA-49BA-8F92-F0F03539A20B}">
      <text>
        <r>
          <rPr>
            <b/>
            <sz val="9"/>
            <color indexed="81"/>
            <rFont val="Tahoma"/>
            <family val="2"/>
          </rPr>
          <t xml:space="preserve">Info Alberto 23/01/24: </t>
        </r>
        <r>
          <rPr>
            <sz val="9"/>
            <color indexed="81"/>
            <rFont val="Tahoma"/>
            <family val="2"/>
          </rPr>
          <t xml:space="preserve">Renovación por 4.960 USD/mes desde febrero 24 hasta enero 25.
4.960 USD/mes de anualidad Mktint del 1ene-30 dic 24.
Fra: 2025/USG/001 del 28/01/25 (Fra 12 de 12)
4.960 USD: Cobro previsto: enero
4.960 USD: Abonado Cta VFX en USD x el total 9.349,22 USD el 10/02/25
Tc: 1,0320
---------------------------------------
4.389,22 USD: Trip report for the Brussels and Amsterdam trip from 4 to 9 November 2024.
Fra: 2025/USG/002 del 07/02/25
4.389,22 USD: Abonado Cta VFX en USD x el total 9.349,22 USD el 10/02/25
Tc: 1,0320
</t>
        </r>
      </text>
    </comment>
    <comment ref="CR48" authorId="0" shapeId="0" xr:uid="{B1F107A0-9111-407F-9FAE-EEE454F7B641}">
      <text>
        <r>
          <rPr>
            <b/>
            <sz val="9"/>
            <color indexed="81"/>
            <rFont val="Tahoma"/>
            <family val="2"/>
          </rPr>
          <t xml:space="preserve">Info Alberto 14/02/25: </t>
        </r>
        <r>
          <rPr>
            <sz val="9"/>
            <color indexed="81"/>
            <rFont val="Tahoma"/>
            <family val="2"/>
          </rPr>
          <t>Renovación por 5.160 USD/mes desde febrero 25 hasta enero 26.
5.160 USD/mes de anualidad Mktint del 1ene-30 dic 25.
Fra: 2025/USG/003 del 14/02/25 (Fra 1 de 12)
5.160 USD: Cobro previsto: febrero
5.160 USD: Abonado Cta VFX en USD el 17/03/25 por importe 10.295 USD. Llegan 25 USD menos
Tc: 1,0903
-------------------------------------</t>
        </r>
        <r>
          <rPr>
            <b/>
            <sz val="9"/>
            <color indexed="81"/>
            <rFont val="Tahoma"/>
            <family val="2"/>
          </rPr>
          <t xml:space="preserve">
Info Alberto 14/02/25: </t>
        </r>
        <r>
          <rPr>
            <sz val="9"/>
            <color indexed="81"/>
            <rFont val="Tahoma"/>
            <family val="2"/>
          </rPr>
          <t>Renovación por 5.160 USD/mes desde febrero 25 hasta enero 26.
5.160 USD/mes de anualidad Mktint del 1ene-30 dic 25.
Fra: 2025/USG/004 del 14/03/25 (Fra 2 de 12)
5.160 USD: Cobro previsto: marzo
5.160 USD: Abonado Cta VFX en USD el 17/03/25 por importe 10.295 USD. Llegan 25 USD menos
Tc: 1,0903</t>
        </r>
      </text>
    </comment>
    <comment ref="CT48" authorId="0" shapeId="0" xr:uid="{8EE92127-B3A1-47BD-BB57-4D8D6EC2DA29}">
      <text>
        <r>
          <rPr>
            <b/>
            <sz val="9"/>
            <color indexed="81"/>
            <rFont val="Tahoma"/>
            <family val="2"/>
          </rPr>
          <t xml:space="preserve">Info Alberto 14/02/25: </t>
        </r>
        <r>
          <rPr>
            <sz val="9"/>
            <color indexed="81"/>
            <rFont val="Tahoma"/>
            <family val="2"/>
          </rPr>
          <t xml:space="preserve">Renovación por 5.160 USD/mes desde febrero 25 hasta enero 26.
5.160 USD/mes de anualidad Mktint del 1ene-30 dic 25.
Fra: 2025/USG/005 del 22/04/25 (Fra 3 de 12)
5.160 USD: Cobro previsto: Abril
5.160 USD: Abonado Cta VFX en USD el 08/05/25. Llegan 20 USD menos
Tc: 1,1360 </t>
        </r>
        <r>
          <rPr>
            <b/>
            <sz val="9"/>
            <color indexed="81"/>
            <rFont val="Tahoma"/>
            <family val="2"/>
          </rPr>
          <t xml:space="preserve">
------------------------------
Info Alberto 14/02/25: </t>
        </r>
        <r>
          <rPr>
            <sz val="9"/>
            <color indexed="81"/>
            <rFont val="Tahoma"/>
            <family val="2"/>
          </rPr>
          <t>Renovación por 5.160 USD/mes desde febrero 25 hasta enero 26.
5.160 USD/mes de anualidad Mktint del 1ene-30 dic 25.
Fra: 2025/USG/006 del 14/05/25 (Fra 4 de 12)
5.160 USD: Cobro previsto: Mayo
5.160 USD: Abonado Cta VFX en USD el 15/05/25. Llegan 20 USD menos
Tc: 1,1185</t>
        </r>
      </text>
    </comment>
    <comment ref="CV48" authorId="0" shapeId="0" xr:uid="{3BB80454-F4C2-45C3-92A2-61CAEEE73796}">
      <text>
        <r>
          <rPr>
            <b/>
            <sz val="9"/>
            <color indexed="81"/>
            <rFont val="Tahoma"/>
            <family val="2"/>
          </rPr>
          <t xml:space="preserve">Info Alberto 14/02/25: </t>
        </r>
        <r>
          <rPr>
            <sz val="9"/>
            <color indexed="81"/>
            <rFont val="Tahoma"/>
            <family val="2"/>
          </rPr>
          <t xml:space="preserve">Renovación por 5.160 USD/mes desde febrero 25 hasta enero 26.
5.160 USD/mes de anualidad Mktint del 1ene-30 dic 25.
Fra: 2025/USG/007 del 16/06/25 (Fra 5 de 12)
5.160 USD: Cobro previsto: Junio
5.160 USD: Abonado Cta VFX en USD el 16/07/25. Llegan 20 USD menos
Tc: 1,1602
-------------------------------------
</t>
        </r>
      </text>
    </comment>
    <comment ref="CW48" authorId="0" shapeId="0" xr:uid="{2E7BF058-B5D8-4965-845B-38B98076BA24}">
      <text>
        <r>
          <rPr>
            <b/>
            <sz val="9"/>
            <color indexed="81"/>
            <rFont val="Tahoma"/>
            <family val="2"/>
          </rPr>
          <t xml:space="preserve">Info Alberto 14/02/25: </t>
        </r>
        <r>
          <rPr>
            <sz val="9"/>
            <color indexed="81"/>
            <rFont val="Tahoma"/>
            <family val="2"/>
          </rPr>
          <t>Renovación por 5.160 USD/mes desde febrero 25 hasta enero 26.
5.160 USD/mes de anualidad Mktint del 1ene-30 dic 25.
Fra: 2025/USG/008 del 21/07/25 (Fra 6 de 12)
5.160 USD: Cobro previsto: Julio
5.160 USD: Abonado Cta VFX en USD el 04/08/25. Llegan 20 USD menos
Tc: 1,1565</t>
        </r>
        <r>
          <rPr>
            <b/>
            <sz val="9"/>
            <color indexed="81"/>
            <rFont val="Tahoma"/>
            <family val="2"/>
          </rPr>
          <t xml:space="preserve">
------------------------------
</t>
        </r>
      </text>
    </comment>
    <comment ref="CY48" authorId="0" shapeId="0" xr:uid="{2C65E94E-7C21-4331-8DA0-C8E6169441BE}">
      <text>
        <r>
          <rPr>
            <b/>
            <sz val="9"/>
            <color indexed="81"/>
            <rFont val="Tahoma"/>
            <family val="2"/>
          </rPr>
          <t xml:space="preserve">Info Alberto 14/02/25: </t>
        </r>
        <r>
          <rPr>
            <sz val="9"/>
            <color indexed="81"/>
            <rFont val="Tahoma"/>
            <family val="2"/>
          </rPr>
          <t>Renovación por 5.160 USD/mes desde febrero 25 hasta enero 26.
5.160 USD/mes de anualidad Mktint del 1ene-30 dic 25.
Fra: 2025/USG/009 del 18/08/25 (Fra 7 de 12)
5.160 USD: Cobro previsto: Agosto
5.160 USD: Abonado Cta VFX en USD el 15/09/25. Llegan 20 USD menos
Tc: 1,1766</t>
        </r>
        <r>
          <rPr>
            <b/>
            <sz val="9"/>
            <color indexed="81"/>
            <rFont val="Tahoma"/>
            <family val="2"/>
          </rPr>
          <t xml:space="preserve">
--------------------------------
Info Alberto 14/02/25: </t>
        </r>
        <r>
          <rPr>
            <sz val="9"/>
            <color indexed="81"/>
            <rFont val="Tahoma"/>
            <family val="2"/>
          </rPr>
          <t>Renovación por 5.160 USD/mes desde febrero 25 hasta enero 26.
5.160 USD/mes de anualidad Mktint del 1ene-30 dic 25.
Fra: 2025/USG/010 del 19/09/25 (Fra 8 de 12)
5.160 USD: Cobro previsto: Septiembre
5.160 USD: Abonado Cta VFX en USD el 24/09/25. Llegan 20 USD menos
Tc: 1,1756</t>
        </r>
      </text>
    </comment>
    <comment ref="CZ48" authorId="0" shapeId="0" xr:uid="{6BF9C452-72D7-45AD-924D-E624DB5D0F6D}">
      <text>
        <r>
          <rPr>
            <b/>
            <sz val="9"/>
            <color indexed="81"/>
            <rFont val="Tahoma"/>
            <family val="2"/>
          </rPr>
          <t xml:space="preserve">Info Alberto 14/02/25: </t>
        </r>
        <r>
          <rPr>
            <sz val="9"/>
            <color indexed="81"/>
            <rFont val="Tahoma"/>
            <family val="2"/>
          </rPr>
          <t xml:space="preserve">Renovación por 5.160 USD/mes desde febrero 25 hasta enero 26.
5.160 USD/mes de anualidad Mktint del 1ene-30 dic 25.
Fra: 2025/USG/011 del 29/09/25 (Fra 9 de 12)
5.160 USD: Cobro previsto: Octubre
5.160 USD: Abonado Cta VFX en USD el 01/10/25. Llegan 20 USD menos
Tc: 1,1724
---------------------------------------
2.794,78 USD: Travel expenses SAF round table Valencia June 2025
Fra: 2025/USG/012 del 27/10/25
2.794,78 USD: Abonado Cta VFX en USD el 13/10/25
Tc: 1,1569
6.483,89 USD: Travel expenses Brussels and Spain Mission May 2025
Fra: 2025/USG/013 del 23/10/25
6.483,89 USD: Abonado Cta VFX en USD el 24/10/25
Tc: 1,1612
</t>
        </r>
      </text>
    </comment>
    <comment ref="DD48" authorId="0" shapeId="0" xr:uid="{D55AC572-820B-412B-91D5-63EBCC609957}">
      <text>
        <r>
          <rPr>
            <b/>
            <sz val="9"/>
            <color indexed="81"/>
            <rFont val="Tahoma"/>
            <family val="2"/>
          </rPr>
          <t xml:space="preserve">Info Alberto 14/02/25: </t>
        </r>
        <r>
          <rPr>
            <sz val="9"/>
            <color indexed="81"/>
            <rFont val="Tahoma"/>
            <family val="2"/>
          </rPr>
          <t>Renovación por 5.160 USD/mes desde febrero 25 hasta enero 26.
5.160 USD/mes de anualidad Mktint del 1ene-30 dic 25.
Fra: 2025/USG/014 del 21/11/25 (Fra 10 de 12)
5.160 USD: Cobro previsto: Noviembre
Fra: 2025/USG/015 del 22/12/25 (Fra 11 de 12)
5.160 USD: Cobro previsto: Diciembre
Fra: 2026/USG/001 del 15/01/26 (Fra 12 de 12)
5.160 USD: Cobro previsto: Enero
15.480 USD: Abonado Cta VFX en USD x el total 15.430 USD el 09/02/26. Llegan 50 USD menos
Tc: 1,1886
------------------------------
4.051,34 USD: Trip report to Washington DC, USA 18-26/10/25
Fra: 2026/USG/002 del 17/02/26
9.390,61 USD: Trip report to Rome, Italy 2-11/11/25
Fra: 2026/USG/003 del 17/02/26
2.702,16 USD: Trip report to Damietta&amp;Cairo, Egypt 9-12/12/25
Fra: 2026/USG/004 del 17/02/26</t>
        </r>
        <r>
          <rPr>
            <b/>
            <sz val="9"/>
            <color indexed="81"/>
            <rFont val="Tahoma"/>
            <family val="2"/>
          </rPr>
          <t xml:space="preserve">
</t>
        </r>
        <r>
          <rPr>
            <sz val="9"/>
            <color indexed="81"/>
            <rFont val="Tahoma"/>
            <family val="2"/>
          </rPr>
          <t>16.144,11 USD: Abonado Cta VFX en USD x el total 16.094,11 USD el 17/02/26. Llegan 50 USD menos
Tc: 1,1826</t>
        </r>
      </text>
    </comment>
    <comment ref="DE48" authorId="0" shapeId="0" xr:uid="{5567CC79-7128-4186-A704-C5F5D741458C}">
      <text>
        <r>
          <rPr>
            <b/>
            <sz val="9"/>
            <color indexed="81"/>
            <rFont val="Tahoma"/>
            <family val="2"/>
          </rPr>
          <t xml:space="preserve">Info Alberto 06/01/26: </t>
        </r>
        <r>
          <rPr>
            <sz val="9"/>
            <color indexed="81"/>
            <rFont val="Tahoma"/>
            <family val="2"/>
          </rPr>
          <t xml:space="preserve">Renovación por 5.310 USD/mes de anualidad Mktint del 1ene-31 dic 26.
Fra: 2026/USG/005 del 24/02/26 (Fra 1 de 12)
5.310 USD: Cobro previsto: Marzo
---------------------
Fra: 2026/USG/006 del 25/03/26 (Fra 2 de 12)
5.310 USD: Cobro previsto: Marzo
----------------------
10.620 USD: Abonado Cta VFX en USD x el total 10.570 USD el 26/03/26. Llegan 50 USD menos
Tc: 1,1539
</t>
        </r>
      </text>
    </comment>
    <comment ref="DG48" authorId="0" shapeId="0" xr:uid="{3CEE65DD-F282-47AA-84F3-212C187F5A39}">
      <text>
        <r>
          <rPr>
            <b/>
            <sz val="9"/>
            <color indexed="81"/>
            <rFont val="Tahoma"/>
            <family val="2"/>
          </rPr>
          <t xml:space="preserve">Info Alberto 06/01/26: </t>
        </r>
        <r>
          <rPr>
            <sz val="9"/>
            <color indexed="81"/>
            <rFont val="Tahoma"/>
            <family val="2"/>
          </rPr>
          <t xml:space="preserve">Renovación por 5.310 USD/mes de anualidad Mktint del 1ene-31 dic 26.
Fra: 2026/USG/007 del 21/04/26 (Fra 3 de 12)
5.310 USD: Cobro previsto: Mayo
2.483,10 USD: Trip report to IMC meetings 10-13/02/26
Fra: 2026/USG/008 del 10/05/26
5.561,48 USD: Trip report to JOM Mission 1-06/02/26
Fra: 2026/USG/009 del 10/05/26
13.354,58 USD: Abonado Cta VFX en USD x el total 13.304,58 USD el 06/05/26. Llegan 50 USD menos
Tc: 1,1762
----------------------
</t>
        </r>
      </text>
    </comment>
    <comment ref="DH48" authorId="0" shapeId="0" xr:uid="{D55A91E8-F4FF-4140-BC2D-8B45040CEFC6}">
      <text>
        <r>
          <rPr>
            <b/>
            <sz val="9"/>
            <color indexed="81"/>
            <rFont val="Tahoma"/>
            <family val="2"/>
          </rPr>
          <t xml:space="preserve">Info Alberto 06/01/26: </t>
        </r>
        <r>
          <rPr>
            <sz val="9"/>
            <color indexed="81"/>
            <rFont val="Tahoma"/>
            <family val="2"/>
          </rPr>
          <t>Renovación por 5.310 USD/mes de anualidad Mktint del 1ene-31 dic 26.
Fra: 2026/USG/010 del 28/05/26 (Fra 4 de 12)
5.310 USD: Cobro previsto: Junio</t>
        </r>
      </text>
    </comment>
    <comment ref="DI48" authorId="0" shapeId="0" xr:uid="{6E360C25-3C25-48E6-9E02-68DA48EB6262}">
      <text>
        <r>
          <rPr>
            <b/>
            <sz val="9"/>
            <color indexed="81"/>
            <rFont val="Tahoma"/>
            <family val="2"/>
          </rPr>
          <t xml:space="preserve">Info Alberto 06/01/26: </t>
        </r>
        <r>
          <rPr>
            <sz val="9"/>
            <color indexed="81"/>
            <rFont val="Tahoma"/>
            <family val="2"/>
          </rPr>
          <t>Renovación por 5.310 USD/mes de anualidad Mktint del 1ene-31 dic 26.</t>
        </r>
      </text>
    </comment>
    <comment ref="DJ48" authorId="0" shapeId="0" xr:uid="{F73E4BF0-29AC-49A6-ABA9-C8F1F05E5EB8}">
      <text>
        <r>
          <rPr>
            <b/>
            <sz val="9"/>
            <color indexed="81"/>
            <rFont val="Tahoma"/>
            <family val="2"/>
          </rPr>
          <t xml:space="preserve">Info Alberto 06/01/26: </t>
        </r>
        <r>
          <rPr>
            <sz val="9"/>
            <color indexed="81"/>
            <rFont val="Tahoma"/>
            <family val="2"/>
          </rPr>
          <t>Renovación por 5.310 USD/mes de anualidad Mktint del 1ene-31 dic 26.</t>
        </r>
      </text>
    </comment>
    <comment ref="DL48" authorId="0" shapeId="0" xr:uid="{EB1189B6-F0C6-450D-805A-844C402F5EA6}">
      <text>
        <r>
          <rPr>
            <b/>
            <sz val="9"/>
            <color indexed="81"/>
            <rFont val="Tahoma"/>
            <family val="2"/>
          </rPr>
          <t xml:space="preserve">Info Alberto 06/01/26: </t>
        </r>
        <r>
          <rPr>
            <sz val="9"/>
            <color indexed="81"/>
            <rFont val="Tahoma"/>
            <family val="2"/>
          </rPr>
          <t>Renovación por 5.310 USD/mes de anualidad Mktint del 1ene-31 dic 26.</t>
        </r>
      </text>
    </comment>
    <comment ref="DM48" authorId="0" shapeId="0" xr:uid="{EC50ACE1-AAF8-41B9-B9B7-FD2F730C8444}">
      <text>
        <r>
          <rPr>
            <b/>
            <sz val="9"/>
            <color indexed="81"/>
            <rFont val="Tahoma"/>
            <family val="2"/>
          </rPr>
          <t xml:space="preserve">Info Alberto 06/01/26: </t>
        </r>
        <r>
          <rPr>
            <sz val="9"/>
            <color indexed="81"/>
            <rFont val="Tahoma"/>
            <family val="2"/>
          </rPr>
          <t>Renovación por 5.310 USD/mes de anualidad Mktint del 1ene-31 dic 26.</t>
        </r>
      </text>
    </comment>
    <comment ref="DN48" authorId="0" shapeId="0" xr:uid="{130B9D20-95FA-4850-9FA1-2DAEDE473875}">
      <text>
        <r>
          <rPr>
            <b/>
            <sz val="9"/>
            <color indexed="81"/>
            <rFont val="Tahoma"/>
            <family val="2"/>
          </rPr>
          <t xml:space="preserve">Info Alberto 06/01/26: </t>
        </r>
        <r>
          <rPr>
            <sz val="9"/>
            <color indexed="81"/>
            <rFont val="Tahoma"/>
            <family val="2"/>
          </rPr>
          <t>Renovación por 5.310 USD/mes de anualidad Mktint del 1ene-31 dic 26.</t>
        </r>
      </text>
    </comment>
    <comment ref="DO48" authorId="0" shapeId="0" xr:uid="{E3C854D0-1B44-45E9-AB87-5DEBA4C8004A}">
      <text>
        <r>
          <rPr>
            <b/>
            <sz val="9"/>
            <color indexed="81"/>
            <rFont val="Tahoma"/>
            <family val="2"/>
          </rPr>
          <t xml:space="preserve">Info Alberto 06/01/26: </t>
        </r>
        <r>
          <rPr>
            <sz val="9"/>
            <color indexed="81"/>
            <rFont val="Tahoma"/>
            <family val="2"/>
          </rPr>
          <t>Renovación por 5.310 USD/mes de anualidad Mktint del 1ene-31 dic 26.</t>
        </r>
      </text>
    </comment>
    <comment ref="DP48" authorId="0" shapeId="0" xr:uid="{AEFE91EE-6A53-4558-8ABE-56942AEB8385}">
      <text>
        <r>
          <rPr>
            <b/>
            <sz val="9"/>
            <color indexed="81"/>
            <rFont val="Tahoma"/>
            <family val="2"/>
          </rPr>
          <t xml:space="preserve">Info Alberto 06/01/26: </t>
        </r>
        <r>
          <rPr>
            <sz val="9"/>
            <color indexed="81"/>
            <rFont val="Tahoma"/>
            <family val="2"/>
          </rPr>
          <t>Renovación por 5.310 USD/mes de anualidad Mktint del 1ene-31 dic 26.</t>
        </r>
      </text>
    </comment>
    <comment ref="BY49" authorId="1" shapeId="0" xr:uid="{8A18C57E-49CE-4323-B60D-47B952E539F3}">
      <text>
        <r>
          <rPr>
            <b/>
            <sz val="8"/>
            <color indexed="81"/>
            <rFont val="Tahoma"/>
            <family val="2"/>
          </rPr>
          <t xml:space="preserve">Info Alberto 18/08/23:
</t>
        </r>
        <r>
          <rPr>
            <sz val="8"/>
            <color indexed="81"/>
            <rFont val="Tahoma"/>
            <family val="2"/>
          </rPr>
          <t>15.000 USD de anualidad Mktint. * 3 años  (el contrato es por 3 años)
15.000 USD: Fra del 18/08/23
Cobro previsto: A 30 días, vcmto 17/09/23
Llega copia transferencia: 15/09/23
Abonado Cta VFX USD: 18/09/23
Tc: 1,0663</t>
        </r>
      </text>
    </comment>
    <comment ref="CD49" authorId="1" shapeId="0" xr:uid="{33876FB2-4CA4-4DE7-A882-AD1E13915A1B}">
      <text>
        <r>
          <rPr>
            <b/>
            <sz val="8"/>
            <color indexed="81"/>
            <rFont val="Tahoma"/>
            <family val="2"/>
          </rPr>
          <t xml:space="preserve">Info Alberto 18/08/23:
</t>
        </r>
        <r>
          <rPr>
            <sz val="8"/>
            <color indexed="81"/>
            <rFont val="Tahoma"/>
            <family val="2"/>
          </rPr>
          <t>15.000 USD de anualidad Mktint. * 3 años  (el contrato es por 3 años)
15.000 USD: Fra del 25/01/24
Cobro previsto: A 30 días, vcmto 25/02/24
23/02/24: Llega copia de transferencia a VFX USD
Abonado Cta VFX en USD el 26/02/24 
Tc: 1,0852</t>
        </r>
      </text>
    </comment>
    <comment ref="CQ49" authorId="1" shapeId="0" xr:uid="{37905CB8-F284-4E78-A18E-07CB8C6D9040}">
      <text>
        <r>
          <rPr>
            <b/>
            <sz val="8"/>
            <color indexed="81"/>
            <rFont val="Tahoma"/>
            <family val="2"/>
          </rPr>
          <t xml:space="preserve">Info Alberto 18/08/23:
</t>
        </r>
        <r>
          <rPr>
            <sz val="8"/>
            <color indexed="81"/>
            <rFont val="Tahoma"/>
            <family val="2"/>
          </rPr>
          <t>15.000 USD de anualidad Mktint. * 3 años  (el contrato es por 3 años)
15.000 USD: Fra del 16/01/25
Cobro previsto: A 30 días, vcmto 16/02/25
Abonado Cta VFX en USD: 18/02/25
Tc: 1,0447</t>
        </r>
      </text>
    </comment>
    <comment ref="CN50" authorId="1" shapeId="0" xr:uid="{DD27F35D-AE4B-4603-82C2-56278240068D}">
      <text>
        <r>
          <rPr>
            <sz val="8"/>
            <color indexed="81"/>
            <rFont val="Tahoma"/>
            <family val="2"/>
          </rPr>
          <t>Info Alberto 15/07/24:
9.000 USD de anualidad Mktint del 1 jul-31 dic 24.
Modificar fra al 50%
Fra 2 de 2 pndte enviar en octubre
Fra 2 de 2 del 15/10/24
Cobro previsto: noviembre
4.500 USD: Abonado Cta VFX en USD: 27/11/24. 
Tc: 1,0531</t>
        </r>
      </text>
    </comment>
    <comment ref="CO50" authorId="1" shapeId="0" xr:uid="{70843BD0-4F7F-416F-9167-089610380E04}">
      <text>
        <r>
          <rPr>
            <sz val="8"/>
            <color indexed="81"/>
            <rFont val="Tahoma"/>
            <family val="2"/>
          </rPr>
          <t xml:space="preserve">Info Alberto 15/07/24:
9.000 USD de anualidad Mktint del 1 jul-31 dic 24.
Fra del 15/07/24
Modificar fra al 50%
Fra 1 de 2 del 14/08/24
Modificar datos fiscales
Fra 1 de 2 del 04/09/24
Cobro previsto: septiembre
4.500 USD: Abonado Cta VFX en USD: 05/12/24. 
Tc: 1,0540
-------------------------------------
</t>
        </r>
      </text>
    </comment>
    <comment ref="CV50" authorId="1" shapeId="0" xr:uid="{695DBD84-7334-4D0D-AF30-222741499BB2}">
      <text>
        <r>
          <rPr>
            <sz val="8"/>
            <color indexed="81"/>
            <rFont val="Tahoma"/>
            <family val="2"/>
          </rPr>
          <t xml:space="preserve">Info Alberto 09/04/25:
15.000 USD de anualidad Mktint del 01/01 al 31/12/25.
Fra del 09/04/25
Cobro previsto: 23/05/25
Reclamado: 29/05/25 y 12/06/25
Fra de abono y nueva fra del 02/07/25
07/07/25: Llega copia transferencia
No anotan referencia, pero USD localizados
Abonado Cta VFX USD: 09/07/25
Tc: 1,1698
-------------------------------------
</t>
        </r>
      </text>
    </comment>
    <comment ref="DH50" authorId="0" shapeId="0" xr:uid="{CFC5472F-BBC1-4EBB-A797-CF002C4657D6}">
      <text>
        <r>
          <rPr>
            <b/>
            <sz val="9"/>
            <color indexed="81"/>
            <rFont val="Tahoma"/>
            <family val="2"/>
          </rPr>
          <t xml:space="preserve">Info Alberto 26/03/26:
</t>
        </r>
        <r>
          <rPr>
            <sz val="9"/>
            <color indexed="81"/>
            <rFont val="Tahoma"/>
            <family val="2"/>
          </rPr>
          <t xml:space="preserve">No renuevan de momento
</t>
        </r>
      </text>
    </comment>
    <comment ref="DT50" authorId="0" shapeId="0" xr:uid="{7BF514B2-D389-4095-8A3A-C151F52A3A87}">
      <text>
        <r>
          <rPr>
            <b/>
            <sz val="9"/>
            <color indexed="81"/>
            <rFont val="Tahoma"/>
            <family val="2"/>
          </rPr>
          <t xml:space="preserve">Info Alberto 26/03/26:
</t>
        </r>
        <r>
          <rPr>
            <sz val="9"/>
            <color indexed="81"/>
            <rFont val="Tahoma"/>
            <family val="2"/>
          </rPr>
          <t xml:space="preserve">No renuevan de momento
</t>
        </r>
      </text>
    </comment>
    <comment ref="CV51" authorId="1" shapeId="0" xr:uid="{9982F8F0-D0DE-406B-A35C-197B03EC54DB}">
      <text>
        <r>
          <rPr>
            <sz val="8"/>
            <color indexed="81"/>
            <rFont val="Tahoma"/>
            <family val="2"/>
          </rPr>
          <t>Info Alberto 27/02/25:
16.500 USD de anualidad Mktint del 1 dic 24-30 nov 25.
Fra del 27/02/25
Cobro previsto: marzo
Reclamado pago: 06/05/25
Abonado Cta VFX USD: 09/07/25
Tc: 1,1698</t>
        </r>
      </text>
    </comment>
    <comment ref="DH51" authorId="1" shapeId="0" xr:uid="{885AAA68-07FF-4A86-9078-38E3EA84FB41}">
      <text>
        <r>
          <rPr>
            <sz val="8"/>
            <color indexed="81"/>
            <rFont val="Tahoma"/>
            <family val="2"/>
          </rPr>
          <t xml:space="preserve">Info Alberto 10/03/26:
16.500 USD de anualidad Mktint del 1 dic 25-30 nov 26.
Fra del 10/03/26
Cobro previsto: abril
Reclamada 14/05/26 y 09/06/26
Facilitado Cta USD BBVA el 28/05/26
Abonado Cta  BBVA USD: 
Tc: </t>
        </r>
      </text>
    </comment>
    <comment ref="CS52" authorId="1" shapeId="0" xr:uid="{807B798D-6A1B-4013-9087-80D15C5D64F7}">
      <text>
        <r>
          <rPr>
            <sz val="8"/>
            <color indexed="81"/>
            <rFont val="Tahoma"/>
            <family val="2"/>
          </rPr>
          <t>Info Alberto 17/03/25:
10.000 USD de anualidad Mktint del 1 marzo 25-28 feb 26.
Fra del 20/03/25
Cobro previsto: abril
Abonado Cta VFX en USD el 10/04/25
Tc: 1,1082</t>
        </r>
      </text>
    </comment>
    <comment ref="DE52" authorId="1" shapeId="0" xr:uid="{FDEF01E2-57A2-4C7C-AA87-DE74D452F5C5}">
      <text>
        <r>
          <rPr>
            <sz val="8"/>
            <color indexed="81"/>
            <rFont val="Tahoma"/>
            <family val="2"/>
          </rPr>
          <t>Info Alberto 23/02/26:
10.300 USD de anualidad Mktint del 1 marzo 26-28 feb 27.
Fra del 24/02/26
13/03/26: Ingresan en Euros, enviamos fra en Euros y de abono en USD
25/03/26: Deben realizar el pago en USD, realizamos devolución por 8.631,17€ y enviamos nueva fra en USD y fra abono por la anterior en Euros.
Fra del 07/04/26
Cobro previsto: marzo
Abonado Cta VFX en Euros: 13/03/26 pendiente devolución en abril</t>
        </r>
      </text>
    </comment>
    <comment ref="DF52" authorId="1" shapeId="0" xr:uid="{8321A42E-A275-4EAF-BB8F-36B97B87C7F7}">
      <text>
        <r>
          <rPr>
            <sz val="8"/>
            <color indexed="81"/>
            <rFont val="Tahoma"/>
            <family val="2"/>
          </rPr>
          <t>Info Alberto 23/02/26:
10.300 USD de anualidad Mktint del 1 marzo 26-28 feb 27.
Fra del 24/02/26
13/03/26: Ingresan en Euros, enviamos fra en Euros y de abono en USD
25/03/26: Deben realizar el pago en USD, realizamos devolución por 8.631,17€ el 07/04/26 y enviamos nueva fra en USD y fra abono por la anterior en Euros.
Fra del 07/04/26
Cobro previsto: abril
10.300 USD: Abonado Cta VFX en USD: 17/04/26
Tc: 1,1797</t>
        </r>
      </text>
    </comment>
    <comment ref="CU53" authorId="1" shapeId="0" xr:uid="{B3530517-597D-4B5B-BC97-6687DC064959}">
      <text>
        <r>
          <rPr>
            <sz val="8"/>
            <color indexed="81"/>
            <rFont val="Tahoma"/>
            <family val="2"/>
          </rPr>
          <t xml:space="preserve">Info Alberto 20/03/25:
24.000€ de anualidad Mktint del 19 mayo 25-18 mayo 26
Fra del 29/05/25
Cobro previsto: junio
Abonado Cta Bankinter: 27/06/25
</t>
        </r>
      </text>
    </comment>
    <comment ref="DE53" authorId="1" shapeId="0" xr:uid="{D8FFB4A3-90C0-4EC1-ADDB-982F54AE5E7A}">
      <text>
        <r>
          <rPr>
            <sz val="8"/>
            <color indexed="81"/>
            <rFont val="Tahoma"/>
            <family val="2"/>
          </rPr>
          <t xml:space="preserve">Info Alberto 28/01/26:
-3.000€ Devolución parte de la anualidad Mktint del 19 mayo 25-18 mayo 26
Fra de abono del 20/02/26 
Transferencia Caixa realizada el 26/03/26 
</t>
        </r>
      </text>
    </comment>
    <comment ref="CT54" authorId="1" shapeId="0" xr:uid="{DED6CBA6-B5F0-42B0-8E1D-039DD4AB5AE4}">
      <text>
        <r>
          <rPr>
            <sz val="8"/>
            <color indexed="81"/>
            <rFont val="Tahoma"/>
            <family val="2"/>
          </rPr>
          <t>Info Alberto 18/03/25:
8.000 USD de anualidad Mktint del 1 mar 25-28 feb 26.
Fra del 06/05/25
Cobro previsto: mayo
Abonado Cta VFX en USD el 15/05/25
Tc: 1,1185</t>
        </r>
      </text>
    </comment>
    <comment ref="DH54" authorId="1" shapeId="0" xr:uid="{154D12FF-1C30-4D93-B2AF-B7DFDA1EF2C5}">
      <text>
        <r>
          <rPr>
            <sz val="8"/>
            <color indexed="81"/>
            <rFont val="Tahoma"/>
            <family val="2"/>
          </rPr>
          <t xml:space="preserve">Info Alberto 12/05/26:
8.000 USD de anualidad Mktint del 1 mar 26-28 feb 27.
Fra del 28/05/26
Cobro previsto: 
Abonado Cta BBVA USD:
Tc: </t>
        </r>
      </text>
    </comment>
    <comment ref="CS55" authorId="1" shapeId="0" xr:uid="{293E2850-2982-46CF-96EF-AD2302C7CDE1}">
      <text>
        <r>
          <rPr>
            <sz val="8"/>
            <color indexed="81"/>
            <rFont val="Tahoma"/>
            <family val="2"/>
          </rPr>
          <t>Info Alberto 02/04/25:
12.000 USD de anualidad Mktint del 1 al 31/12/25
Fra del 03/04/25
Cobro previsto: abril
11.980 USD: Abonado Cta VFX en USD el 29/04/25 por importe 11.980 USD. Llegan 20 USD menos
Tc: 1,1373</t>
        </r>
      </text>
    </comment>
    <comment ref="DF55" authorId="1" shapeId="0" xr:uid="{4612F551-203A-4882-83AD-B976770F3360}">
      <text>
        <r>
          <rPr>
            <sz val="8"/>
            <color indexed="81"/>
            <rFont val="Tahoma"/>
            <family val="2"/>
          </rPr>
          <t>Info Alberto 07/03/26:
12.800 USD de anualidad Mktint del 1 al 31/12/26
Fra del 09/03/26
Cobro previsto: abril
14/04/26: Llega pago en GBP, 16/04/26: OK Alberto pasar esas GBP a USD
12.664,45 USD: Abonado Cta VFX en USD el 16/04/26 (Llegan 135,55 USD menos por traspaso de GBP a USD)
Tc: 1,1782</t>
        </r>
      </text>
    </comment>
    <comment ref="CU56" authorId="1" shapeId="0" xr:uid="{C911CA7F-C720-4920-9FAE-E28F5E0CF559}">
      <text>
        <r>
          <rPr>
            <sz val="8"/>
            <color indexed="81"/>
            <rFont val="Tahoma"/>
            <family val="2"/>
          </rPr>
          <t>Info Alberto 14/11/24:
24.000 USD de anualidad Mktint del 1 nov 24-31 oct 25.
Fra del 25/04/25
Cobro previsto: mayo
Abonado Cta VFX USD el 28/05/25, aunque VFX no lo ingresa en cuenta hasta el 03/06/25
Tc: 1,1386</t>
        </r>
      </text>
    </comment>
    <comment ref="DH56" authorId="1" shapeId="0" xr:uid="{0766B5C9-904F-4F4C-BF0E-FDE19BFDA5BA}">
      <text>
        <r>
          <rPr>
            <sz val="8"/>
            <color indexed="81"/>
            <rFont val="Tahoma"/>
            <family val="2"/>
          </rPr>
          <t xml:space="preserve">Info Alberto 04/12/25:
24.000 USD de anualidad Mktint del 1 nov 25-31 oct 26.
Emitir Fra en abril
Fra del 14/04/26
Cobro previsto: abril
Abonado Cta BBVA USD: 03/06/26
</t>
        </r>
      </text>
    </comment>
    <comment ref="CZ57" authorId="3" shapeId="0" xr:uid="{61EA4575-F897-418D-8BC4-25CE054A8FC4}">
      <text>
        <r>
          <rPr>
            <sz val="9"/>
            <color indexed="81"/>
            <rFont val="Tahoma"/>
            <family val="2"/>
          </rPr>
          <t>Info alberto 14/10/25: 16.500€ de anualidad Mktint en 2 fras semestrales de 8.250€
Emitir 1ª Fra ya y 2ª a principios de enero
Fra 1 de 2. 
Fra del 14/10/25
Cobro previsto: noviembre
21/10: Realizarán el pago el 29/10/25
Abonado Caixa: 29/10/25</t>
        </r>
      </text>
    </comment>
    <comment ref="DC57" authorId="3" shapeId="0" xr:uid="{E2B0C260-39FE-4AD2-94F4-5C144AFAF192}">
      <text>
        <r>
          <rPr>
            <sz val="9"/>
            <color indexed="81"/>
            <rFont val="Tahoma"/>
            <family val="2"/>
          </rPr>
          <t>Info alberto 14/10/25: 16.500€ de anualidad Mktint en 2 fras semestrales de 8.250€
Emitir Fra a principios de ene
Fra 2 de 2. 
Fra del 08/01/26
Cobro previsto: enero
09/01/26: Realizarán el pago el 23/01/26
Abonado Caixa: 23/01/26</t>
        </r>
      </text>
    </comment>
    <comment ref="DD58" authorId="1" shapeId="0" xr:uid="{31E2B79D-C1CE-4F7B-8E7E-4224E4D218BD}">
      <text>
        <r>
          <rPr>
            <sz val="8"/>
            <color indexed="81"/>
            <rFont val="Tahoma"/>
            <family val="2"/>
          </rPr>
          <t>Info Alberto 10/10/25:
24.500€ de anualidad Mktint del 1 junio 25-31 mayo 26.
Pndte OK Alberto para realizar fra
Fra del 20/10/25
Fra abono del 11/12/25
Fra del 20/01/26
Cobro previsto: febrero
Abonado Caixa: 20/02/26</t>
        </r>
      </text>
    </comment>
    <comment ref="DG58" authorId="1" shapeId="0" xr:uid="{D2AEEEFE-E92C-448A-B084-16B7FEE08DD4}">
      <text>
        <r>
          <rPr>
            <sz val="8"/>
            <color indexed="81"/>
            <rFont val="Tahoma"/>
            <family val="2"/>
          </rPr>
          <t xml:space="preserve">Info Alberto 09/04/26:
25.000€ de anualidad Mktint del 1 junio 26-31 mayo 27.
Pndte OK Alberto para realizar fra a principios de mayo
Cobro previsto: 
Abonado Caixa: </t>
        </r>
      </text>
    </comment>
    <comment ref="DI58" authorId="1" shapeId="0" xr:uid="{C75053D1-8819-4DCE-B5F1-D3C6BF9B9AAB}">
      <text>
        <r>
          <rPr>
            <sz val="8"/>
            <color indexed="81"/>
            <rFont val="Tahoma"/>
            <family val="2"/>
          </rPr>
          <t xml:space="preserve">Info Alberto 09/04/26:
25.000€ de anualidad Mktint del 1 junio 26-31 mayo 27.
Pndte OK Alberto para realizar fra a principios de junio
Fra del 08/06/26
Cobro previsto: 
Abonado Caixa: </t>
        </r>
      </text>
    </comment>
    <comment ref="DE59" authorId="1" shapeId="0" xr:uid="{58439E55-C217-49F8-ADA4-88BBB08126A3}">
      <text>
        <r>
          <rPr>
            <sz val="8"/>
            <color indexed="81"/>
            <rFont val="Tahoma"/>
            <family val="2"/>
          </rPr>
          <t>Info Alberto 30/10/25:
8.000 USD de anualidad Mktint del 01/10/25-30/09/26, contrato firmado por 3 años
Fra del 08/01/26
Cobro previsto: enero
Reclamado pago el 18/02/26
Abonado Cta VFX USD: 13/03/26
Tc: 1,1476</t>
        </r>
      </text>
    </comment>
    <comment ref="DP59" authorId="1" shapeId="0" xr:uid="{5584B05A-7E0A-4ED1-9E50-92065DD774FF}">
      <text>
        <r>
          <rPr>
            <sz val="8"/>
            <color indexed="81"/>
            <rFont val="Tahoma"/>
            <family val="2"/>
          </rPr>
          <t xml:space="preserve">Info Alberto 30/10/25:
10.000 USD de anualidad Mktint del 01/10/26-30/09/27, contrato firmado por 3 años
Emitir fra en enero 2027
</t>
        </r>
      </text>
    </comment>
    <comment ref="DW59" authorId="1" shapeId="0" xr:uid="{B4453A03-C1D7-4B8F-B06E-86E8E32E3A68}">
      <text>
        <r>
          <rPr>
            <sz val="8"/>
            <color indexed="81"/>
            <rFont val="Tahoma"/>
            <family val="2"/>
          </rPr>
          <t>Info Alberto 30/10/25:
12.000 USD de anualidad Mktint del 01/10/27-30/09/28, contrato firmado por 3 años
Emitir fra en enero 2028
Poner en su fecha correspondiente</t>
        </r>
      </text>
    </comment>
    <comment ref="DG60" authorId="3" shapeId="0" xr:uid="{B9BA9999-3D5D-43A3-B6B3-F999AA06CA04}">
      <text>
        <r>
          <rPr>
            <sz val="9"/>
            <color indexed="81"/>
            <rFont val="Tahoma"/>
            <family val="2"/>
          </rPr>
          <t xml:space="preserve">16.500€ anualidad desde 01/01/26 a 31/12/26. </t>
        </r>
        <r>
          <rPr>
            <b/>
            <sz val="9"/>
            <color indexed="81"/>
            <rFont val="Tahoma"/>
            <family val="2"/>
          </rPr>
          <t xml:space="preserve">
</t>
        </r>
        <r>
          <rPr>
            <sz val="9"/>
            <color indexed="81"/>
            <rFont val="Tahoma"/>
            <family val="2"/>
          </rPr>
          <t>Fra del 15/04/26  
Cobro previsto: mayo
Abonado Caixa: 04/05/26</t>
        </r>
      </text>
    </comment>
    <comment ref="BJ63" authorId="0" shapeId="0" xr:uid="{1178FD63-DDAB-42AA-85ED-D410558B7868}">
      <text>
        <r>
          <rPr>
            <b/>
            <sz val="9"/>
            <color indexed="81"/>
            <rFont val="Tahoma"/>
            <family val="2"/>
          </rPr>
          <t>Anotado en nov</t>
        </r>
        <r>
          <rPr>
            <sz val="9"/>
            <color indexed="81"/>
            <rFont val="Tahoma"/>
            <family val="2"/>
          </rPr>
          <t xml:space="preserve">
</t>
        </r>
      </text>
    </comment>
    <comment ref="AC64" authorId="1" shapeId="0" xr:uid="{50B15561-6416-4F0B-A150-8163BCF1BF7A}">
      <text>
        <r>
          <rPr>
            <b/>
            <sz val="8"/>
            <color indexed="81"/>
            <rFont val="Tahoma"/>
            <family val="2"/>
          </rPr>
          <t>alfonso:</t>
        </r>
        <r>
          <rPr>
            <sz val="8"/>
            <color indexed="81"/>
            <rFont val="Tahoma"/>
            <family val="2"/>
          </rPr>
          <t xml:space="preserve">
5000 de 10 year market outlook AdHoc, pasada a empresa de francia sin IVA en una de 20.000 que incluye 15000 de anualidad Mktint</t>
        </r>
      </text>
    </comment>
    <comment ref="AD64" authorId="0" shapeId="0" xr:uid="{407670A3-69B8-43D5-AB93-674E5492E0D2}">
      <text>
        <r>
          <rPr>
            <b/>
            <sz val="9"/>
            <color indexed="81"/>
            <rFont val="Tahoma"/>
            <family val="2"/>
          </rPr>
          <t>rosa:</t>
        </r>
        <r>
          <rPr>
            <sz val="9"/>
            <color indexed="81"/>
            <rFont val="Tahoma"/>
            <family val="2"/>
          </rPr>
          <t xml:space="preserve">
Factura 2 de 2 (el pago de la 1 es en feb de 2019)
6000€ + IVA
Abonado: 06/02/20</t>
        </r>
      </text>
    </comment>
    <comment ref="W66" authorId="4" shapeId="0" xr:uid="{19D3980C-F8B2-4925-BB61-284C9BA3B0A7}">
      <text>
        <r>
          <rPr>
            <b/>
            <sz val="9"/>
            <color indexed="81"/>
            <rFont val="Tahoma"/>
            <family val="2"/>
          </rPr>
          <t>Alberto Carmona:</t>
        </r>
        <r>
          <rPr>
            <sz val="9"/>
            <color indexed="81"/>
            <rFont val="Tahoma"/>
            <family val="2"/>
          </rPr>
          <t xml:space="preserve">
1h Guidepoint
fra de agosto por 270,5 USD</t>
        </r>
      </text>
    </comment>
    <comment ref="AC66" authorId="4" shapeId="0" xr:uid="{34E4B2DC-5968-4DC4-802C-93D1DC028209}">
      <text>
        <r>
          <rPr>
            <b/>
            <sz val="9"/>
            <color indexed="81"/>
            <rFont val="Tahoma"/>
            <family val="2"/>
          </rPr>
          <t>Rosa:</t>
        </r>
        <r>
          <rPr>
            <sz val="9"/>
            <color indexed="81"/>
            <rFont val="Tahoma"/>
            <family val="2"/>
          </rPr>
          <t xml:space="preserve">
Guidepoint:
fra de enero por 836,95 USD
720,83 eu entran en banco
</t>
        </r>
      </text>
    </comment>
    <comment ref="AG66" authorId="4" shapeId="0" xr:uid="{FCC2A4B5-D679-48A9-BEBD-BCCAB4DD8173}">
      <text>
        <r>
          <rPr>
            <b/>
            <sz val="9"/>
            <color indexed="81"/>
            <rFont val="Tahoma"/>
            <family val="2"/>
          </rPr>
          <t>Rosa:</t>
        </r>
        <r>
          <rPr>
            <sz val="9"/>
            <color indexed="81"/>
            <rFont val="Tahoma"/>
            <family val="2"/>
          </rPr>
          <t xml:space="preserve">
Guidepoint:
fra de mayo por 259.20 USD
215,93 eu entran en banco el 11/05/20
</t>
        </r>
      </text>
    </comment>
    <comment ref="BE66" authorId="4" shapeId="0" xr:uid="{D4E3B8D1-F5B9-464D-AD75-7A2E48754123}">
      <text>
        <r>
          <rPr>
            <b/>
            <sz val="9"/>
            <color indexed="81"/>
            <rFont val="Tahoma"/>
            <family val="2"/>
          </rPr>
          <t>Rosa:</t>
        </r>
        <r>
          <rPr>
            <sz val="9"/>
            <color indexed="81"/>
            <rFont val="Tahoma"/>
            <family val="2"/>
          </rPr>
          <t xml:space="preserve">
Guidepoint:
fra de marzo por 714,55 USD
650€ entran en banco el 11/03/22
</t>
        </r>
      </text>
    </comment>
    <comment ref="BW66" authorId="4" shapeId="0" xr:uid="{9032323A-25A3-40BD-AB87-D07E6997FE37}">
      <text>
        <r>
          <rPr>
            <b/>
            <sz val="9"/>
            <color indexed="81"/>
            <rFont val="Tahoma"/>
            <family val="2"/>
          </rPr>
          <t>Rosa:</t>
        </r>
        <r>
          <rPr>
            <sz val="9"/>
            <color indexed="81"/>
            <rFont val="Tahoma"/>
            <family val="2"/>
          </rPr>
          <t xml:space="preserve">
Guidepoint:
fra de agosto por 299,79 USD
273,33€ entran en banco el 14/08/23
</t>
        </r>
      </text>
    </comment>
    <comment ref="AL67" authorId="1" shapeId="0" xr:uid="{97F2B88C-2A6A-4B92-943F-51F11A3CDE30}">
      <text>
        <r>
          <rPr>
            <b/>
            <sz val="8"/>
            <color indexed="81"/>
            <rFont val="Tahoma"/>
            <family val="2"/>
          </rPr>
          <t>Rosa:</t>
        </r>
        <r>
          <rPr>
            <sz val="8"/>
            <color indexed="81"/>
            <rFont val="Tahoma"/>
            <family val="2"/>
          </rPr>
          <t xml:space="preserve">
19508 EUR Ad Hoc: 43,35 h* 450 Eu/h
Fra del 03/09/20
Cobro previsto: septiembre
Abonado Caixa: 29/09/20</t>
        </r>
      </text>
    </comment>
    <comment ref="AM67" authorId="1" shapeId="0" xr:uid="{8584B022-69BB-415F-AA90-DC2009748A76}">
      <text>
        <r>
          <rPr>
            <b/>
            <sz val="8"/>
            <color indexed="81"/>
            <rFont val="Tahoma"/>
            <family val="2"/>
          </rPr>
          <t>Rosa:</t>
        </r>
        <r>
          <rPr>
            <sz val="8"/>
            <color indexed="81"/>
            <rFont val="Tahoma"/>
            <family val="2"/>
          </rPr>
          <t xml:space="preserve">
2782,50 EUR Ad Hoc: 6,18 h* 450 Eu/h
Fra del 02/10/20
Cobro previsto: octubre
Abonado Caixa: 14/10/20</t>
        </r>
      </text>
    </comment>
    <comment ref="AO68" authorId="1" shapeId="0" xr:uid="{C7E67086-109A-4DFF-943E-1F00C149431D}">
      <text>
        <r>
          <rPr>
            <b/>
            <sz val="8"/>
            <color indexed="81"/>
            <rFont val="Tahoma"/>
            <family val="2"/>
          </rPr>
          <t>Rosa:</t>
        </r>
        <r>
          <rPr>
            <sz val="8"/>
            <color indexed="81"/>
            <rFont val="Tahoma"/>
            <family val="2"/>
          </rPr>
          <t xml:space="preserve">
2663,97 EUR Ad Hoc
Fra del 10/12/20
Cobro previsto: diciembre
Abonado Caixa: 11/12/20</t>
        </r>
      </text>
    </comment>
    <comment ref="CU69" authorId="4" shapeId="0" xr:uid="{3DB0E324-E8F7-4BE8-81F4-F89F8B789A01}">
      <text>
        <r>
          <rPr>
            <sz val="9"/>
            <color indexed="81"/>
            <rFont val="Tahoma"/>
            <family val="2"/>
          </rPr>
          <t xml:space="preserve">GranBio:
Fra del 29/05/25 por 5.980€
5.980€ Cobro previsto Cta VFX €: junio
Abonado Cta VFX € el 10/06/25
Llegan 5975€, 5€ menos
--------------------------------
</t>
        </r>
      </text>
    </comment>
    <comment ref="CV69" authorId="4" shapeId="0" xr:uid="{6D83D6E1-559C-4059-A770-162CA593DBA4}">
      <text>
        <r>
          <rPr>
            <sz val="9"/>
            <color indexed="81"/>
            <rFont val="Tahoma"/>
            <family val="2"/>
          </rPr>
          <t xml:space="preserve">GranBio:
Fra del 19/06/25 por  10.000€ por entrega del informe el 19/06/25
10.000€ Cobro previsto Cta VFX €: junio
Abonado Cta VFX € el 08/07/25
Llegan 9995€, 5€ menos
-----------------------------
</t>
        </r>
      </text>
    </comment>
    <comment ref="DI69" authorId="4" shapeId="0" xr:uid="{620AAF67-0EAB-49B0-947E-95E0E70F9398}">
      <text>
        <r>
          <rPr>
            <sz val="9"/>
            <color indexed="81"/>
            <rFont val="Tahoma"/>
            <family val="2"/>
          </rPr>
          <t>GranBio:
Fra pendiente por 13.920€ después de la discusión del informe
-2.135€: Dto
11.785€: Confirmar con Alberto importe</t>
        </r>
      </text>
    </comment>
    <comment ref="V71" authorId="5" shapeId="0" xr:uid="{769C9DFD-919D-4A1A-925F-36192974D5A3}">
      <text>
        <r>
          <rPr>
            <b/>
            <sz val="9"/>
            <color indexed="81"/>
            <rFont val="Tahoma"/>
            <family val="2"/>
          </rPr>
          <t>Backoffice:</t>
        </r>
        <r>
          <rPr>
            <sz val="9"/>
            <color indexed="81"/>
            <rFont val="Tahoma"/>
            <family val="2"/>
          </rPr>
          <t xml:space="preserve">
1174 cbm brokeados con Interalco</t>
        </r>
      </text>
    </comment>
    <comment ref="T73" authorId="6" shapeId="0" xr:uid="{4C2F55F9-45B9-4FFB-B9E7-557E29A6C5F2}">
      <text>
        <r>
          <rPr>
            <b/>
            <sz val="9"/>
            <color indexed="81"/>
            <rFont val="Tahoma"/>
            <family val="2"/>
          </rPr>
          <t>Alberto:</t>
        </r>
        <r>
          <rPr>
            <sz val="9"/>
            <color indexed="81"/>
            <rFont val="Tahoma"/>
            <family val="2"/>
          </rPr>
          <t xml:space="preserve">
0,66 USD/cbm x 10k cbm
=2666700*0,0025/1,13
fra de mayo por 6666,75USD</t>
        </r>
      </text>
    </comment>
    <comment ref="W73" authorId="1" shapeId="0" xr:uid="{2F2A4D45-A585-40D5-8106-4CB5D5509F6A}">
      <text>
        <r>
          <rPr>
            <b/>
            <sz val="8"/>
            <color indexed="81"/>
            <rFont val="Tahoma"/>
            <family val="2"/>
          </rPr>
          <t>alfonso:</t>
        </r>
        <r>
          <rPr>
            <sz val="8"/>
            <color indexed="81"/>
            <rFont val="Tahoma"/>
            <family val="2"/>
          </rPr>
          <t xml:space="preserve">
la factura es de agosto por 6,063,36 USD¿?</t>
        </r>
      </text>
    </comment>
    <comment ref="AA74" authorId="4" shapeId="0" xr:uid="{00B67B07-2F50-40B4-B029-8E44AF8C7C85}">
      <text>
        <r>
          <rPr>
            <b/>
            <sz val="9"/>
            <color indexed="81"/>
            <rFont val="Tahoma"/>
            <family val="2"/>
          </rPr>
          <t>Alberto Carmona:</t>
        </r>
        <r>
          <rPr>
            <sz val="9"/>
            <color indexed="81"/>
            <rFont val="Tahoma"/>
            <family val="2"/>
          </rPr>
          <t xml:space="preserve">
7k cbm brokeados con Cremer @ 2USD/cbm
12803,93 eu entran en banco
25,61 de comision bancaria</t>
        </r>
      </text>
    </comment>
    <comment ref="AH74" authorId="4" shapeId="0" xr:uid="{3AF21C96-67DF-4211-A7E4-A6A4C3FE54E7}">
      <text>
        <r>
          <rPr>
            <b/>
            <sz val="9"/>
            <color indexed="81"/>
            <rFont val="Tahoma"/>
            <family val="2"/>
          </rPr>
          <t>Alberto Carmona:</t>
        </r>
        <r>
          <rPr>
            <sz val="9"/>
            <color indexed="81"/>
            <rFont val="Tahoma"/>
            <family val="2"/>
          </rPr>
          <t xml:space="preserve">
Parece que no van a tener volumen</t>
        </r>
      </text>
    </comment>
    <comment ref="AS74" authorId="0" shapeId="0" xr:uid="{C993DBA6-4BB2-461A-B7CA-2659C89CB9B5}">
      <text>
        <r>
          <rPr>
            <b/>
            <sz val="9"/>
            <color indexed="81"/>
            <rFont val="Tahoma"/>
            <family val="2"/>
          </rPr>
          <t>rosa:</t>
        </r>
        <r>
          <rPr>
            <sz val="9"/>
            <color indexed="81"/>
            <rFont val="Tahoma"/>
            <family val="2"/>
          </rPr>
          <t xml:space="preserve">
Seaboard-Rosadani 7500 cbm x 2 USD/cbm
Info Alberto: 22/09/20
Emitir fra en noviembre, avisar a Alberto
Posponemos hasta febrero
16/02/21: Info Alberto: Posponemos hasta marzo
Fra del 02/03/21
Cobro previsto: Marzo.
27/03/21: Email Alberto:l Pago realizado, debe de aparecer en los próximos días
Abonado en Caixa USD: 21/04/21.</t>
        </r>
      </text>
    </comment>
    <comment ref="BL74" authorId="4" shapeId="0" xr:uid="{2853D7D6-BBE5-4A18-ADAA-F3AE76198751}">
      <text>
        <r>
          <rPr>
            <b/>
            <sz val="9"/>
            <color indexed="81"/>
            <rFont val="Tahoma"/>
            <family val="2"/>
          </rPr>
          <t>Alberto Carmona:</t>
        </r>
        <r>
          <rPr>
            <sz val="9"/>
            <color indexed="81"/>
            <rFont val="Tahoma"/>
            <family val="2"/>
          </rPr>
          <t xml:space="preserve">
15k cbm x 2 usd/cbm</t>
        </r>
      </text>
    </comment>
    <comment ref="X75" authorId="5" shapeId="0" xr:uid="{26701C26-0527-47EB-AF51-A222FB7AED70}">
      <text>
        <r>
          <rPr>
            <b/>
            <sz val="9"/>
            <color indexed="81"/>
            <rFont val="Tahoma"/>
            <family val="2"/>
          </rPr>
          <t>Backoffice:</t>
        </r>
        <r>
          <rPr>
            <sz val="9"/>
            <color indexed="81"/>
            <rFont val="Tahoma"/>
            <family val="2"/>
          </rPr>
          <t xml:space="preserve">
12k brokeados con Murex
=12126,722*1,789=21,694,71
en factura pone 24.253,44 USD</t>
        </r>
      </text>
    </comment>
    <comment ref="Z75" authorId="4" shapeId="0" xr:uid="{5EEFA3EA-DF0B-44FE-BCE1-4198F13C4A8F}">
      <text>
        <r>
          <rPr>
            <sz val="9"/>
            <color indexed="81"/>
            <rFont val="Tahoma"/>
            <family val="2"/>
          </rPr>
          <t>7167 cbm brokeados con Seaboard @ 2USD/cbm
12963 eu entran en banco
25,93 de comision bancaria</t>
        </r>
      </text>
    </comment>
    <comment ref="AM75" authorId="4" shapeId="0" xr:uid="{E6FAE50E-BC87-4E66-A78E-85988A3E241A}">
      <text>
        <r>
          <rPr>
            <b/>
            <sz val="9"/>
            <color indexed="81"/>
            <rFont val="Tahoma"/>
            <family val="2"/>
          </rPr>
          <t>Rosa:
Info Alberto 07/07/20:</t>
        </r>
        <r>
          <rPr>
            <sz val="9"/>
            <color indexed="81"/>
            <rFont val="Tahoma"/>
            <family val="2"/>
          </rPr>
          <t xml:space="preserve">
7500 USD (7500 cbm x 1 USD/cbm) – factura a emitir en Sep, cobro estimado Oct
</t>
        </r>
        <r>
          <rPr>
            <b/>
            <sz val="9"/>
            <color indexed="81"/>
            <rFont val="Tahoma"/>
            <family val="2"/>
          </rPr>
          <t>Info Alberto 22/09/20</t>
        </r>
        <r>
          <rPr>
            <sz val="9"/>
            <color indexed="81"/>
            <rFont val="Tahoma"/>
            <family val="2"/>
          </rPr>
          <t xml:space="preserve">
brokerage fee for 7.522 cbm sold to Cremer by CCI @ 2 USD/cbm.
Fra del 23/09/20
Cobro previsto: octubre
Abonado Cta Ebury: 08/10/20</t>
        </r>
      </text>
    </comment>
    <comment ref="AZ75" authorId="3" shapeId="0" xr:uid="{AB99CD1B-B223-4159-BE79-C10F1CB3C93A}">
      <text>
        <r>
          <rPr>
            <b/>
            <sz val="9"/>
            <color indexed="81"/>
            <rFont val="Tahoma"/>
            <family val="2"/>
          </rPr>
          <t xml:space="preserve">Info Alberto 11/05/21:
Contrato cerrado. </t>
        </r>
        <r>
          <rPr>
            <sz val="9"/>
            <color indexed="81"/>
            <rFont val="Tahoma"/>
            <family val="2"/>
          </rPr>
          <t xml:space="preserve">
9.804,98 cbm ACA-Cremer x 2 USD/cbm 1H Aug loading.  
Emitir factura con fecha 15 Octubre
Fra del 15/10/21
Cobro Fra previsto Cta VFX: Noviembre 2021.
Abonado VFX: 28/10/21
Tc: 1,1645</t>
        </r>
      </text>
    </comment>
    <comment ref="AL76" authorId="4" shapeId="0" xr:uid="{995895A1-775D-4415-9EA9-0FFAAAF1ED19}">
      <text>
        <r>
          <rPr>
            <b/>
            <sz val="9"/>
            <color indexed="81"/>
            <rFont val="Tahoma"/>
            <family val="2"/>
          </rPr>
          <t>Rosa:
Info Alberto 29/06/20:</t>
        </r>
        <r>
          <rPr>
            <sz val="9"/>
            <color indexed="81"/>
            <rFont val="Tahoma"/>
            <family val="2"/>
          </rPr>
          <t xml:space="preserve">
7500 cbm*0,75 USD/cbm
Emitir fra a mediados  agosto, cobrar al cliente en septiembre
5659 USD (7544*0,75)
Fra del 19/08/20
Cobro previsto: septiembre
Abonado Cta Ebury: 21/09/20</t>
        </r>
      </text>
    </comment>
    <comment ref="AO76" authorId="4" shapeId="0" xr:uid="{BA26F74F-57E2-4B51-971B-ADC8735EF3E2}">
      <text>
        <r>
          <rPr>
            <b/>
            <sz val="9"/>
            <color indexed="81"/>
            <rFont val="Tahoma"/>
            <family val="2"/>
          </rPr>
          <t>Rosa:
Info Alberto 11/09/20:</t>
        </r>
        <r>
          <rPr>
            <sz val="9"/>
            <color indexed="81"/>
            <rFont val="Tahoma"/>
            <family val="2"/>
          </rPr>
          <t xml:space="preserve">
8500 cbm*0,75 USD/cbm
Emitir fra en octubre
6375 USD (8500*0,75)
Fra del 09/11/20
Cobro previsto: noviembre, facilitada Cta Caixa en fra
Tc aplicado: 1,2267
4677,18 E entran en banco
1 E comision bancaria
Abonado: 18/12/20
Ingresan 10% menos, OK ALF 21/12/20: Es una retención, pndte RE Sinver para saber si esa retención la recuperamos o no.
Info Sinver 30/12/20: la citada cantidad se podrá deducir en la declaración del Impuesto de Sociedades en España.
Solicitado a Verónica en cierre de dic 20</t>
        </r>
      </text>
    </comment>
    <comment ref="AT76" authorId="4" shapeId="0" xr:uid="{56092C1D-5F07-49F8-AF51-02EABFDA3A3E}">
      <text>
        <r>
          <rPr>
            <b/>
            <sz val="9"/>
            <color indexed="81"/>
            <rFont val="Tahoma"/>
            <family val="2"/>
          </rPr>
          <t>Rosa:
Info Alberto 22/09/20:</t>
        </r>
        <r>
          <rPr>
            <sz val="9"/>
            <color indexed="81"/>
            <rFont val="Tahoma"/>
            <family val="2"/>
          </rPr>
          <t xml:space="preserve">
 ACA-Rosadani 3500 cbm x 2 usd/cbm
Emitir fra en noviembre, avisar a Alberto
Posponemos hasta febrero
16/02/21: Info Alberto: Posponemos hasta marzo
16/03/21: Info Alberto: Posponemos hasta abril
Info de alberto 31/03/21: El precio se modifica a 0,75 usd/cbm.
Fra del 05/04/21
Cobro previsto en abril.
Abonado 2.362,50 USD: 31/05/21.
No se ha cobrado el total de la factura, por importe de 2.625 USD porque viene impuesto deducido. 
Tc = 1,2201
Ingresan 10% menos, OK ALF 21/12/20: Es una retención, 
Info Sinver 30/12/20: la citada cantidad se podrá deducir en la declaración del Impuesto de Sociedades en España.
</t>
        </r>
      </text>
    </comment>
    <comment ref="AU76" authorId="0" shapeId="0" xr:uid="{27ED31C9-CB2D-4DEE-90CF-5E37462560BB}">
      <text>
        <r>
          <rPr>
            <b/>
            <sz val="9"/>
            <color indexed="81"/>
            <rFont val="Tahoma"/>
            <family val="2"/>
          </rPr>
          <t>Anotado en abril</t>
        </r>
        <r>
          <rPr>
            <sz val="9"/>
            <color indexed="81"/>
            <rFont val="Tahoma"/>
            <family val="2"/>
          </rPr>
          <t xml:space="preserve">
</t>
        </r>
      </text>
    </comment>
    <comment ref="BB76" authorId="3" shapeId="0" xr:uid="{C79B57BE-F62B-4097-BC87-874F3FDFC7DA}">
      <text>
        <r>
          <rPr>
            <b/>
            <sz val="9"/>
            <color indexed="81"/>
            <rFont val="Tahoma"/>
            <family val="2"/>
          </rPr>
          <t xml:space="preserve">Info Alberto 11/05/21:
Contrato cerrado. 
</t>
        </r>
        <r>
          <rPr>
            <sz val="9"/>
            <color indexed="81"/>
            <rFont val="Tahoma"/>
            <family val="2"/>
          </rPr>
          <t>9.804,98 cbm ACA-Cremer x 0,75 USD/cbm 1H Aug loading.  
Emitir factura en Octubre
Fra del 20/10/21
Cobro Fra Cta VFX: 02/12/21
Tc aplicado: 1,1291
Ingresan 10% menos: Es una retención, este importe se podrá deducir en la declaración del Impuesto de Sociedades en España.
Solicitado a David el 03/12/21</t>
        </r>
      </text>
    </comment>
    <comment ref="BE76" authorId="4" shapeId="0" xr:uid="{4AE63EC2-4003-4428-8D0C-5161BEFF3A53}">
      <text>
        <r>
          <rPr>
            <b/>
            <sz val="9"/>
            <color indexed="81"/>
            <rFont val="Tahoma"/>
            <family val="2"/>
          </rPr>
          <t>Rosa:
Info Alberto 11/09/20:</t>
        </r>
        <r>
          <rPr>
            <sz val="9"/>
            <color indexed="81"/>
            <rFont val="Tahoma"/>
            <family val="2"/>
          </rPr>
          <t xml:space="preserve">
8500 cbm*0,75 USD/cbm
Emitir fra en octubre
6375 USD (8500*0,75)
Fra del 09/11/20
Cobro previsto: noviembre, facilitada Cta Caixa en fra
Tc aplicado: 1,2267
4677,18 E entran en banco
1 E comision bancaria
Abonado: 18/12/20
Ingresan 10% menos, OK ALF 21/12/20: Es una retención, pndte RE Sinver para saber si esa retención la recuperamos o no
Email ALF 30/12/20: La citada cantidad se podrá deducir en la declaración del Impuesto de Sociedades en España.
</t>
        </r>
        <r>
          <rPr>
            <b/>
            <sz val="9"/>
            <color indexed="81"/>
            <rFont val="Tahoma"/>
            <family val="2"/>
          </rPr>
          <t>------------------------------------------------------------
Info Alberto 22/09/20:</t>
        </r>
        <r>
          <rPr>
            <sz val="9"/>
            <color indexed="81"/>
            <rFont val="Tahoma"/>
            <family val="2"/>
          </rPr>
          <t xml:space="preserve">
 ACA-Rosadani 3500 cbm x 2 usd/cbm
Info de alberto 31/03/21: El precio se modifica a 0,75 usd/cbm.
Fra del 05/04/21
Cobro previsto en abril.
Abonado 2.362,50 USD: 31/05/21.
No se ha cobrado el total de la factura, por importe de 2.625 USD porque viene impuesto deducido. 
Tc = 1,2201
Ingresan 10% menos, OK ALF 21/12/20: Es una retención, 
Info Sinver 30/12/20: la citada cantidad se podrá deducir en la declaración del Impuesto de Sociedades en España.
---------------------------------------------------
24/03/22: IS Confirmado por Sinver: 26805,81€
Aplicada deducción por las retenciones de Argentina (734,65€) y pagos fraccionados del 20/10 y 20/12/20 por un total de 5520,28€
26805,81€: Cargado BBVA: 25/03/22</t>
        </r>
      </text>
    </comment>
    <comment ref="BR76" authorId="3" shapeId="0" xr:uid="{55AE5A88-757C-4B1B-9E3F-5218DB3063AA}">
      <text>
        <r>
          <rPr>
            <b/>
            <sz val="9"/>
            <color indexed="81"/>
            <rFont val="Tahoma"/>
            <family val="2"/>
          </rPr>
          <t xml:space="preserve">Info Alberto 11/05/21:
Contrato cerrado. 
</t>
        </r>
        <r>
          <rPr>
            <sz val="9"/>
            <color indexed="81"/>
            <rFont val="Tahoma"/>
            <family val="2"/>
          </rPr>
          <t xml:space="preserve">9.804,98 cbm ACA-Cremer x 0,75 USD/cbm 1H Aug loading.  
Emitir factura en Octubre
Fra del 20/10/21
Cobro Fra Cta VFX: 02/12/21
Tc aplicado: 1,128664
Ingresan 10% menos: Es una retención, este importe se podrá deducir en la declaración del Impuesto de Sociedades en España.
Solicitado a David el 07/12/21
197100€: Cargado BBVA: 23/03/23
20/03/23: Confirmado por Sinver: 227.071,42€
Aplicada deducción por las retenciones de Argentina (735,37$=651,54€) y pago fraccionado del 20/04/22 por un total de 5.818,70€
197.100€: Lo cargarán en BBVA el 25/03/23
197100€: Cargado BBVA: 23/03/23
El resto 29.971,42€ + 3,75%
-------------------------------------
20000 USD: Fee mínimo
Fra del 19/12/22
Cobro previsto Cta VFX: Enero
Reclamado: 22/02/23
Info Alberto 16/03/23: Modificamos fra a fecha actual
Fra de Abono del 16/03/23
Fra fecha correcta del 16/03/23
Cobro Fra Cta VFX: 24/03/23
Tc aplicado: 1,0745 
Ingresan 10% menos: Es una retención, este importe se podrá deducir en la declaración del Impuesto de Sociedades en España.
Solicitar a David </t>
        </r>
      </text>
    </comment>
    <comment ref="CI76" authorId="3" shapeId="0" xr:uid="{04F185F9-B7D9-40B3-8FC4-32062E90D037}">
      <text>
        <r>
          <rPr>
            <sz val="9"/>
            <color indexed="81"/>
            <rFont val="Tahoma"/>
            <family val="2"/>
          </rPr>
          <t>20000 USD: Fee mínimo
Fra del 19/12/22
Cobro previsto Cta VFX: Enero
Reclamado: 22/02/23
Info Alberto 16/03/23: Modificamos fra a fecha actual
Fra de Abono del 16/03/23
Fra fecha correcta del 16/03/23
Cobro Fra Cta VFX: 24/03/23
Ingresan 10% menos: Es una retención, este importe se podrá deducir en la declaración del Impuesto de Sociedades en España.
Solicitar a David 
22/03/24: Confirmado por Sinver: 10.499,12€
Aplicada deducción por las retenciones de Argentina (2000$=2.151,80€) y pago fraccionado del 20/04/22 por un total de 5.818,70€
197.100€: Lo cargarán en BBVA el 25/03/23
197100€: Cargado BBVA: 23/03/23
El resto 29.971,42€ + 3,75%
21/03/24: Confirmado por Sinver: 10.499,12€ a devolver
IS: 17.192,30€ (25% 4.298,08€ a pagar)
Aplicada deducción por las retenciones de Argentina (2000$=2.151,80€) y pagos fraccionados de octubre y diciembre 2022 y de abril 2023 por un total de 12.645,40€
10.499,12€: Pndte ingreso en Caixa
Ingresado Caixa por el total 10.499,12€ el 09/07/24 (8.347,32€+2.151,80€ retención ACA BIO)</t>
        </r>
      </text>
    </comment>
    <comment ref="CL76" authorId="2" shapeId="0" xr:uid="{B29D5045-F3ED-46B0-BA25-D75C7D4CAB37}">
      <text>
        <r>
          <rPr>
            <sz val="9"/>
            <color indexed="81"/>
            <rFont val="Tahoma"/>
            <family val="2"/>
          </rPr>
          <t>40.000 USD: Honorarios periodo 2023/2024
Fra del 16/09/24 realizada a Control Union
Cobro previsto Cta VFX: octubre</t>
        </r>
        <r>
          <rPr>
            <b/>
            <sz val="9"/>
            <color indexed="81"/>
            <rFont val="Tahoma"/>
            <family val="2"/>
          </rPr>
          <t xml:space="preserve">
Info Alberto 17/09/24: Anular las 2 facturas de Aca Bio cuando llegue el pago de CU
</t>
        </r>
        <r>
          <rPr>
            <sz val="9"/>
            <color indexed="81"/>
            <rFont val="Tahoma"/>
            <family val="2"/>
          </rPr>
          <t>Abonado Cta VFX USD: 30/09/24
Tc: 1,1196</t>
        </r>
      </text>
    </comment>
    <comment ref="CM76" authorId="3" shapeId="0" xr:uid="{1D2CF638-D5B3-47BA-BF9F-7BCCD6D77FC1}">
      <text>
        <r>
          <rPr>
            <sz val="9"/>
            <color indexed="81"/>
            <rFont val="Tahoma"/>
            <family val="2"/>
          </rPr>
          <t>20000 USD: Fee mínimo
Fra del 24/05/24
Cobro previsto Cta VFX: junio
Info Alberto 17/09/24: Anular las 2 facturas de Aca Bio cuando llegue el pago de CU
Fra de abono del 03/10/24
---------------------------------
20000 USD: Fee mínimo
Fra del 26/09/23
Cobro previsto Cta VFX: octubre
Info Alberto 17/09/24: Anular las 2 facturas de Aca Bio cuando llegue el pago de CU
Fra de abono del 03/10/24</t>
        </r>
      </text>
    </comment>
    <comment ref="DH76" authorId="3" shapeId="0" xr:uid="{B3D03412-4391-42F2-8073-5E26CF3C1665}">
      <text>
        <r>
          <rPr>
            <sz val="9"/>
            <color indexed="81"/>
            <rFont val="Tahoma"/>
            <family val="2"/>
          </rPr>
          <t>20000 USD: Fee año 2025
Fra del 16/01/26
Cobro previsto Cta VFX: febrero</t>
        </r>
      </text>
    </comment>
    <comment ref="AM77" authorId="4" shapeId="0" xr:uid="{1941353A-9E4A-416B-958E-04775E25E02E}">
      <text>
        <r>
          <rPr>
            <b/>
            <sz val="9"/>
            <color indexed="81"/>
            <rFont val="Tahoma"/>
            <family val="2"/>
          </rPr>
          <t>Rosa:
Info Alberto 07/07/20:</t>
        </r>
        <r>
          <rPr>
            <sz val="9"/>
            <color indexed="81"/>
            <rFont val="Tahoma"/>
            <family val="2"/>
          </rPr>
          <t xml:space="preserve">
11.250 USD (7500 cbm x 1,5 USD/cbm) – factura a emitir en Agosto, cobro estimado Sep
11281,72 USD (7521,147*1,5)
Fra del 16/09/20
Cobro previsto: octubre
01/10/20: Modificado datos cliente y enviada de nuevo
Abonado Cta Ebury: 02/10/20</t>
        </r>
      </text>
    </comment>
    <comment ref="AM78" authorId="4" shapeId="0" xr:uid="{7DEDEDEF-DE48-46A5-934D-0CD9A68ECB0B}">
      <text>
        <r>
          <rPr>
            <b/>
            <sz val="9"/>
            <color indexed="81"/>
            <rFont val="Tahoma"/>
            <family val="2"/>
          </rPr>
          <t>Rosa:
Info Alberto 07/07/20:</t>
        </r>
        <r>
          <rPr>
            <sz val="9"/>
            <color indexed="81"/>
            <rFont val="Tahoma"/>
            <family val="2"/>
          </rPr>
          <t xml:space="preserve">
7875 USD (7500 cbm x 1,05 USD/cbm) – factura a emitir en Sep, cobro estimado Oct
</t>
        </r>
        <r>
          <rPr>
            <b/>
            <sz val="9"/>
            <color indexed="81"/>
            <rFont val="Tahoma"/>
            <family val="2"/>
          </rPr>
          <t xml:space="preserve">
Info Alberto 12/08/20:</t>
        </r>
        <r>
          <rPr>
            <sz val="9"/>
            <color indexed="81"/>
            <rFont val="Tahoma"/>
            <family val="2"/>
          </rPr>
          <t xml:space="preserve">
1300 cbm RP-Bioagra @ 1 Eur/cbm - factura a emitir en Oct, avisar a Alberto
6768,95 E: Aca Bio/CCI/Cremer
Fra del 16/10/20
Cobro previsto: octubre
Abonado Caixa: 30/10/20
5460 E: Bioagra
Fra del 16/10/20
Cobro previsto: octubre
Abonado Caixa: 30/10/20</t>
        </r>
      </text>
    </comment>
    <comment ref="BG78" authorId="4" shapeId="0" xr:uid="{ECB058A0-128A-4BE6-B00B-BA11A4F0CEE1}">
      <text>
        <r>
          <rPr>
            <b/>
            <sz val="9"/>
            <color indexed="81"/>
            <rFont val="Tahoma"/>
            <family val="2"/>
          </rPr>
          <t xml:space="preserve">
Info Alberto 16/02/22:</t>
        </r>
        <r>
          <rPr>
            <sz val="9"/>
            <color indexed="81"/>
            <rFont val="Tahoma"/>
            <family val="2"/>
          </rPr>
          <t xml:space="preserve">
21000€ (6000 cbm x 3,5) – realizar factura para cobrar en Mayo, avisar a Alberto
</t>
        </r>
        <r>
          <rPr>
            <b/>
            <sz val="9"/>
            <color indexed="81"/>
            <rFont val="Tahoma"/>
            <family val="2"/>
          </rPr>
          <t>Info Alberto 03/03/22:</t>
        </r>
        <r>
          <rPr>
            <sz val="9"/>
            <color indexed="81"/>
            <rFont val="Tahoma"/>
            <family val="2"/>
          </rPr>
          <t xml:space="preserve">
Subir este importe anterior a 75000 USD (6000 cbm x 12,7) – realizar factura para cobrar en Mayo, avisar a Alberto
-----------------------------------------------
</t>
        </r>
        <r>
          <rPr>
            <b/>
            <sz val="9"/>
            <color indexed="81"/>
            <rFont val="Tahoma"/>
            <family val="2"/>
          </rPr>
          <t>Info Alberto 05/05/22:</t>
        </r>
        <r>
          <rPr>
            <sz val="9"/>
            <color indexed="81"/>
            <rFont val="Tahoma"/>
            <family val="2"/>
          </rPr>
          <t xml:space="preserve">
4.287,34€=Brokerage fee for 4.083,177 cbm from Czarnikow to Shell @ 1,05 Eur/cbm  
Fra del 06/05/22
Cobro previsto en junio
Abonado Caixa: 20/05/22</t>
        </r>
      </text>
    </comment>
    <comment ref="BH78" authorId="4" shapeId="0" xr:uid="{E07AB62C-91BD-4FF7-85BE-B47CCF15DB43}">
      <text>
        <r>
          <rPr>
            <b/>
            <sz val="9"/>
            <color indexed="81"/>
            <rFont val="Tahoma"/>
            <family val="2"/>
          </rPr>
          <t xml:space="preserve">
Info Alberto 16/02/22:</t>
        </r>
        <r>
          <rPr>
            <sz val="9"/>
            <color indexed="81"/>
            <rFont val="Tahoma"/>
            <family val="2"/>
          </rPr>
          <t xml:space="preserve">
21000€ (6000 cbm x 3,5) – realizar factura para cobrar en Mayo, avisar a Alberto
</t>
        </r>
        <r>
          <rPr>
            <b/>
            <sz val="9"/>
            <color indexed="81"/>
            <rFont val="Tahoma"/>
            <family val="2"/>
          </rPr>
          <t>Info Alberto 03/03/22:</t>
        </r>
        <r>
          <rPr>
            <sz val="9"/>
            <color indexed="81"/>
            <rFont val="Tahoma"/>
            <family val="2"/>
          </rPr>
          <t xml:space="preserve">
Subir este importe anterior a 75000 USD (6000 cbm x 12,7) – realizar factura para cobrar en Mayo, avisar a Alberto</t>
        </r>
        <r>
          <rPr>
            <b/>
            <sz val="9"/>
            <color indexed="81"/>
            <rFont val="Tahoma"/>
            <family val="2"/>
          </rPr>
          <t xml:space="preserve">
Info Alberto 05/05/22:</t>
        </r>
        <r>
          <rPr>
            <sz val="9"/>
            <color indexed="81"/>
            <rFont val="Tahoma"/>
            <family val="2"/>
          </rPr>
          <t xml:space="preserve">
4.287,34€=Brokerage fee for 4.083,177 cbm from Czarnikow to Shell @ 1,05 Eur/cbm  
Fra emitida el 06/05/22
</t>
        </r>
        <r>
          <rPr>
            <b/>
            <sz val="9"/>
            <color indexed="81"/>
            <rFont val="Tahoma"/>
            <family val="2"/>
          </rPr>
          <t>Info Alberto 17/06/22:</t>
        </r>
        <r>
          <rPr>
            <sz val="9"/>
            <color indexed="81"/>
            <rFont val="Tahoma"/>
            <family val="2"/>
          </rPr>
          <t xml:space="preserve">
36000€ (6000 cbm x 6) – realizar factura parcial, pndte fra por el importe restante
Fra emitida el 17/06/22
Abonado Caixa: 30/06/22</t>
        </r>
      </text>
    </comment>
    <comment ref="BJ78" authorId="4" shapeId="0" xr:uid="{9C8986C5-FC02-4473-AD8E-D0965C322F03}">
      <text>
        <r>
          <rPr>
            <b/>
            <sz val="9"/>
            <color indexed="81"/>
            <rFont val="Tahoma"/>
            <family val="2"/>
          </rPr>
          <t xml:space="preserve">
Info Alberto 16/02/22:</t>
        </r>
        <r>
          <rPr>
            <sz val="9"/>
            <color indexed="81"/>
            <rFont val="Tahoma"/>
            <family val="2"/>
          </rPr>
          <t xml:space="preserve">
21000€ (6000 cbm x 3,5) – realizar factura para cobrar en Mayo, avisar a Alberto
</t>
        </r>
        <r>
          <rPr>
            <b/>
            <sz val="9"/>
            <color indexed="81"/>
            <rFont val="Tahoma"/>
            <family val="2"/>
          </rPr>
          <t>Info Alberto 03/03/22:</t>
        </r>
        <r>
          <rPr>
            <sz val="9"/>
            <color indexed="81"/>
            <rFont val="Tahoma"/>
            <family val="2"/>
          </rPr>
          <t xml:space="preserve">
Subir este importe anterior a 75000 USD (6000 cbm x 12,7) – realizar factura para cobrar en Mayo, avisar a Alberto</t>
        </r>
        <r>
          <rPr>
            <b/>
            <sz val="9"/>
            <color indexed="81"/>
            <rFont val="Tahoma"/>
            <family val="2"/>
          </rPr>
          <t xml:space="preserve">
Info Alberto 05/05/22:</t>
        </r>
        <r>
          <rPr>
            <sz val="9"/>
            <color indexed="81"/>
            <rFont val="Tahoma"/>
            <family val="2"/>
          </rPr>
          <t xml:space="preserve">
4.287,34€=Brokerage fee for 4.083,177 cbm from Czarnikow to Shell @ 1,05 Eur/cbm  
Fra emitida el 06/05/22
</t>
        </r>
        <r>
          <rPr>
            <b/>
            <sz val="9"/>
            <color indexed="81"/>
            <rFont val="Tahoma"/>
            <family val="2"/>
          </rPr>
          <t>Info Alberto 17/06/22:</t>
        </r>
        <r>
          <rPr>
            <sz val="9"/>
            <color indexed="81"/>
            <rFont val="Tahoma"/>
            <family val="2"/>
          </rPr>
          <t xml:space="preserve">
36000€ (6000 cbm x 6) – realizar factura parcial, pndte fra por el importe restante
Fra emitida el 17/06/22
Eliminados porque el beneficio de Trade ha sido menor y con ello nuestra participacion.</t>
        </r>
      </text>
    </comment>
    <comment ref="AQ79" authorId="4" shapeId="0" xr:uid="{CE9331E7-B2F7-44F9-9766-451793D3D6F6}">
      <text>
        <r>
          <rPr>
            <b/>
            <sz val="9"/>
            <color indexed="81"/>
            <rFont val="Tahoma"/>
            <family val="2"/>
          </rPr>
          <t xml:space="preserve">Rosa:
Info Alberto 12/0820:
</t>
        </r>
        <r>
          <rPr>
            <sz val="9"/>
            <color indexed="81"/>
            <rFont val="Tahoma"/>
            <family val="2"/>
          </rPr>
          <t>1300 cbm RP-Bioagra @ 1 Eur/cbm - factura a emitir en Oct, avisar a Alberto
Info Alberto 06/11/20
brokerage fee for 2859 cbm sold to Bioagra by Ruhr Petrol @ 1 EUR/cbm.
Fra del 06/11/20
Cobro previsto: noviembre
Abonado Caixa: 17/02/21</t>
        </r>
      </text>
    </comment>
    <comment ref="BH80" authorId="4" shapeId="0" xr:uid="{A6180854-ED76-4967-870A-DBD1038BB8C6}">
      <text>
        <r>
          <rPr>
            <b/>
            <sz val="9"/>
            <color indexed="81"/>
            <rFont val="Tahoma"/>
            <family val="2"/>
          </rPr>
          <t>Info Alberto 03/03/22:</t>
        </r>
        <r>
          <rPr>
            <sz val="9"/>
            <color indexed="81"/>
            <rFont val="Tahoma"/>
            <family val="2"/>
          </rPr>
          <t xml:space="preserve">
98000 USD– realizar factura para cobrar en Junio, avisar a Alberto
Importe modificado a 80000 USD
</t>
        </r>
        <r>
          <rPr>
            <b/>
            <sz val="9"/>
            <color indexed="81"/>
            <rFont val="Tahoma"/>
            <family val="2"/>
          </rPr>
          <t>Info Alberto 03/03/22:</t>
        </r>
        <r>
          <rPr>
            <sz val="9"/>
            <color indexed="81"/>
            <rFont val="Tahoma"/>
            <family val="2"/>
          </rPr>
          <t xml:space="preserve">
49000 USD– realizar factura para cobrar en Junio, avisar a Alberto
Importe modificado a 54000 USD
---------------------------------------------------
</t>
        </r>
        <r>
          <rPr>
            <b/>
            <sz val="9"/>
            <color indexed="81"/>
            <rFont val="Tahoma"/>
            <family val="2"/>
          </rPr>
          <t>Info Alberto 05/05/22:</t>
        </r>
        <r>
          <rPr>
            <sz val="9"/>
            <color indexed="81"/>
            <rFont val="Tahoma"/>
            <family val="2"/>
          </rPr>
          <t xml:space="preserve">
15.000 USD=Agency fee for 6.000 cbm sold to Ruhr Petrol/Shell @ 2,5 USD/cbm  
84.000 USD=Agency fee for 8.400 cbm sold to Total Energies @ 10 USD/cbm 
55.120,5 USD=Agency fee for 4.083 cbm sold to Ruhr Petrol/Shell @ 13,5 USD/cbm 
Fra del 05/05/22
154120,50 USD: Cobro: ingresado e VFX Usd el 08/06/22.
Tc: 1,0743</t>
        </r>
      </text>
    </comment>
    <comment ref="BL80" authorId="4" shapeId="0" xr:uid="{A35AEC57-035E-492B-8BFC-B8EF951B11EF}">
      <text>
        <r>
          <rPr>
            <b/>
            <sz val="9"/>
            <color indexed="81"/>
            <rFont val="Tahoma"/>
            <family val="2"/>
          </rPr>
          <t>Info Alberto 03/06/22:</t>
        </r>
        <r>
          <rPr>
            <sz val="9"/>
            <color indexed="81"/>
            <rFont val="Tahoma"/>
            <family val="2"/>
          </rPr>
          <t xml:space="preserve">
30000 USD=10k cbm x 3 USD/cbm
realizar factura para cobrar en septiembre, avisar a Alberto
Eliminamos ingreso, el Trade salio negativo y puede que tengamos que asumir un coste. </t>
        </r>
      </text>
    </comment>
    <comment ref="BP80" authorId="0" shapeId="0" xr:uid="{08B430AB-D6B2-41F0-B07E-8CB0D290BF57}">
      <text>
        <r>
          <rPr>
            <sz val="9"/>
            <color indexed="81"/>
            <rFont val="Tahoma"/>
            <family val="2"/>
          </rPr>
          <t>Info Alberto 29/09/22:
20000 USD=10.000 cbm Czarnikow-EDF
realizar factura para cobrar en diciembre, avisar a Alberto
-------------------------------
Info Alberto 30/09/22:
20000USD=10.000 cbm Czarnikow-Shell
realizar factura para cobrar en enero, avisar a Alberto
---------------------------------
43400 USD=Agency fee for 43400 sold to EDF and Shell 
Fra del 01/12/22
43400 USD: Cobro previsto en VFX en diciembre
Abonado Cta VFX USD: 06/01/23
Tc: 1,0696</t>
        </r>
      </text>
    </comment>
    <comment ref="BS81" authorId="0" shapeId="0" xr:uid="{783DF819-3E65-4AFD-BF71-038866CBC89B}">
      <text>
        <r>
          <rPr>
            <sz val="9"/>
            <color indexed="81"/>
            <rFont val="Tahoma"/>
            <family val="2"/>
          </rPr>
          <t>Info Alberto 29/09/22:
20000 USD=10.000 cbm Czarnikow-EDF
realizar factura para cobrar en diciembre, avisar a Alberto
10.220 cbm sold from Czarnikow to EDF @ 2 USD/cbm 
Fra del 17/04/23
Cobro previsto: mayo
Abonado VFX USD: 27/04/23
Tc: 1,1042</t>
        </r>
      </text>
    </comment>
    <comment ref="CP82" authorId="0" shapeId="0" xr:uid="{F6B8CA97-3153-45CD-8D32-32124335003D}">
      <text>
        <r>
          <rPr>
            <sz val="9"/>
            <color indexed="81"/>
            <rFont val="Tahoma"/>
            <family val="2"/>
          </rPr>
          <t>Brokerage fee for 19.913,02 cbm to Ipiranga @ 1 €/cbm
-MT SOUTHERN XANTIS: 9,960.518 m3 at 20 deg c
-BOW PRECISION: 9,952.501 m3 at 20 deg c
Fra del 19/12/24
Cobro previsto: enero
Abonado Caixa: 03/01/25</t>
        </r>
      </text>
    </comment>
    <comment ref="AG84" authorId="0" shapeId="0" xr:uid="{69165761-BB95-4F09-AD9C-760C41BC007D}">
      <text>
        <r>
          <rPr>
            <b/>
            <sz val="9"/>
            <color indexed="81"/>
            <rFont val="Tahoma"/>
            <family val="2"/>
          </rPr>
          <t>21420 USD: Posición abierta y cerrada el 29/05/20
Tc: 1,1136</t>
        </r>
      </text>
    </comment>
    <comment ref="AH84" authorId="0" shapeId="0" xr:uid="{DFA33B59-3407-4B53-8712-E6876BE21581}">
      <text>
        <r>
          <rPr>
            <sz val="9"/>
            <color indexed="81"/>
            <rFont val="Tahoma"/>
            <family val="2"/>
          </rPr>
          <t xml:space="preserve">
-2625 USD: Posición cerrada el 02/06/20
Tc: 1,1174
-75 USD: Posición cerrada el 19/06/20
Tc: 1,121
1050 USD: Posición cerrada el 19/06/20
Tc: 1,121
19593 USD: Posición cerrada el 19/06/20
Tc: 1,121
14994 USD: Posición cerrada el 19/06/20
Tc: 1,121
</t>
        </r>
      </text>
    </comment>
    <comment ref="AW84" authorId="3" shapeId="0" xr:uid="{E499D43E-218E-47FD-AAA9-C79CE0092818}">
      <text>
        <r>
          <rPr>
            <b/>
            <sz val="9"/>
            <color indexed="81"/>
            <rFont val="Tahoma"/>
            <family val="2"/>
          </rPr>
          <t xml:space="preserve">216 EUR: Ingreso cierre posición. </t>
        </r>
      </text>
    </comment>
    <comment ref="AY84" authorId="3" shapeId="0" xr:uid="{D5606DFD-4EEF-48D3-808C-CF84F6622A19}">
      <text>
        <r>
          <rPr>
            <sz val="9"/>
            <color indexed="81"/>
            <rFont val="Tahoma"/>
            <family val="2"/>
          </rPr>
          <t>85760€: Ganancia  cierre posición. 
-17360 USD: Perdida cierre posición
Tc: 1,1629</t>
        </r>
      </text>
    </comment>
    <comment ref="BB84" authorId="3" shapeId="0" xr:uid="{1FC4FA01-EBF0-49BD-A4D9-92EE79B27105}">
      <text>
        <r>
          <rPr>
            <sz val="9"/>
            <color indexed="81"/>
            <rFont val="Tahoma"/>
            <family val="2"/>
          </rPr>
          <t xml:space="preserve">701.700,00€: Ganancia  cierre posición. 
-93.925,00€: Perdida cierre posición.
</t>
        </r>
      </text>
    </comment>
    <comment ref="BG84" authorId="3" shapeId="0" xr:uid="{E8ECF6F2-2F4F-417E-A3D7-757725262DEA}">
      <text>
        <r>
          <rPr>
            <sz val="9"/>
            <color indexed="81"/>
            <rFont val="Tahoma"/>
            <family val="2"/>
          </rPr>
          <t>637500€: Ganancia  cierre posición. 
-16642,50 USD: Perdida cierre posición
Tc: 1,1328</t>
        </r>
      </text>
    </comment>
    <comment ref="BM84" authorId="3" shapeId="0" xr:uid="{62374823-01B5-4FDD-B975-38AAC96DCD3B}">
      <text>
        <r>
          <rPr>
            <sz val="9"/>
            <color indexed="81"/>
            <rFont val="Tahoma"/>
            <family val="2"/>
          </rPr>
          <t xml:space="preserve">-19792,08 USD: Perdida cierre posición
Tc: 1,0927
</t>
        </r>
      </text>
    </comment>
    <comment ref="BN84" authorId="3" shapeId="0" xr:uid="{7E77B55B-CBEE-4356-BB16-A8366DBD95CC}">
      <text>
        <r>
          <rPr>
            <sz val="9"/>
            <color indexed="81"/>
            <rFont val="Tahoma"/>
            <family val="2"/>
          </rPr>
          <t>-5952,24 USD: Perdida cierre posición 03/11/22
Tc: 1,0927
------------------------------
26992 USD: Ganancia cierre posición 29/11/22
Tc: 1,0366
-------------------------------
-159215€: Pérdida cierre posición 04/11/22
---------------------------
-270000€: Pérdida cierre posición 14/11/22
---------------------------
-270000€: Pérdida cierre posición 14/11/22</t>
        </r>
      </text>
    </comment>
    <comment ref="BO84" authorId="3" shapeId="0" xr:uid="{F3D43202-4687-43D3-8B94-5C4E7DA369B2}">
      <text>
        <r>
          <rPr>
            <sz val="9"/>
            <color indexed="81"/>
            <rFont val="Tahoma"/>
            <family val="2"/>
          </rPr>
          <t xml:space="preserve">24375 USD: Ganancia cierre posición 02/12/22
Tc: 1,0538
---------------------------------
</t>
        </r>
      </text>
    </comment>
    <comment ref="BR84" authorId="3" shapeId="0" xr:uid="{15CCD15D-05EC-4AD1-B73F-7B608F463C16}">
      <text>
        <r>
          <rPr>
            <sz val="9"/>
            <color indexed="81"/>
            <rFont val="Tahoma"/>
            <family val="2"/>
          </rPr>
          <t xml:space="preserve">-4480 USD: Perdida cierre posición 10/03/23
Tc: 1,0596
------------------------------
5040 USD: Ganancia cierre posición 10/03/23
Tc: 1,0586
-------------------------------
</t>
        </r>
      </text>
    </comment>
    <comment ref="BV84" authorId="3" shapeId="0" xr:uid="{6AECB1C3-517B-47BA-8A7A-951C242075B9}">
      <text>
        <r>
          <rPr>
            <sz val="9"/>
            <color indexed="81"/>
            <rFont val="Tahoma"/>
            <family val="2"/>
          </rPr>
          <t xml:space="preserve">-1087,2 USD: Perdida cierre posición 21/07/23
Tc: 1,0821
Pnte confirmación de Aberto
------------------------------
</t>
        </r>
      </text>
    </comment>
    <comment ref="BW84" authorId="4" shapeId="0" xr:uid="{854AE313-15F9-4DB5-B20E-24FEA961F8CA}">
      <text>
        <r>
          <rPr>
            <b/>
            <sz val="9"/>
            <color indexed="81"/>
            <rFont val="Tahoma"/>
            <family val="2"/>
          </rPr>
          <t>Alberto Carmona:</t>
        </r>
        <r>
          <rPr>
            <sz val="9"/>
            <color indexed="81"/>
            <rFont val="Tahoma"/>
            <family val="2"/>
          </rPr>
          <t xml:space="preserve">
Estimado beneficio crush US y EU.</t>
        </r>
      </text>
    </comment>
    <comment ref="CA84" authorId="3" shapeId="0" xr:uid="{86D8CA4D-A01C-493D-A28A-79C584A476FD}">
      <text>
        <r>
          <rPr>
            <sz val="9"/>
            <color indexed="81"/>
            <rFont val="Tahoma"/>
            <family val="2"/>
          </rPr>
          <t xml:space="preserve">-11550 USD: Perdida cierre posición 29/11/23
Tc: 1,0813
------------------------------
600 USD: Ganancia cierre posición 10/11/23
Tc: 1,0683
-------------------------------
</t>
        </r>
      </text>
    </comment>
    <comment ref="CC84" authorId="3" shapeId="0" xr:uid="{59049C00-2215-48F4-AE7C-89434A497817}">
      <text>
        <r>
          <rPr>
            <sz val="9"/>
            <color indexed="81"/>
            <rFont val="Tahoma"/>
            <family val="2"/>
          </rPr>
          <t xml:space="preserve">-15.262,50 USD: Perdida cierre posición 02/01/24
Tc: 1,0813
------------------------------
21.256,20 USD: Ganancia cierre posición 04/01/24
Tc: 1,0953
-------------------------------
-66.325 USD: Perdida cierre posición 23/01/24
Tc: 1,0881
------------------------------
34.020 USD: Ganancia cierre posición 23/01/24
Tc: 1,0872
-------------------------------
12.600 USD: Ganancia cierre posición 23/01/24
Tc: 1,0872
-------------------------------
12.600 USD: Ganancia cierre posición 23/01/24
Tc: 1,0872
-------------------------------
</t>
        </r>
      </text>
    </comment>
    <comment ref="CG84" authorId="3" shapeId="0" xr:uid="{DFC4D0D8-8A14-4DA3-94BF-3BB34E02E66D}">
      <text>
        <r>
          <rPr>
            <sz val="9"/>
            <color indexed="81"/>
            <rFont val="Tahoma"/>
            <family val="2"/>
          </rPr>
          <t>15.047,50€: Ganancia cierre posición 03/05/24
---------------------------
36.500€: Ganancia cierre posición 22/05/24</t>
        </r>
      </text>
    </comment>
    <comment ref="CH84" authorId="3" shapeId="0" xr:uid="{C1FC89CC-3885-496D-82E2-AA6E3403354A}">
      <text>
        <r>
          <rPr>
            <sz val="9"/>
            <color indexed="81"/>
            <rFont val="Tahoma"/>
            <family val="2"/>
          </rPr>
          <t>16.964€: Ganancia cierre posición 05/06/24</t>
        </r>
      </text>
    </comment>
    <comment ref="CI84" authorId="3" shapeId="0" xr:uid="{51444FB6-8B47-4D57-B80F-112ACE324CA9}">
      <text>
        <r>
          <rPr>
            <sz val="9"/>
            <color indexed="81"/>
            <rFont val="Tahoma"/>
            <family val="2"/>
          </rPr>
          <t xml:space="preserve">2.744 USD: Ganancia cierre posición 10/07/24
Tc: 1,0825
-------------------------------
1.904 USD: Ganancia cierre posición 15/07/24
Tc: 1,0907
-------------------------------
-291,20 USD: Perdida cierre posición 29/07/24
Tc: 1,0865
------------------------------
10.259,20 USD: Ganancia cierre posición 30/07/24
Tc: 1,0824
-------------------------------
</t>
        </r>
      </text>
    </comment>
    <comment ref="CJ84" authorId="3" shapeId="0" xr:uid="{5E86ECF9-5395-47E1-9266-87A6C410FD8F}">
      <text>
        <r>
          <rPr>
            <sz val="9"/>
            <color indexed="81"/>
            <rFont val="Tahoma"/>
            <family val="2"/>
          </rPr>
          <t xml:space="preserve">39.704 USD: Ganancia cierre posición 08/08/24
Tc: 1,0930
-------------------------------
35.392 USD: Ganancia cierre posición 23/08/24
Tc: 1,1121
-------------------------------
59.259,20 USD: Ganancia cierre posición 26/08/24
Tc: 1,1163
-------------------------------
</t>
        </r>
      </text>
    </comment>
    <comment ref="CN84" authorId="3" shapeId="0" xr:uid="{20D58EAE-7F3B-4730-8DFD-749E1A0CEE36}">
      <text>
        <r>
          <rPr>
            <sz val="9"/>
            <color indexed="81"/>
            <rFont val="Tahoma"/>
            <family val="2"/>
          </rPr>
          <t>11.500*3= 34.500€: Ganancias cierre posición 13/11/24
----------------------
-2.100 USD: Perdida cierre posición 26/11
Tc: 1,0951
------------------------------
10.336,49€: Diferencia entre la salida de Paragon 250000USD/1,1034=226.562,97€ y lo que realmente entra en Paragon Euros: 236.899,46€</t>
        </r>
      </text>
    </comment>
    <comment ref="CP84" authorId="3" shapeId="0" xr:uid="{60C3AF4F-0133-4C53-9F05-652044075F8F}">
      <text>
        <r>
          <rPr>
            <sz val="9"/>
            <color indexed="81"/>
            <rFont val="Tahoma"/>
            <family val="2"/>
          </rPr>
          <t xml:space="preserve">9.699,90 USD: Ganancias cierre posición 06/01/25
TC: 1,0426
----------------------
10.950 USD: Ganancias cierre posición 10/01/25
TC: 1,0304
-----------------------------
-24.150*3= 72.450 USD: Perdida cierre posición 22/01/25
Tc: 1,0637
------------------------------
</t>
        </r>
      </text>
    </comment>
    <comment ref="CQ84" authorId="3" shapeId="0" xr:uid="{61234CCF-48BD-45FB-9447-7A79B0EFB7A8}">
      <text>
        <r>
          <rPr>
            <sz val="9"/>
            <color indexed="81"/>
            <rFont val="Tahoma"/>
            <family val="2"/>
          </rPr>
          <t xml:space="preserve">107.700 USD: Ganancias cierre posición 14/02/25
TC: 1,0304
----------------------
</t>
        </r>
      </text>
    </comment>
    <comment ref="CU84" authorId="0" shapeId="0" xr:uid="{11933495-9FB0-4925-9D69-1C086E83C891}">
      <text>
        <r>
          <rPr>
            <b/>
            <sz val="9"/>
            <color indexed="81"/>
            <rFont val="Tahoma"/>
            <family val="2"/>
          </rPr>
          <t xml:space="preserve">La previsión de Alberto es de 98.000€ de pérdida.
</t>
        </r>
        <r>
          <rPr>
            <sz val="9"/>
            <color indexed="81"/>
            <rFont val="Tahoma"/>
            <family val="2"/>
          </rPr>
          <t>Según el extracto de junio, la pérdida es de 117.000€
117.000€: Pérdida cierre posición 13/06/25
----------------------</t>
        </r>
      </text>
    </comment>
    <comment ref="CW84" authorId="0" shapeId="0" xr:uid="{4EC0D785-1ADF-4435-9F27-6E0DB08A6EBE}">
      <text>
        <r>
          <rPr>
            <b/>
            <sz val="9"/>
            <color indexed="81"/>
            <rFont val="Tahoma"/>
            <family val="2"/>
          </rPr>
          <t xml:space="preserve">La previsión de Alberto es de 14.250€ de pérdida.
</t>
        </r>
        <r>
          <rPr>
            <sz val="9"/>
            <color indexed="81"/>
            <rFont val="Tahoma"/>
            <family val="2"/>
          </rPr>
          <t>Según el extracto de  agosto, la pérdida es de 14.250€
14.250€: Pérdida cierre posición 05/08/25
----------------------</t>
        </r>
      </text>
    </comment>
    <comment ref="CY84" authorId="0" shapeId="0" xr:uid="{988302E2-C7B8-4DF4-A97E-564D571893CD}">
      <text>
        <r>
          <rPr>
            <b/>
            <sz val="9"/>
            <color indexed="81"/>
            <rFont val="Tahoma"/>
            <family val="2"/>
          </rPr>
          <t xml:space="preserve">La previsión de Alberto es de 37.094€ de pérdida.
</t>
        </r>
        <r>
          <rPr>
            <sz val="9"/>
            <color indexed="81"/>
            <rFont val="Tahoma"/>
            <family val="2"/>
          </rPr>
          <t>Según el extracto de  septiembre, la pérdida es de 37.093,50€
37.093,50€: Pérdida cierre posición 04/09/25
----------------------</t>
        </r>
      </text>
    </comment>
    <comment ref="CZ84" authorId="0" shapeId="0" xr:uid="{59F8BD04-1B61-4B47-A8A6-84717A925EC5}">
      <text>
        <r>
          <rPr>
            <b/>
            <sz val="9"/>
            <color indexed="81"/>
            <rFont val="Tahoma"/>
            <family val="2"/>
          </rPr>
          <t xml:space="preserve">La previsión de Alberto es de 8.824€ de pérdida.
</t>
        </r>
        <r>
          <rPr>
            <sz val="9"/>
            <color indexed="81"/>
            <rFont val="Tahoma"/>
            <family val="2"/>
          </rPr>
          <t>Según el extracto de octubre, la pérdida es de 8.824€
8.824€: Pérdida cierre posición 03/10/25
----------------------</t>
        </r>
      </text>
    </comment>
    <comment ref="DD84" authorId="3" shapeId="0" xr:uid="{EAC35659-D7EF-4352-B391-A32FCE53F9A8}">
      <text>
        <r>
          <rPr>
            <sz val="9"/>
            <color indexed="81"/>
            <rFont val="Tahoma"/>
            <family val="2"/>
          </rPr>
          <t xml:space="preserve">4.432,20€: Ganancia cierre posición 04/02/26
----------------------
</t>
        </r>
      </text>
    </comment>
    <comment ref="DE84" authorId="3" shapeId="0" xr:uid="{9BAE4550-409B-44DD-82B6-6E23F0CEB887}">
      <text>
        <r>
          <rPr>
            <sz val="9"/>
            <color indexed="81"/>
            <rFont val="Tahoma"/>
            <family val="2"/>
          </rPr>
          <t xml:space="preserve">17.460€: Ganancia cierre posición 04/03/26
----------------------
</t>
        </r>
      </text>
    </comment>
    <comment ref="DF84" authorId="3" shapeId="0" xr:uid="{0D2241B0-6CE3-4B28-BE1F-08066D54E58C}">
      <text>
        <r>
          <rPr>
            <sz val="9"/>
            <color indexed="81"/>
            <rFont val="Tahoma"/>
            <family val="2"/>
          </rPr>
          <t xml:space="preserve">41.335,20€: Ganancia cierre posición 06/04/26
----------------------
</t>
        </r>
      </text>
    </comment>
    <comment ref="DG84" authorId="3" shapeId="0" xr:uid="{9D625E5E-4AB3-465C-9A2A-848AD2DBD1D0}">
      <text>
        <r>
          <rPr>
            <sz val="9"/>
            <color indexed="81"/>
            <rFont val="Tahoma"/>
            <family val="2"/>
          </rPr>
          <t xml:space="preserve">83.415€: Ganancia cierre posición 04/05/26
----------------------
</t>
        </r>
      </text>
    </comment>
    <comment ref="DG85" authorId="3" shapeId="0" xr:uid="{A8C377CE-70EB-4EC1-A289-0FEBE0BF7581}">
      <text>
        <r>
          <rPr>
            <sz val="9"/>
            <color indexed="81"/>
            <rFont val="Tahoma"/>
            <family val="2"/>
          </rPr>
          <t xml:space="preserve">132.025€: Ganancia del 01 al 30/04/26
Fra Nº 3 (01/05/26)
Pago recibido: 07/05/26
----------------------
</t>
        </r>
      </text>
    </comment>
    <comment ref="DH85" authorId="3" shapeId="0" xr:uid="{47A091DC-289A-44B6-85CD-2B9EC1EA542C}">
      <text>
        <r>
          <rPr>
            <sz val="9"/>
            <color indexed="81"/>
            <rFont val="Tahoma"/>
            <family val="2"/>
          </rPr>
          <t xml:space="preserve">112.487€: Ganancia del 01 al 29/05/26
Fra Nº 6 (01/06/26)
Pago recibido: 05/06/26
----------------------
</t>
        </r>
      </text>
    </comment>
    <comment ref="C87" authorId="1" shapeId="0" xr:uid="{0A4D3487-8CF2-4288-A349-309642DE1160}">
      <text>
        <r>
          <rPr>
            <b/>
            <sz val="9"/>
            <color indexed="81"/>
            <rFont val="Tahoma"/>
            <family val="2"/>
          </rPr>
          <t>alfonso:
1000 aparecia en la linea de prestamo.</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recepción</author>
    <author>programas4</author>
    <author>Alberto</author>
    <author>alfonso</author>
    <author>Alberto Carmona</author>
    <author>Maria</author>
  </authors>
  <commentList>
    <comment ref="BG6" authorId="0" shapeId="0" xr:uid="{CBF7AF19-D7F7-4451-B0D5-2A799137A36A}">
      <text>
        <r>
          <rPr>
            <sz val="9"/>
            <color indexed="81"/>
            <rFont val="Tahoma"/>
            <family val="2"/>
          </rPr>
          <t>Fra Nº 131/2022 (05/05/22):
920€+IVA 21%= 1113,20€: Conferencia del 16 al 20/05/22
Transf. Caixa realizada el 06/05/22</t>
        </r>
      </text>
    </comment>
    <comment ref="BO6" authorId="0" shapeId="0" xr:uid="{4AD4736A-0BC0-48F1-842D-8A5D69155842}">
      <text>
        <r>
          <rPr>
            <sz val="9"/>
            <color indexed="81"/>
            <rFont val="Tahoma"/>
            <family val="2"/>
          </rPr>
          <t>Invoice Number: C2212-4282 (12/12/22):
950€+IVA 21%= 1149,50€: Conferencia del 22 al 26/05/23
Transferencia Caixa realizada: 28/12/22</t>
        </r>
      </text>
    </comment>
    <comment ref="CC6" authorId="0" shapeId="0" xr:uid="{64CF0F61-609C-41C7-85CF-BCD257E34107}">
      <text>
        <r>
          <rPr>
            <sz val="9"/>
            <color indexed="81"/>
            <rFont val="Tahoma"/>
            <family val="2"/>
          </rPr>
          <t>Invoice Number: 008/2024 (16/01/24):
1.050€+IVA 21%= 1.270,50€: Conferencia del 3 al 7/06/24
Ok Alberto realizar pago
Transferencia Caixa realizada: 18/01/24</t>
        </r>
      </text>
    </comment>
    <comment ref="CP6" authorId="0" shapeId="0" xr:uid="{C715E35A-7574-48C4-AC57-400762339593}">
      <text>
        <r>
          <rPr>
            <sz val="9"/>
            <color indexed="81"/>
            <rFont val="Tahoma"/>
            <family val="2"/>
          </rPr>
          <t>Invoice Number: C00040 (30/01/25):
1.100€+IVA 21%= 1.331€: Conferencia del 2 al 6/06/25
Ok Alberto realizar pago
Transferencia Caixa realizada: 31/01/25</t>
        </r>
      </text>
    </comment>
    <comment ref="DC6" authorId="0" shapeId="0" xr:uid="{C4FE64F7-0D9D-4A91-9D5C-5D6959BB8331}">
      <text>
        <r>
          <rPr>
            <sz val="9"/>
            <color indexed="81"/>
            <rFont val="Tahoma"/>
            <family val="2"/>
          </rPr>
          <t>Invoice Number: FT PT/40 (15/01/26):
1.200€+IVA 23%= 1.476€: Conferencia del 18 al 21/05/26
Ok Alberto realizar pago
Transferencia Caixa realizada: 19/01/26</t>
        </r>
      </text>
    </comment>
    <comment ref="DH6" authorId="1" shapeId="0" xr:uid="{C07710F7-897C-43A4-A0E3-14ABDC2860F7}">
      <text>
        <r>
          <rPr>
            <sz val="9"/>
            <color indexed="81"/>
            <rFont val="Tahoma"/>
            <family val="2"/>
          </rPr>
          <t>3.630€: Pentinfor
Fra: CC/4175 (04/12/25):
Sistema ERP, importe subvencionado 3.000€
630€: Transf. Caixa realizada el 17/03/26
3.000€: Importe pendiente, ¿se compensará con la suvención?</t>
        </r>
        <r>
          <rPr>
            <b/>
            <sz val="9"/>
            <color indexed="81"/>
            <rFont val="Tahoma"/>
            <family val="2"/>
          </rPr>
          <t xml:space="preserve">
-------------------------------------
</t>
        </r>
        <r>
          <rPr>
            <sz val="9"/>
            <color indexed="81"/>
            <rFont val="Tahoma"/>
            <family val="2"/>
          </rPr>
          <t>2.420€: Pentinfor
Fra: CC/4216 (11/12/25):
Sistema CRM, importe subvencionado 2.000€
420€: Transf. Caixa realizada el 17/03/26
2.000€: Importe pendiente, ¿se compensará con la subvención?</t>
        </r>
      </text>
    </comment>
    <comment ref="D7" authorId="2" shapeId="0" xr:uid="{8DAC4B53-C090-4D15-8781-3A5588B4A90E}">
      <text>
        <r>
          <rPr>
            <b/>
            <sz val="9"/>
            <color indexed="81"/>
            <rFont val="Tahoma"/>
            <family val="2"/>
          </rPr>
          <t>Alberto:</t>
        </r>
        <r>
          <rPr>
            <sz val="9"/>
            <color indexed="81"/>
            <rFont val="Tahoma"/>
            <family val="2"/>
          </rPr>
          <t xml:space="preserve">
Resport IEA</t>
        </r>
      </text>
    </comment>
    <comment ref="Q7" authorId="2" shapeId="0" xr:uid="{FF98ACA3-F14A-4201-9E13-517E9F80063D}">
      <text>
        <r>
          <rPr>
            <b/>
            <sz val="9"/>
            <color indexed="81"/>
            <rFont val="Tahoma"/>
            <family val="2"/>
          </rPr>
          <t>Alberto:</t>
        </r>
        <r>
          <rPr>
            <sz val="9"/>
            <color indexed="81"/>
            <rFont val="Tahoma"/>
            <family val="2"/>
          </rPr>
          <t xml:space="preserve">
Goldenmac - Iphone XR</t>
        </r>
      </text>
    </comment>
    <comment ref="T7" authorId="3" shapeId="0" xr:uid="{FC55C124-71F6-411D-BE4E-C8EA9160A88D}">
      <text>
        <r>
          <rPr>
            <b/>
            <sz val="9"/>
            <color indexed="81"/>
            <rFont val="Tahoma"/>
            <family val="2"/>
          </rPr>
          <t>alfonso:</t>
        </r>
        <r>
          <rPr>
            <sz val="9"/>
            <color indexed="81"/>
            <rFont val="Tahoma"/>
            <family val="2"/>
          </rPr>
          <t xml:space="preserve">
632,33 Iphones</t>
        </r>
      </text>
    </comment>
    <comment ref="U7" authorId="2" shapeId="0" xr:uid="{E7690F65-4443-435C-AD66-0AE9D612FE4F}">
      <text>
        <r>
          <rPr>
            <b/>
            <sz val="9"/>
            <color indexed="81"/>
            <rFont val="Tahoma"/>
            <family val="2"/>
          </rPr>
          <t>Alberto:</t>
        </r>
        <r>
          <rPr>
            <sz val="9"/>
            <color indexed="81"/>
            <rFont val="Tahoma"/>
            <family val="2"/>
          </rPr>
          <t xml:space="preserve">
Iphones y renovación licnecias outlook (171+71)</t>
        </r>
      </text>
    </comment>
    <comment ref="W7" authorId="4" shapeId="0" xr:uid="{452DFAC3-A831-4ED6-AC43-D7FF9838A9B9}">
      <text>
        <r>
          <rPr>
            <b/>
            <sz val="9"/>
            <color indexed="81"/>
            <rFont val="Tahoma"/>
            <family val="2"/>
          </rPr>
          <t>Alberto Carmona:</t>
        </r>
        <r>
          <rPr>
            <sz val="9"/>
            <color indexed="81"/>
            <rFont val="Tahoma"/>
            <family val="2"/>
          </rPr>
          <t xml:space="preserve">
Ordenador Backoffice</t>
        </r>
      </text>
    </comment>
    <comment ref="AH7" authorId="3" shapeId="0" xr:uid="{7BDB357B-40D6-486F-8295-7D5941D24A62}">
      <text>
        <r>
          <rPr>
            <b/>
            <sz val="9"/>
            <color indexed="81"/>
            <rFont val="Tahoma"/>
            <family val="2"/>
          </rPr>
          <t>alfonso:</t>
        </r>
        <r>
          <rPr>
            <sz val="9"/>
            <color indexed="81"/>
            <rFont val="Tahoma"/>
            <family val="2"/>
          </rPr>
          <t xml:space="preserve">
Apple Iphone 11:
903€: Fra: 2120071073 (06/05/20)
Lo cargarán en VISA en 3 plazos
71,27 E:Renovación licencias outlook
Whitebite
Transferencia Caixa: 10/06/20 
171,22 E:Renovación licencias Microsoft office Whitebite
Transferencia Caixa: 29/06/20 
</t>
        </r>
      </text>
    </comment>
    <comment ref="AI7" authorId="0" shapeId="0" xr:uid="{FFD10EE2-277C-4E5A-A634-61DC672BBBDB}">
      <text>
        <r>
          <rPr>
            <b/>
            <sz val="9"/>
            <color indexed="81"/>
            <rFont val="Tahoma"/>
            <family val="2"/>
          </rPr>
          <t>rosa:
Apple Iphone 11:</t>
        </r>
        <r>
          <rPr>
            <sz val="9"/>
            <color indexed="81"/>
            <rFont val="Tahoma"/>
            <family val="2"/>
          </rPr>
          <t xml:space="preserve">
903€: Fra: 2120071073 (06/05/20)
Lo cargarán en VISA en 3 plazos</t>
        </r>
      </text>
    </comment>
    <comment ref="AJ7" authorId="0" shapeId="0" xr:uid="{CBD27391-7137-4745-857C-1186952B3596}">
      <text>
        <r>
          <rPr>
            <b/>
            <sz val="9"/>
            <color indexed="81"/>
            <rFont val="Tahoma"/>
            <family val="2"/>
          </rPr>
          <t>rosa:
Apple Iphone 11:</t>
        </r>
        <r>
          <rPr>
            <sz val="9"/>
            <color indexed="81"/>
            <rFont val="Tahoma"/>
            <family val="2"/>
          </rPr>
          <t xml:space="preserve">
903€: Fra: 2120071073 (06/05/20)
Lo cargarán en VISA en 3 plazos</t>
        </r>
      </text>
    </comment>
    <comment ref="AP7" authorId="0" shapeId="0" xr:uid="{AC5E1932-0A7E-4CBB-8E47-93E617A828B6}">
      <text>
        <r>
          <rPr>
            <sz val="9"/>
            <color indexed="81"/>
            <rFont val="Tahoma"/>
            <family val="2"/>
          </rPr>
          <t>Fotocopiadora-Inversión.
Inmobilizado material. Va sin IVA. Nixal se subroga en el contrato y lo cancela. La maquina pasa a propiedad de Vybsa, que seguidamente nos emite una factura de 6 E a nombre de Nixal y pasa la maquina a nombre de Nixal.</t>
        </r>
        <r>
          <rPr>
            <b/>
            <sz val="9"/>
            <color indexed="81"/>
            <rFont val="Tahoma"/>
            <family val="2"/>
          </rPr>
          <t xml:space="preserve">
Cancelación total del Contrato nº 737-40570509 (27/01/21):
418,95 E: Transferencia Caixa realizada el 27/01/21</t>
        </r>
      </text>
    </comment>
    <comment ref="AQ7" authorId="0" shapeId="0" xr:uid="{BF28163E-61B3-4A55-875E-4BB537C687A4}">
      <text>
        <r>
          <rPr>
            <sz val="9"/>
            <color indexed="81"/>
            <rFont val="Tahoma"/>
            <family val="2"/>
          </rPr>
          <t>Fotocopiadora-Inversión.
Inmobilizado material. Va sin IVA. Nixal se subroga en el contrato y lo cancela. La maquina pasa a propiedad de Vybsa, que seguidamente nos emite una factura de 6 E a nombre de Nixal y pasa la maquina a nombre de Nixal.</t>
        </r>
        <r>
          <rPr>
            <b/>
            <sz val="9"/>
            <color indexed="81"/>
            <rFont val="Tahoma"/>
            <family val="2"/>
          </rPr>
          <t xml:space="preserve">
Cancelación total del Contrato nº 737-40570509 (27/01/21):
418,95 E: Transferencia Caixa realizada el 27/01/21
-418,95 E: Devolución realizada por DLL el 10/02/21
---------------------------------
Vybsa: Fra M210007 (11/02/21):
418,95 E+6 E= 424,95+IVA 21%= 514,19 E
Cancelación contrato + compra equipo
Realizar transferencia: 12/02/21
Transf. Caixa realizada el 12/02/21</t>
        </r>
      </text>
    </comment>
    <comment ref="AR7" authorId="0" shapeId="0" xr:uid="{14480381-3757-49D6-A2BD-62806626D82B}">
      <text>
        <r>
          <rPr>
            <sz val="9"/>
            <color indexed="81"/>
            <rFont val="Tahoma"/>
            <family val="2"/>
          </rPr>
          <t xml:space="preserve">Fra del 22/03/21:
89,33 E:Actualización a licencias Premium de las cuentas de Alfonso y Rosa Microsoft office Whitebite
89,33 E:Transferencia realizada el 26/03/21.
</t>
        </r>
      </text>
    </comment>
    <comment ref="AU7" authorId="1" shapeId="0" xr:uid="{236AD825-F567-4B0F-91DD-8C4CC9CA13FF}">
      <text>
        <r>
          <rPr>
            <b/>
            <sz val="9"/>
            <color indexed="81"/>
            <rFont val="Tahoma"/>
            <family val="2"/>
          </rPr>
          <t>Whitebite</t>
        </r>
        <r>
          <rPr>
            <sz val="9"/>
            <color indexed="81"/>
            <rFont val="Tahoma"/>
            <family val="2"/>
          </rPr>
          <t xml:space="preserve">
Fra del 08/06/21:
71,27 E: Renovacion licencia Microsoft
Transferencia realizada el 08/06/21.
</t>
        </r>
      </text>
    </comment>
    <comment ref="AV7" authorId="1" shapeId="0" xr:uid="{1E010772-6A75-43B9-864B-77EFCCD4B234}">
      <text>
        <r>
          <rPr>
            <b/>
            <sz val="9"/>
            <color indexed="81"/>
            <rFont val="Tahoma"/>
            <family val="2"/>
          </rPr>
          <t>Whitebite</t>
        </r>
        <r>
          <rPr>
            <sz val="9"/>
            <color indexed="81"/>
            <rFont val="Tahoma"/>
            <family val="2"/>
          </rPr>
          <t xml:space="preserve">
457,38 Eur: Renovación 3 Licencias O365 Business Standard. 
56,27 Eur: Renovación 3 Licencias de Mantenimiento funcional y técnico. Anual. 
Fra del 28/06/21. 
Transferencia realizada el 01/07/21.</t>
        </r>
      </text>
    </comment>
    <comment ref="AZ7" authorId="0" shapeId="0" xr:uid="{B921B3FC-18AF-49DA-9089-330D18EA5FBF}">
      <text>
        <r>
          <rPr>
            <sz val="9"/>
            <color indexed="81"/>
            <rFont val="Tahoma"/>
            <family val="2"/>
          </rPr>
          <t>1559,01€: Pentinfor
Fra: CC/2547 (19/10/21):
Portátil y teclado Alberto
Cargado: 21/10/21.</t>
        </r>
      </text>
    </comment>
    <comment ref="BA7" authorId="0" shapeId="0" xr:uid="{BE397083-425F-43F2-B901-73D8C74249E3}">
      <text>
        <r>
          <rPr>
            <sz val="9"/>
            <color indexed="81"/>
            <rFont val="Tahoma"/>
            <family val="2"/>
          </rPr>
          <t>228,69€: Pentinfor
Fra: CC/2785 (09/11/21):
Doking Station
Cargado: 12/11/21.</t>
        </r>
      </text>
    </comment>
    <comment ref="BB7" authorId="0" shapeId="0" xr:uid="{1B144DA3-308B-41CF-87A1-D391D10D2F0C}">
      <text>
        <r>
          <rPr>
            <sz val="9"/>
            <color indexed="81"/>
            <rFont val="Tahoma"/>
            <family val="2"/>
          </rPr>
          <t>989,33€: K-tuin
Fra: SE21110099 (08/11/21):
Compra Iphone 13
Pagado con VISA Alberto: 08/11/21.
Cargado Caixa: 05/12/21</t>
        </r>
      </text>
    </comment>
    <comment ref="BC7" authorId="1" shapeId="0" xr:uid="{DF2DF413-6199-42ED-96D4-14576782764D}">
      <text>
        <r>
          <rPr>
            <sz val="9"/>
            <color indexed="81"/>
            <rFont val="Tahoma"/>
            <family val="2"/>
          </rPr>
          <t>Fra El Corte Ingles del 18/12/21.
Movil y auriculares: 1.198,00€.
Pagado con tarjeta VISA Alfonso.</t>
        </r>
        <r>
          <rPr>
            <b/>
            <sz val="9"/>
            <color indexed="81"/>
            <rFont val="Tahoma"/>
            <family val="2"/>
          </rPr>
          <t xml:space="preserve"> 
Cargado Caixa: 05/01/22</t>
        </r>
      </text>
    </comment>
    <comment ref="BG7" authorId="1" shapeId="0" xr:uid="{99FF38F1-44C1-4BBC-BE33-0750AB2161E9}">
      <text>
        <r>
          <rPr>
            <b/>
            <sz val="9"/>
            <color indexed="81"/>
            <rFont val="Tahoma"/>
            <family val="2"/>
          </rPr>
          <t>Whitebite</t>
        </r>
        <r>
          <rPr>
            <sz val="9"/>
            <color indexed="81"/>
            <rFont val="Tahoma"/>
            <family val="2"/>
          </rPr>
          <t xml:space="preserve">
Fra del 27/05/22:
84,34€: Renovacion licencia Microsoft (Cta Info)
Transferencia Caixa: Antes del 14/06/22
Transferencia Caixa realizada el 31/05/22</t>
        </r>
      </text>
    </comment>
    <comment ref="BI7" authorId="0" shapeId="0" xr:uid="{B344AB4C-692B-4222-A8A3-BE6E911B319A}">
      <text>
        <r>
          <rPr>
            <sz val="9"/>
            <color indexed="81"/>
            <rFont val="Tahoma"/>
            <family val="2"/>
          </rPr>
          <t xml:space="preserve">Renovación 3 licencias 
</t>
        </r>
        <r>
          <rPr>
            <b/>
            <sz val="9"/>
            <color indexed="81"/>
            <rFont val="Tahoma"/>
            <family val="2"/>
          </rPr>
          <t>Whitebite</t>
        </r>
        <r>
          <rPr>
            <sz val="9"/>
            <color indexed="81"/>
            <rFont val="Tahoma"/>
            <family val="2"/>
          </rPr>
          <t xml:space="preserve">
Fra del 24/06/22:
513,65€: Renovacion Business Standard (Ctas Admin, Alberto y Alfonso)
Transferencia Caixa: Antes del 03/07/22
Transferencia Caixa realizada el 04/07/22</t>
        </r>
      </text>
    </comment>
    <comment ref="BJ7" authorId="1" shapeId="0" xr:uid="{B94BF902-D84F-4311-AA4A-65274ADB954A}">
      <text>
        <r>
          <rPr>
            <sz val="9"/>
            <color indexed="81"/>
            <rFont val="Tahoma"/>
            <family val="2"/>
          </rPr>
          <t>Fra Mediamark del 11/07/22.
Movil Alfonso: 1.205,79€.
Pagado con tarjeta VISA Alfonso. 
Cargado Caixa: 05/08/22</t>
        </r>
        <r>
          <rPr>
            <b/>
            <sz val="9"/>
            <color indexed="81"/>
            <rFont val="Tahoma"/>
            <family val="2"/>
          </rPr>
          <t xml:space="preserve">
</t>
        </r>
        <r>
          <rPr>
            <sz val="9"/>
            <color indexed="81"/>
            <rFont val="Tahoma"/>
            <family val="2"/>
          </rPr>
          <t>Fra María Soledad Navarro del 22/08/22.
Instalacion aire acondicionado: 544,50€.
Transferencia realizada el 29/08/22.</t>
        </r>
      </text>
    </comment>
    <comment ref="BR7" authorId="0" shapeId="0" xr:uid="{29504D45-E591-4B02-970A-9D35539AD75B}">
      <text>
        <r>
          <rPr>
            <sz val="9"/>
            <color indexed="81"/>
            <rFont val="Tahoma"/>
            <family val="2"/>
          </rPr>
          <t>239,83€: Pentinfor
Fra: CC/465 (16/02/23):
Surface-Pedido de cableados para equipos informáticos Alberto
Cargado: 01/03/23</t>
        </r>
      </text>
    </comment>
    <comment ref="BU7" authorId="0" shapeId="0" xr:uid="{D7B277F0-65A1-4F4E-8B32-707161D1510D}">
      <text>
        <r>
          <rPr>
            <sz val="9"/>
            <color indexed="81"/>
            <rFont val="Tahoma"/>
            <family val="2"/>
          </rPr>
          <t>Whitebite
Fra del 09/06/23:
91,60€: Renovacion licencia Microsoft (Cta Info)
Transferencia Caixa: Antes del 14/06/23
Transf. Realizada el 13/06/23</t>
        </r>
      </text>
    </comment>
    <comment ref="BV7" authorId="0" shapeId="0" xr:uid="{9FFB1174-CB46-4EBA-9407-62B0FC4AC0EF}">
      <text>
        <r>
          <rPr>
            <sz val="9"/>
            <color indexed="81"/>
            <rFont val="Tahoma"/>
            <family val="2"/>
          </rPr>
          <t xml:space="preserve">Renovación 3 licencias 
</t>
        </r>
        <r>
          <rPr>
            <b/>
            <sz val="9"/>
            <color indexed="81"/>
            <rFont val="Tahoma"/>
            <family val="2"/>
          </rPr>
          <t>Whitebite</t>
        </r>
        <r>
          <rPr>
            <sz val="9"/>
            <color indexed="81"/>
            <rFont val="Tahoma"/>
            <family val="2"/>
          </rPr>
          <t xml:space="preserve">
Fra del 09/06/23:
565,92€: Renovacion Business Standard (Ctas Admin, Alberto y Alfonso)
Transferencia Caixa: Antes del 03/07/23
Transf. Caixa realizada el 05/07/23</t>
        </r>
      </text>
    </comment>
    <comment ref="BZ7" authorId="0" shapeId="0" xr:uid="{9D503A75-D0CE-40A8-A043-13F8DB38D0A1}">
      <text>
        <r>
          <rPr>
            <sz val="9"/>
            <color indexed="81"/>
            <rFont val="Tahoma"/>
            <family val="2"/>
          </rPr>
          <t>Whitebite
Fra del 25/09/23:
108,47€: Alta Business Standard (Cta Info)
-46,98€: Renovacion licencia Microsoft
Transferencia Caixa: Primera semana de octubre
Transf. Caixa realizada el 18/10/23</t>
        </r>
      </text>
    </comment>
    <comment ref="CC7" authorId="1" shapeId="0" xr:uid="{84C97656-4AAB-4317-BAC3-126D178043C5}">
      <text>
        <r>
          <rPr>
            <sz val="9"/>
            <color indexed="81"/>
            <rFont val="Tahoma"/>
            <family val="2"/>
          </rPr>
          <t>Fra Wivai del 20/12/23.
Portátil: 1.500,00€.
Pagado con tarjeta VISA Alfonso personal.</t>
        </r>
        <r>
          <rPr>
            <b/>
            <sz val="9"/>
            <color indexed="81"/>
            <rFont val="Tahoma"/>
            <family val="2"/>
          </rPr>
          <t xml:space="preserve"> 
Realizar transferencia: 12/01/23
Transf. Caixa realizada a ALF el 16/01/24
</t>
        </r>
      </text>
    </comment>
    <comment ref="CM7" authorId="0" shapeId="0" xr:uid="{527ABFC5-2BAE-46DB-88CF-E4A4E2FEA602}">
      <text>
        <r>
          <rPr>
            <sz val="9"/>
            <color indexed="81"/>
            <rFont val="Tahoma"/>
            <family val="2"/>
          </rPr>
          <t>Renovación 4 licencias Business Standard (Ctas (Info, Admin, Alberto y Alfonso)
Whitebite
Fra del 06/06/24:
754,56€: Renovacion Business Standard (Ctas Info, Admin, Alberto y Alfonso) + renovación mantenimiento
Transferencia Caixa: Antes del 03/07/24
OK Alf 06/06/24
Transf. Caixa realizada el 01/07/24 por financiación
Vncmto: 29/10/24</t>
        </r>
      </text>
    </comment>
    <comment ref="CU7" authorId="0" shapeId="0" xr:uid="{22F311FE-94C1-4FA3-B391-685F31769392}">
      <text>
        <r>
          <rPr>
            <sz val="9"/>
            <color indexed="81"/>
            <rFont val="Tahoma"/>
            <family val="2"/>
          </rPr>
          <t>Renovación 4 licencias Business Standard (Ctas (Info, Admin, Alberto y Alfonso)
Whitebite
Fra del 10/06/25:
754,56€: Renovacion Business Standard (Ctas Info, Admin, Alberto y Alfonso) + renovación mantenimiento
Transferencia Caixa: Antes del 04/07/25
OK Alb 11/06/25
754,56€: Transf. Caixa realizada el 26/06/25</t>
        </r>
      </text>
    </comment>
    <comment ref="CY7" authorId="0" shapeId="0" xr:uid="{3DE874AD-1D4A-427C-B58C-92AEEAA09EFA}">
      <text>
        <r>
          <rPr>
            <sz val="9"/>
            <color indexed="81"/>
            <rFont val="Tahoma"/>
            <family val="2"/>
          </rPr>
          <t xml:space="preserve">Whitebite
Fra del 03/09/25:
408,01€: Alta 1 licencia Saas-Microsoft 365 Copilot periodo del 3/9/25 al 2/9/26
OK Alb 03/09/25
408,01€: Transf. Caixa realizada el 03/09/25 </t>
        </r>
      </text>
    </comment>
    <comment ref="DE7" authorId="0" shapeId="0" xr:uid="{6662D592-6511-4761-A7F6-D79A58BB26D1}">
      <text>
        <r>
          <rPr>
            <sz val="9"/>
            <color indexed="81"/>
            <rFont val="Tahoma"/>
            <family val="2"/>
          </rPr>
          <t>3.630€: Pentinfor
Fra: CC/4175 (04/12/25):
Sistema ERP, importe subvencionado 3.000€
630€: Transf. Caixa realizada el 17/03/26
3.000€: Importe pendiente
-------------------------------------
2.420€: Pentinfor
Fra: CC/4216 (11/12/25):
Sistema CRM, importe subvencionado 2.000€
420€: Transf. Caixa realizada el 17/03/26
2.000€: Importe pendiente
1.210€: Pentinfor
Fra: CC/4289 (18/12/25):
Office 365, importe subvencionado 1.000€
-1.210€: Pentinfor
Fra rectificativa: RT/12 (03/03/26):
Office 365, importe subvencionado 1.000€
--------------------------------------
Fra El Corte Inglés del 23/02/26.
Cámara de fotos para web NA: 1.049,99€.
Pagado con tarjeta VISA Alberto: 16/02/26. 
Cargado Caixa: 05/04/26
---------------------------------</t>
        </r>
      </text>
    </comment>
    <comment ref="DH7" authorId="1" shapeId="0" xr:uid="{F0598D75-4DD7-4FA2-9A71-8B0628519090}">
      <text>
        <r>
          <rPr>
            <sz val="9"/>
            <color indexed="81"/>
            <rFont val="Tahoma"/>
            <family val="2"/>
          </rPr>
          <t xml:space="preserve">Renovación 4 licencias Business Standard (Ctas (Info, Admin, Alberto y Alfonso)
</t>
        </r>
        <r>
          <rPr>
            <b/>
            <sz val="9"/>
            <color indexed="81"/>
            <rFont val="Tahoma"/>
            <family val="2"/>
          </rPr>
          <t>Whitebite
Fra del 08/06/26:</t>
        </r>
        <r>
          <rPr>
            <sz val="9"/>
            <color indexed="81"/>
            <rFont val="Tahoma"/>
            <family val="2"/>
          </rPr>
          <t xml:space="preserve">
838,58€: Renovacion Business Standard (Ctas Info, Admin, Alberto y Alfonso) + renovación mantenimiento
Transferencia Caixa: Antes del 03/07/26
OK Alb 09/06/26
838,58€: Transf. Caixa realizada el 10/06/26
-------------------------------
</t>
        </r>
        <r>
          <rPr>
            <b/>
            <sz val="9"/>
            <color indexed="81"/>
            <rFont val="Tahoma"/>
            <family val="2"/>
          </rPr>
          <t>Fra El Corte Inglés del 09/05/26.</t>
        </r>
        <r>
          <rPr>
            <sz val="9"/>
            <color indexed="81"/>
            <rFont val="Tahoma"/>
            <family val="2"/>
          </rPr>
          <t xml:space="preserve">
Iphone 1.513,00€.
Cargado VISA Alberto el 09/05/26</t>
        </r>
        <r>
          <rPr>
            <b/>
            <sz val="9"/>
            <color indexed="81"/>
            <rFont val="Tahoma"/>
            <family val="2"/>
          </rPr>
          <t xml:space="preserve">
Cargado Caixa: 05/06/26
-------------------------</t>
        </r>
      </text>
    </comment>
    <comment ref="DJ7" authorId="1" shapeId="0" xr:uid="{CDC243FB-3240-4D5D-B06D-54E88334C296}">
      <text>
        <r>
          <rPr>
            <sz val="9"/>
            <color indexed="81"/>
            <rFont val="Tahoma"/>
            <family val="2"/>
          </rPr>
          <t>3.630€: Pentinfor
Fra: CC/4175 (04/12/25):
Sistema ERP, importe subvencionado 3.000€
630€: Transf. Caixa realizada el 17/03/26
3.000€: Importe pendiente, ¿se compensará con la suvención?</t>
        </r>
        <r>
          <rPr>
            <b/>
            <sz val="9"/>
            <color indexed="81"/>
            <rFont val="Tahoma"/>
            <family val="2"/>
          </rPr>
          <t xml:space="preserve">
-------------------------------------
</t>
        </r>
        <r>
          <rPr>
            <sz val="9"/>
            <color indexed="81"/>
            <rFont val="Tahoma"/>
            <family val="2"/>
          </rPr>
          <t>2.420€: Pentinfor
Fra: CC/4216 (11/12/25):
Sistema CRM, importe subvencionado 2.000€
420€: Transf. Caixa realizada el 17/03/26
2.000€: Importe pendiente, ¿se compensará con la subvención?</t>
        </r>
      </text>
    </comment>
    <comment ref="DV7" authorId="0" shapeId="0" xr:uid="{DF0E2073-7189-4CFC-9AFF-19D006D6FC39}">
      <text>
        <r>
          <rPr>
            <sz val="9"/>
            <color indexed="81"/>
            <rFont val="Tahoma"/>
            <family val="2"/>
          </rPr>
          <t>Renovación 4 licencias Business Standard (Ctas (Info, Admin, Alberto y Alfonso)</t>
        </r>
      </text>
    </comment>
    <comment ref="BQ8" authorId="0" shapeId="0" xr:uid="{F1FF4147-99C2-44EB-A8E6-59567D3DEA86}">
      <text>
        <r>
          <rPr>
            <b/>
            <sz val="9"/>
            <color indexed="81"/>
            <rFont val="Tahoma"/>
            <family val="2"/>
          </rPr>
          <t xml:space="preserve">
</t>
        </r>
        <r>
          <rPr>
            <sz val="9"/>
            <color indexed="81"/>
            <rFont val="Tahoma"/>
            <family val="2"/>
          </rPr>
          <t>Vybsa: 
Fra Nº A230371 (01/02/23):
23,39€: Copias 
Cargado Caixa: 16/02/23</t>
        </r>
        <r>
          <rPr>
            <b/>
            <sz val="9"/>
            <color indexed="81"/>
            <rFont val="Tahoma"/>
            <family val="2"/>
          </rPr>
          <t xml:space="preserve">
----------------------------------</t>
        </r>
      </text>
    </comment>
    <comment ref="BS8" authorId="0" shapeId="0" xr:uid="{2629CDF3-D37F-416D-A936-CD1F3790FB73}">
      <text>
        <r>
          <rPr>
            <b/>
            <sz val="9"/>
            <color indexed="81"/>
            <rFont val="Tahoma"/>
            <family val="2"/>
          </rPr>
          <t xml:space="preserve">
</t>
        </r>
        <r>
          <rPr>
            <sz val="9"/>
            <color indexed="81"/>
            <rFont val="Tahoma"/>
            <family val="2"/>
          </rPr>
          <t>Vybsa: 
Fra Nº A230864 (03/04/23):
17,09€: Copias 
Cargado Caixa: 18/04/23</t>
        </r>
        <r>
          <rPr>
            <b/>
            <sz val="9"/>
            <color indexed="81"/>
            <rFont val="Tahoma"/>
            <family val="2"/>
          </rPr>
          <t xml:space="preserve">
----------------------------------</t>
        </r>
      </text>
    </comment>
    <comment ref="BT8" authorId="0" shapeId="0" xr:uid="{0D3DF637-B476-4897-8032-EF9EA6F6C8B1}">
      <text>
        <r>
          <rPr>
            <b/>
            <sz val="9"/>
            <color indexed="81"/>
            <rFont val="Tahoma"/>
            <family val="2"/>
          </rPr>
          <t xml:space="preserve">
</t>
        </r>
        <r>
          <rPr>
            <sz val="9"/>
            <color indexed="81"/>
            <rFont val="Tahoma"/>
            <family val="2"/>
          </rPr>
          <t>Vybsa: 
Fra Nº A231078 (02/05/23):
34,05€: Copias 
Cargado Caixa: 17/05/23</t>
        </r>
        <r>
          <rPr>
            <b/>
            <sz val="9"/>
            <color indexed="81"/>
            <rFont val="Tahoma"/>
            <family val="2"/>
          </rPr>
          <t xml:space="preserve">
----------------------------------</t>
        </r>
      </text>
    </comment>
    <comment ref="BU8" authorId="0" shapeId="0" xr:uid="{BC66533D-023B-482C-AF3B-F6DC821C888F}">
      <text>
        <r>
          <rPr>
            <sz val="9"/>
            <color indexed="81"/>
            <rFont val="Tahoma"/>
            <family val="2"/>
          </rPr>
          <t xml:space="preserve">Agustin Cid (entrazos):
Fra: WN-23-27 (15/06/23):
190+20= 210€: Servidor + dominio (Nixal.es) +dominio (Nixaltrading.com) del 16/06/23 al 16/06/24
+IVA-IRPF
243,80€: Cargado en Caixa: 23/06/23
</t>
        </r>
      </text>
    </comment>
    <comment ref="BW8" authorId="0" shapeId="0" xr:uid="{FB1920DD-AF27-4D1E-9E66-06059B825CB1}">
      <text>
        <r>
          <rPr>
            <b/>
            <sz val="9"/>
            <color indexed="81"/>
            <rFont val="Tahoma"/>
            <family val="2"/>
          </rPr>
          <t xml:space="preserve">
</t>
        </r>
        <r>
          <rPr>
            <sz val="9"/>
            <color indexed="81"/>
            <rFont val="Tahoma"/>
            <family val="2"/>
          </rPr>
          <t>Vybsa: 
Fra Nº A231836 (01/08/23):
9,24€: Copias 
Cargado Caixa: 16/08/23</t>
        </r>
        <r>
          <rPr>
            <b/>
            <sz val="9"/>
            <color indexed="81"/>
            <rFont val="Tahoma"/>
            <family val="2"/>
          </rPr>
          <t xml:space="preserve">
----------------------------------</t>
        </r>
      </text>
    </comment>
    <comment ref="BZ8" authorId="0" shapeId="0" xr:uid="{37311F39-5534-4EC3-8E04-22768897F4C0}">
      <text>
        <r>
          <rPr>
            <b/>
            <sz val="9"/>
            <color indexed="81"/>
            <rFont val="Tahoma"/>
            <family val="2"/>
          </rPr>
          <t xml:space="preserve">
Copyur</t>
        </r>
        <r>
          <rPr>
            <sz val="9"/>
            <color indexed="81"/>
            <rFont val="Tahoma"/>
            <family val="2"/>
          </rPr>
          <t>: 
Fra Nº 1.083 (30/09/23):
68,97€: Copias 
Vcmto: 15/10/23
Cargado Caixa: 16/10/23</t>
        </r>
        <r>
          <rPr>
            <b/>
            <sz val="9"/>
            <color indexed="81"/>
            <rFont val="Tahoma"/>
            <family val="2"/>
          </rPr>
          <t xml:space="preserve">
----------------------------------</t>
        </r>
      </text>
    </comment>
    <comment ref="CA8" authorId="0" shapeId="0" xr:uid="{F24C8F41-2B6B-41DD-A139-84751367DCEF}">
      <text>
        <r>
          <rPr>
            <b/>
            <sz val="9"/>
            <color indexed="81"/>
            <rFont val="Tahoma"/>
            <family val="2"/>
          </rPr>
          <t xml:space="preserve">
Copyur</t>
        </r>
        <r>
          <rPr>
            <sz val="9"/>
            <color indexed="81"/>
            <rFont val="Tahoma"/>
            <family val="2"/>
          </rPr>
          <t>: 
Fra Nº 1.236 (31/10/23):
25,88€: Copias 
Vcmto: 15/11/23
Cargado Caixa: 14/11/23</t>
        </r>
        <r>
          <rPr>
            <b/>
            <sz val="9"/>
            <color indexed="81"/>
            <rFont val="Tahoma"/>
            <family val="2"/>
          </rPr>
          <t xml:space="preserve">
----------------------------------
Vybsa: 
</t>
        </r>
        <r>
          <rPr>
            <sz val="9"/>
            <color indexed="81"/>
            <rFont val="Tahoma"/>
            <family val="2"/>
          </rPr>
          <t>Fra Nº A232480 (02/11/23):
10,71€: Copias 
Cargado Caixa: 17/11/23</t>
        </r>
      </text>
    </comment>
    <comment ref="CB8" authorId="0" shapeId="0" xr:uid="{CAAA417A-4839-4540-8122-E0C0C0156E87}">
      <text>
        <r>
          <rPr>
            <b/>
            <sz val="9"/>
            <color indexed="81"/>
            <rFont val="Tahoma"/>
            <family val="2"/>
          </rPr>
          <t xml:space="preserve">
Copyur</t>
        </r>
        <r>
          <rPr>
            <sz val="9"/>
            <color indexed="81"/>
            <rFont val="Tahoma"/>
            <family val="2"/>
          </rPr>
          <t>: 
Fra Nº 1.399 (30/11/23):
29,09€: Copias 
Vcmto: 15/12/23
Cargado Caixa: 14/12/23</t>
        </r>
        <r>
          <rPr>
            <b/>
            <sz val="9"/>
            <color indexed="81"/>
            <rFont val="Tahoma"/>
            <family val="2"/>
          </rPr>
          <t xml:space="preserve">
----------------------------------
</t>
        </r>
      </text>
    </comment>
    <comment ref="CC8" authorId="0" shapeId="0" xr:uid="{C11D9EC9-2AD1-468B-8AAD-F8D349226890}">
      <text>
        <r>
          <rPr>
            <b/>
            <sz val="9"/>
            <color indexed="81"/>
            <rFont val="Tahoma"/>
            <family val="2"/>
          </rPr>
          <t xml:space="preserve">
Copyur</t>
        </r>
        <r>
          <rPr>
            <sz val="9"/>
            <color indexed="81"/>
            <rFont val="Tahoma"/>
            <family val="2"/>
          </rPr>
          <t>: 
Fra Nº 1.536 (30/12/23):
36,06€: Copias 
Vcmto: 14/01/24
Cargado Caixa: 15/01/24</t>
        </r>
        <r>
          <rPr>
            <b/>
            <sz val="9"/>
            <color indexed="81"/>
            <rFont val="Tahoma"/>
            <family val="2"/>
          </rPr>
          <t xml:space="preserve">
----------------------------------
Vybsa: 
</t>
        </r>
        <r>
          <rPr>
            <sz val="9"/>
            <color indexed="81"/>
            <rFont val="Tahoma"/>
            <family val="2"/>
          </rPr>
          <t xml:space="preserve">Fra Nº A240115 (02/01/24):
12,61€: Copias 
Cargado Caixa: 17/01/24
-------------------------------------
</t>
        </r>
        <r>
          <rPr>
            <b/>
            <sz val="9"/>
            <color indexed="81"/>
            <rFont val="Tahoma"/>
            <family val="2"/>
          </rPr>
          <t>Samtek</t>
        </r>
        <r>
          <rPr>
            <sz val="9"/>
            <color indexed="81"/>
            <rFont val="Tahoma"/>
            <family val="2"/>
          </rPr>
          <t xml:space="preserve">
74,98€: Fra: 1/000061 (22/01/24):
Ppto: 1/ 00007 (15/01/24):
Renovación 8 licencias Antivirus Home Security Essential hasta el 22/01/25
Realizar transferencia 
Transferencia realizada: 26/01/24</t>
        </r>
      </text>
    </comment>
    <comment ref="CD8" authorId="0" shapeId="0" xr:uid="{2C9F8FF0-6771-4646-B66B-9D43244B7D98}">
      <text>
        <r>
          <rPr>
            <b/>
            <sz val="9"/>
            <color indexed="81"/>
            <rFont val="Tahoma"/>
            <family val="2"/>
          </rPr>
          <t xml:space="preserve">
Copyur</t>
        </r>
        <r>
          <rPr>
            <sz val="9"/>
            <color indexed="81"/>
            <rFont val="Tahoma"/>
            <family val="2"/>
          </rPr>
          <t>: 
Fra Nº 240.104 (31/01/24):
48,52€: Copias 
Vcmto: 15/02/24
Cargado Caixa: 14/02/24</t>
        </r>
        <r>
          <rPr>
            <b/>
            <sz val="9"/>
            <color indexed="81"/>
            <rFont val="Tahoma"/>
            <family val="2"/>
          </rPr>
          <t xml:space="preserve">
----------------------------------
</t>
        </r>
      </text>
    </comment>
    <comment ref="CE8" authorId="0" shapeId="0" xr:uid="{2B7D3F26-302A-4EE9-A1D5-358A85F2303E}">
      <text>
        <r>
          <rPr>
            <b/>
            <sz val="9"/>
            <color indexed="81"/>
            <rFont val="Tahoma"/>
            <family val="2"/>
          </rPr>
          <t xml:space="preserve">
Copyur</t>
        </r>
        <r>
          <rPr>
            <sz val="9"/>
            <color indexed="81"/>
            <rFont val="Tahoma"/>
            <family val="2"/>
          </rPr>
          <t>: 
Fra Nº 240.237 (29/02/24):
73,30€: Copias 
Vcmto: 15/03/24
Cargado Caixa: 15/03/24</t>
        </r>
        <r>
          <rPr>
            <b/>
            <sz val="9"/>
            <color indexed="81"/>
            <rFont val="Tahoma"/>
            <family val="2"/>
          </rPr>
          <t xml:space="preserve">
----------------------------------
Vybsa: 
</t>
        </r>
        <r>
          <rPr>
            <sz val="9"/>
            <color indexed="81"/>
            <rFont val="Tahoma"/>
            <family val="2"/>
          </rPr>
          <t>Fra Nº A240618 (01/03/24):
15,46€: Copias 
Cargado Caixa: 12/03/24</t>
        </r>
      </text>
    </comment>
    <comment ref="CF8" authorId="0" shapeId="0" xr:uid="{DB0D27E3-A224-40E6-A799-FF6ADD3785B5}">
      <text>
        <r>
          <rPr>
            <b/>
            <sz val="9"/>
            <color indexed="81"/>
            <rFont val="Tahoma"/>
            <family val="2"/>
          </rPr>
          <t xml:space="preserve">
Copyur</t>
        </r>
        <r>
          <rPr>
            <sz val="9"/>
            <color indexed="81"/>
            <rFont val="Tahoma"/>
            <family val="2"/>
          </rPr>
          <t xml:space="preserve">: 
Fra Nº 240.369 (30/03/24):
27,58€: Copias 
Vcmto: 14/04/24
Cargado Caixa: 15/04/24 </t>
        </r>
        <r>
          <rPr>
            <b/>
            <sz val="9"/>
            <color indexed="81"/>
            <rFont val="Tahoma"/>
            <family val="2"/>
          </rPr>
          <t xml:space="preserve">
</t>
        </r>
      </text>
    </comment>
    <comment ref="CG8" authorId="0" shapeId="0" xr:uid="{074B0917-71B3-4286-8A18-F53AF5D91F4B}">
      <text>
        <r>
          <rPr>
            <b/>
            <sz val="9"/>
            <color indexed="81"/>
            <rFont val="Tahoma"/>
            <family val="2"/>
          </rPr>
          <t xml:space="preserve">
Copyur</t>
        </r>
        <r>
          <rPr>
            <sz val="9"/>
            <color indexed="81"/>
            <rFont val="Tahoma"/>
            <family val="2"/>
          </rPr>
          <t xml:space="preserve">: 
Fra Nº 240.531 (30/04/24):
16,13€: Copias 
Vcmto: 15/05/24
Cargado Caixa: 14/05/24 </t>
        </r>
        <r>
          <rPr>
            <b/>
            <sz val="9"/>
            <color indexed="81"/>
            <rFont val="Tahoma"/>
            <family val="2"/>
          </rPr>
          <t xml:space="preserve">
----------------------------------
Vybsa: 
</t>
        </r>
        <r>
          <rPr>
            <sz val="9"/>
            <color indexed="81"/>
            <rFont val="Tahoma"/>
            <family val="2"/>
          </rPr>
          <t>Fra Nº A241097 (02/05/24):
9,45€: Copias 
Cargado Caixa: 17/05/24</t>
        </r>
      </text>
    </comment>
    <comment ref="CH8" authorId="0" shapeId="0" xr:uid="{055EC6B6-C484-4B14-8AE1-9FF7DDC92402}">
      <text>
        <r>
          <rPr>
            <b/>
            <sz val="9"/>
            <color indexed="81"/>
            <rFont val="Tahoma"/>
            <family val="2"/>
          </rPr>
          <t>Copyur</t>
        </r>
        <r>
          <rPr>
            <sz val="9"/>
            <color indexed="81"/>
            <rFont val="Tahoma"/>
            <family val="2"/>
          </rPr>
          <t>: 
Fra Nº 240.664 (31/05/24):
23,85€: Copias 
Vcmto: 15/06/24
Cargado Caixa: 14/06/24</t>
        </r>
        <r>
          <rPr>
            <b/>
            <sz val="9"/>
            <color indexed="81"/>
            <rFont val="Tahoma"/>
            <family val="2"/>
          </rPr>
          <t xml:space="preserve">
----------------------------------
Vybsa: 
</t>
        </r>
        <r>
          <rPr>
            <sz val="9"/>
            <color indexed="81"/>
            <rFont val="Tahoma"/>
            <family val="2"/>
          </rPr>
          <t xml:space="preserve">Fra Nº A241261 (03/06/24):
13,75€: Copias 
Cargado Caixa: 18/06/24
------------------------------------
</t>
        </r>
        <r>
          <rPr>
            <b/>
            <sz val="9"/>
            <color indexed="81"/>
            <rFont val="Tahoma"/>
            <family val="2"/>
          </rPr>
          <t>Agustin Cid (entrazos):</t>
        </r>
        <r>
          <rPr>
            <sz val="9"/>
            <color indexed="81"/>
            <rFont val="Tahoma"/>
            <family val="2"/>
          </rPr>
          <t xml:space="preserve">
Fra: WN-24-25 (04/06/24):
200+40= 240€: Servidor + dominio (Nixal.es) +dominio (Nixaltrading.com) del 16/06/24 al 16/06/25
+IVA-IRPF
254,40€: Cargado en Caixa: 07/06/24
</t>
        </r>
      </text>
    </comment>
    <comment ref="CI8" authorId="0" shapeId="0" xr:uid="{921F41BF-4551-4928-8F8B-44C7F4BEBC72}">
      <text>
        <r>
          <rPr>
            <b/>
            <sz val="9"/>
            <color indexed="81"/>
            <rFont val="Tahoma"/>
            <family val="2"/>
          </rPr>
          <t xml:space="preserve">
Copyur</t>
        </r>
        <r>
          <rPr>
            <sz val="9"/>
            <color indexed="81"/>
            <rFont val="Tahoma"/>
            <family val="2"/>
          </rPr>
          <t>: 
Fra Nº 240.791 (30/06/24):
11,13€: Copias 
Vcmto: 15/07/24
Cargado Caixa: 12/07/24</t>
        </r>
        <r>
          <rPr>
            <b/>
            <sz val="9"/>
            <color indexed="81"/>
            <rFont val="Tahoma"/>
            <family val="2"/>
          </rPr>
          <t xml:space="preserve">
----------------------------------
</t>
        </r>
      </text>
    </comment>
    <comment ref="CL8" authorId="0" shapeId="0" xr:uid="{702290FF-8595-406B-B83B-9F0A148AD9AA}">
      <text>
        <r>
          <rPr>
            <b/>
            <sz val="9"/>
            <color indexed="81"/>
            <rFont val="Tahoma"/>
            <family val="2"/>
          </rPr>
          <t xml:space="preserve">
Copyur</t>
        </r>
        <r>
          <rPr>
            <sz val="9"/>
            <color indexed="81"/>
            <rFont val="Tahoma"/>
            <family val="2"/>
          </rPr>
          <t>: 
Fra Nº 240.984 (30/08/24):
1,15€: Copias 
Vcmto: 14/09/24
Cargado Caixa: 13/09/24</t>
        </r>
        <r>
          <rPr>
            <b/>
            <sz val="9"/>
            <color indexed="81"/>
            <rFont val="Tahoma"/>
            <family val="2"/>
          </rPr>
          <t xml:space="preserve">
----------------------------------
</t>
        </r>
      </text>
    </comment>
    <comment ref="CM8" authorId="0" shapeId="0" xr:uid="{850A5DF1-4CFD-4613-9DEE-B327F07FC972}">
      <text>
        <r>
          <rPr>
            <b/>
            <sz val="9"/>
            <color indexed="81"/>
            <rFont val="Tahoma"/>
            <family val="2"/>
          </rPr>
          <t xml:space="preserve">Copyur: 
Fra Nº 241.116 (30/09/24):
</t>
        </r>
        <r>
          <rPr>
            <sz val="9"/>
            <color indexed="81"/>
            <rFont val="Tahoma"/>
            <family val="2"/>
          </rPr>
          <t>51€: Copias 
Vcmto: 15/10/24
Cargado Caixa: 11/10/24</t>
        </r>
        <r>
          <rPr>
            <b/>
            <sz val="9"/>
            <color indexed="81"/>
            <rFont val="Tahoma"/>
            <family val="2"/>
          </rPr>
          <t xml:space="preserve">
--------------------------------
Vybsa: 
Fra Nº A242068 (01/10/24):
</t>
        </r>
        <r>
          <rPr>
            <sz val="9"/>
            <color indexed="81"/>
            <rFont val="Tahoma"/>
            <family val="2"/>
          </rPr>
          <t>26,32€: Copias
Vcmto: 16/10/24 
Cargado Caixa: 16/10/24</t>
        </r>
      </text>
    </comment>
    <comment ref="CN8" authorId="0" shapeId="0" xr:uid="{CC9C531D-2486-4FE7-A6C3-D2FD1BA5FE28}">
      <text>
        <r>
          <rPr>
            <b/>
            <sz val="9"/>
            <color indexed="81"/>
            <rFont val="Tahoma"/>
            <family val="2"/>
          </rPr>
          <t xml:space="preserve">Copyur: 
Fra Nº 241.290 (31/10/24):
</t>
        </r>
        <r>
          <rPr>
            <sz val="9"/>
            <color indexed="81"/>
            <rFont val="Tahoma"/>
            <family val="2"/>
          </rPr>
          <t>83,08€: Copias 
Vcmto: 15/11/24
Cargado Caixa: 14/11/24</t>
        </r>
        <r>
          <rPr>
            <b/>
            <sz val="9"/>
            <color indexed="81"/>
            <rFont val="Tahoma"/>
            <family val="2"/>
          </rPr>
          <t xml:space="preserve">
--------------------------------
</t>
        </r>
      </text>
    </comment>
    <comment ref="CO8" authorId="0" shapeId="0" xr:uid="{F0A4D098-DF6A-4C95-A66D-77888630392F}">
      <text>
        <r>
          <rPr>
            <b/>
            <sz val="9"/>
            <color indexed="81"/>
            <rFont val="Tahoma"/>
            <family val="2"/>
          </rPr>
          <t>Samtek</t>
        </r>
        <r>
          <rPr>
            <sz val="9"/>
            <color indexed="81"/>
            <rFont val="Tahoma"/>
            <family val="2"/>
          </rPr>
          <t xml:space="preserve">
166,69€: Fra: 1/000422 (22/07/24):
Asistencia y Disco duro sólido equipo Maria
166,69€: Realizar transferencia 
Transf. Caixa realizada el 22/08/24 por financiación
Vncmto: 20/12/24
Cargado Caixa: 20/12/24
-----------------------------------
</t>
        </r>
        <r>
          <rPr>
            <b/>
            <sz val="9"/>
            <color indexed="81"/>
            <rFont val="Tahoma"/>
            <family val="2"/>
          </rPr>
          <t xml:space="preserve">Copyur: </t>
        </r>
        <r>
          <rPr>
            <sz val="9"/>
            <color indexed="81"/>
            <rFont val="Tahoma"/>
            <family val="2"/>
          </rPr>
          <t xml:space="preserve">
Fra Nº 241.467 (29/11/24):
15,05€: Copias 
Vcmto: 15/12/24
Cargado Caixa: 13/12/24
--------------------------------
</t>
        </r>
        <r>
          <rPr>
            <b/>
            <sz val="9"/>
            <color indexed="81"/>
            <rFont val="Tahoma"/>
            <family val="2"/>
          </rPr>
          <t xml:space="preserve">Vybsa: </t>
        </r>
        <r>
          <rPr>
            <sz val="9"/>
            <color indexed="81"/>
            <rFont val="Tahoma"/>
            <family val="2"/>
          </rPr>
          <t xml:space="preserve">
Fra Nº A242517 (02/12/24):
8,80€: Copias
Vcmto: 17/12/24 
Cargado Caixa: 17/12/24</t>
        </r>
      </text>
    </comment>
    <comment ref="CP8" authorId="0" shapeId="0" xr:uid="{F0A4912F-3381-4756-A5E9-5B049844FE4B}">
      <text>
        <r>
          <rPr>
            <b/>
            <sz val="9"/>
            <color indexed="81"/>
            <rFont val="Tahoma"/>
            <family val="2"/>
          </rPr>
          <t xml:space="preserve">Fra Samtek del 12/09/24.
</t>
        </r>
        <r>
          <rPr>
            <sz val="9"/>
            <color indexed="81"/>
            <rFont val="Tahoma"/>
            <family val="2"/>
          </rPr>
          <t xml:space="preserve">Arreglo ordenador Rosa: 166,69€.
166,69€: Realizar transferencia 
Transf. Caixa realizada el 27/09/24 por financiación
Vncmto: 24/01/25
-----------------------------------
</t>
        </r>
        <r>
          <rPr>
            <b/>
            <sz val="9"/>
            <color indexed="81"/>
            <rFont val="Tahoma"/>
            <family val="2"/>
          </rPr>
          <t xml:space="preserve">Copyur: </t>
        </r>
        <r>
          <rPr>
            <sz val="9"/>
            <color indexed="81"/>
            <rFont val="Tahoma"/>
            <family val="2"/>
          </rPr>
          <t xml:space="preserve">
Fra Nº 241603 (31/12/24):
45,15€: Copias 
Vcmto: 15/01/24
Cargado Caixa: 15/01/25
--------------------------------
</t>
        </r>
        <r>
          <rPr>
            <b/>
            <sz val="9"/>
            <color indexed="81"/>
            <rFont val="Tahoma"/>
            <family val="2"/>
          </rPr>
          <t>Fra Samtek 22/01/25.</t>
        </r>
        <r>
          <rPr>
            <sz val="9"/>
            <color indexed="81"/>
            <rFont val="Tahoma"/>
            <family val="2"/>
          </rPr>
          <t xml:space="preserve">
74,98€: Antivirus 
Ppto: 1/ 00004 (15/01/25):
Renovación 8 licencias Antivirus Home Security Essential hasta el 22/01/26
Transf. Caixa realizada: 28/01/25
</t>
        </r>
      </text>
    </comment>
    <comment ref="CQ8" authorId="0" shapeId="0" xr:uid="{A53D284F-047A-4D86-BFC6-950C8181D98D}">
      <text>
        <r>
          <rPr>
            <b/>
            <sz val="9"/>
            <color indexed="81"/>
            <rFont val="Tahoma"/>
            <family val="2"/>
          </rPr>
          <t xml:space="preserve">Copyur: 
Fra Nº 250.088 (31/01/25):
</t>
        </r>
        <r>
          <rPr>
            <sz val="9"/>
            <color indexed="81"/>
            <rFont val="Tahoma"/>
            <family val="2"/>
          </rPr>
          <t>33,13€: Copias 
Vcmto: 15/02/25
Cargado Caixa: 14/02/25</t>
        </r>
        <r>
          <rPr>
            <b/>
            <sz val="9"/>
            <color indexed="81"/>
            <rFont val="Tahoma"/>
            <family val="2"/>
          </rPr>
          <t xml:space="preserve">
--------------------------------
</t>
        </r>
      </text>
    </comment>
    <comment ref="CR8" authorId="0" shapeId="0" xr:uid="{75E03116-8336-493E-88FB-73444593ED2D}">
      <text>
        <r>
          <rPr>
            <b/>
            <sz val="9"/>
            <color indexed="81"/>
            <rFont val="Tahoma"/>
            <family val="2"/>
          </rPr>
          <t xml:space="preserve">Copyur: 
Fra Nº 250.227 (27/02/25):
</t>
        </r>
        <r>
          <rPr>
            <sz val="9"/>
            <color indexed="81"/>
            <rFont val="Tahoma"/>
            <family val="2"/>
          </rPr>
          <t>63,37€: Copias 
Vcmto: 14/03/25
Cargado Caixa: 14/03/25</t>
        </r>
        <r>
          <rPr>
            <b/>
            <sz val="9"/>
            <color indexed="81"/>
            <rFont val="Tahoma"/>
            <family val="2"/>
          </rPr>
          <t xml:space="preserve">
--------------------------------
Vybsa: 
Fra Nº A250496 (03/03/25):
</t>
        </r>
        <r>
          <rPr>
            <sz val="9"/>
            <color indexed="81"/>
            <rFont val="Tahoma"/>
            <family val="2"/>
          </rPr>
          <t>12,12€: Copias
Vcmto: 18/03/25 
Cargado Caixa: 18/03/25</t>
        </r>
      </text>
    </comment>
    <comment ref="CS8" authorId="0" shapeId="0" xr:uid="{DDBED326-5CB4-4C6B-AFFF-EE3CAE9D1ADE}">
      <text>
        <r>
          <rPr>
            <b/>
            <sz val="9"/>
            <color indexed="81"/>
            <rFont val="Tahoma"/>
            <family val="2"/>
          </rPr>
          <t xml:space="preserve">Copyur: 
Fra Nº 250.388 (31/03/25):
</t>
        </r>
        <r>
          <rPr>
            <sz val="9"/>
            <color indexed="81"/>
            <rFont val="Tahoma"/>
            <family val="2"/>
          </rPr>
          <t xml:space="preserve">17,51€: Copias 
Vcmto: 15/04/25
Cargado Caixa: 14/04/25 </t>
        </r>
        <r>
          <rPr>
            <b/>
            <sz val="9"/>
            <color indexed="81"/>
            <rFont val="Tahoma"/>
            <family val="2"/>
          </rPr>
          <t xml:space="preserve">
--------------------------------
</t>
        </r>
      </text>
    </comment>
    <comment ref="CT8" authorId="0" shapeId="0" xr:uid="{91CCA8D8-C6C1-4C03-98F6-B6084F7B6E03}">
      <text>
        <r>
          <rPr>
            <b/>
            <sz val="9"/>
            <color indexed="81"/>
            <rFont val="Tahoma"/>
            <family val="2"/>
          </rPr>
          <t xml:space="preserve">Copyur: 
Fra Nº 250.529 (30/04/25):
</t>
        </r>
        <r>
          <rPr>
            <sz val="9"/>
            <color indexed="81"/>
            <rFont val="Tahoma"/>
            <family val="2"/>
          </rPr>
          <t xml:space="preserve">33,73€: Copias 
Vcmto: 15/05/25
Cargado Caixa: 15/05/25 </t>
        </r>
        <r>
          <rPr>
            <b/>
            <sz val="9"/>
            <color indexed="81"/>
            <rFont val="Tahoma"/>
            <family val="2"/>
          </rPr>
          <t xml:space="preserve">
--------------------------------
</t>
        </r>
      </text>
    </comment>
    <comment ref="CU8" authorId="0" shapeId="0" xr:uid="{602ACA61-AF03-4914-8A5A-5B1EE4E34B71}">
      <text>
        <r>
          <rPr>
            <b/>
            <sz val="9"/>
            <color indexed="81"/>
            <rFont val="Tahoma"/>
            <family val="2"/>
          </rPr>
          <t xml:space="preserve">Copyur: 
Fra Nº 250.663 (30/05/25):
</t>
        </r>
        <r>
          <rPr>
            <sz val="9"/>
            <color indexed="81"/>
            <rFont val="Tahoma"/>
            <family val="2"/>
          </rPr>
          <t xml:space="preserve">14,90€: Copias 
Vcmto: 14/06/25
Cargado Caixa:  </t>
        </r>
        <r>
          <rPr>
            <b/>
            <sz val="9"/>
            <color indexed="81"/>
            <rFont val="Tahoma"/>
            <family val="2"/>
          </rPr>
          <t xml:space="preserve">
--------------------------------
Vybsa: 
Fra Nº A251127 (02/06/25):
</t>
        </r>
        <r>
          <rPr>
            <sz val="9"/>
            <color indexed="81"/>
            <rFont val="Tahoma"/>
            <family val="2"/>
          </rPr>
          <t xml:space="preserve">15,16€: Copias
Vcmto: 17/06/25 
Cargado Caixa: 17/06/25
--------------------------------
</t>
        </r>
        <r>
          <rPr>
            <b/>
            <sz val="9"/>
            <color indexed="81"/>
            <rFont val="Tahoma"/>
            <family val="2"/>
          </rPr>
          <t>Vybsa: 
Fra Nº A251200 (06/06/25):</t>
        </r>
        <r>
          <rPr>
            <sz val="9"/>
            <color indexed="81"/>
            <rFont val="Tahoma"/>
            <family val="2"/>
          </rPr>
          <t xml:space="preserve">
16,67€: Copias
Vcmto: 21/06/25 
Cargado Caixa: 23/06/25</t>
        </r>
      </text>
    </comment>
    <comment ref="CV8" authorId="0" shapeId="0" xr:uid="{6DBD7F99-A871-4020-9BB5-72D754FA2EF3}">
      <text>
        <r>
          <rPr>
            <b/>
            <sz val="9"/>
            <color indexed="81"/>
            <rFont val="Tahoma"/>
            <family val="2"/>
          </rPr>
          <t>De Agustin Cid (entrazos) cambiamos a Sered Hosting:
Factura nºSH-2025-29540 del 02/06/25:</t>
        </r>
        <r>
          <rPr>
            <sz val="9"/>
            <color indexed="81"/>
            <rFont val="Tahoma"/>
            <family val="2"/>
          </rPr>
          <t xml:space="preserve">
93,74€-46,87€ (50% dto)+ 21%= 56,72€: Plan XS (Nixal.es) +dominio (Nixaltrading.com) del 02/06/25 al 01/06/26
 al 16/06/25
56,72€: Pagado con VISA: 02/06/25
------------------------------------------
</t>
        </r>
        <r>
          <rPr>
            <b/>
            <sz val="9"/>
            <color indexed="81"/>
            <rFont val="Tahoma"/>
            <family val="2"/>
          </rPr>
          <t xml:space="preserve">Factura nºSH-2025-29582 del 03/06/25:
</t>
        </r>
        <r>
          <rPr>
            <sz val="9"/>
            <color indexed="81"/>
            <rFont val="Tahoma"/>
            <family val="2"/>
          </rPr>
          <t xml:space="preserve">
93,74€+ 21%= 113,43€: Plan XS (agroforestenergy.com) del 03/06/25
 al 02/06/26
113,43€: Pagado con VISA: 03/06/25
-------------------------------------------
</t>
        </r>
        <r>
          <rPr>
            <b/>
            <sz val="9"/>
            <color indexed="81"/>
            <rFont val="Tahoma"/>
            <family val="2"/>
          </rPr>
          <t>Pndte fra solicitada a ALF</t>
        </r>
        <r>
          <rPr>
            <sz val="9"/>
            <color indexed="81"/>
            <rFont val="Tahoma"/>
            <family val="2"/>
          </rPr>
          <t xml:space="preserve">:
36,28€: Pagado con VISA: 03/06/25
-------------------------------------------
</t>
        </r>
        <r>
          <rPr>
            <b/>
            <sz val="9"/>
            <color indexed="81"/>
            <rFont val="Tahoma"/>
            <family val="2"/>
          </rPr>
          <t xml:space="preserve">Factura nºSH-2025-32858 del 23/06/25:
</t>
        </r>
        <r>
          <rPr>
            <sz val="9"/>
            <color indexed="81"/>
            <rFont val="Tahoma"/>
            <family val="2"/>
          </rPr>
          <t xml:space="preserve">
9,99€+ 21%= 12,09€: renovar dominio nixal.es del 20/06/25 al 19/06/26
12,09€: Pagado con VISA: 23/06/25 </t>
        </r>
      </text>
    </comment>
    <comment ref="CW8" authorId="0" shapeId="0" xr:uid="{809253EC-465B-4CED-B97F-C11CEE60B2D8}">
      <text>
        <r>
          <rPr>
            <b/>
            <sz val="9"/>
            <color indexed="81"/>
            <rFont val="Tahoma"/>
            <family val="2"/>
          </rPr>
          <t xml:space="preserve">Copyur: 
</t>
        </r>
        <r>
          <rPr>
            <sz val="9"/>
            <color indexed="81"/>
            <rFont val="Tahoma"/>
            <family val="2"/>
          </rPr>
          <t>Fra Nº 250.954 (31/07/25):
6,34€: Copias 
Vcmto: 15/08/25
Cargado Caixa: 14/08/25</t>
        </r>
        <r>
          <rPr>
            <b/>
            <sz val="9"/>
            <color indexed="81"/>
            <rFont val="Tahoma"/>
            <family val="2"/>
          </rPr>
          <t xml:space="preserve">
</t>
        </r>
      </text>
    </comment>
    <comment ref="CY8" authorId="0" shapeId="0" xr:uid="{5DEFE433-7A09-4607-AF3D-39DDA86B00D4}">
      <text>
        <r>
          <rPr>
            <b/>
            <sz val="9"/>
            <color indexed="81"/>
            <rFont val="Tahoma"/>
            <family val="2"/>
          </rPr>
          <t>Vybsa: 
Fra Nº A251717 (05/09/25):</t>
        </r>
        <r>
          <rPr>
            <sz val="9"/>
            <color indexed="81"/>
            <rFont val="Tahoma"/>
            <family val="2"/>
          </rPr>
          <t xml:space="preserve">
9,33€: Copias
Vcmto: 20/09/25 
Cargado Caixa: 22/09/25</t>
        </r>
      </text>
    </comment>
    <comment ref="CZ8" authorId="0" shapeId="0" xr:uid="{E149BCC3-23FF-472E-A2F4-B166332274DD}">
      <text>
        <r>
          <rPr>
            <b/>
            <sz val="9"/>
            <color indexed="81"/>
            <rFont val="Tahoma"/>
            <family val="2"/>
          </rPr>
          <t xml:space="preserve">Copyur: 
</t>
        </r>
        <r>
          <rPr>
            <sz val="9"/>
            <color indexed="81"/>
            <rFont val="Tahoma"/>
            <family val="2"/>
          </rPr>
          <t>Fra Nº 251.121 (01/10/25):
89,31€: Copias 
Vcmto: 16/10/25
Cargado Caixa: 15/10/25</t>
        </r>
        <r>
          <rPr>
            <b/>
            <sz val="9"/>
            <color indexed="81"/>
            <rFont val="Tahoma"/>
            <family val="2"/>
          </rPr>
          <t xml:space="preserve">
</t>
        </r>
      </text>
    </comment>
    <comment ref="DA8" authorId="0" shapeId="0" xr:uid="{D894D902-377A-410E-B0E4-DCF91396EA55}">
      <text>
        <r>
          <rPr>
            <b/>
            <sz val="9"/>
            <color indexed="81"/>
            <rFont val="Tahoma"/>
            <family val="2"/>
          </rPr>
          <t xml:space="preserve">Copyur: 
</t>
        </r>
        <r>
          <rPr>
            <sz val="9"/>
            <color indexed="81"/>
            <rFont val="Tahoma"/>
            <family val="2"/>
          </rPr>
          <t xml:space="preserve">Fra Nº 251.256 (31/10/25):
74,56€: Copias 
Vcmto: 15/11/25
Cargado Caixa: 14/11/25 </t>
        </r>
        <r>
          <rPr>
            <b/>
            <sz val="9"/>
            <color indexed="81"/>
            <rFont val="Tahoma"/>
            <family val="2"/>
          </rPr>
          <t xml:space="preserve">
</t>
        </r>
      </text>
    </comment>
    <comment ref="DB8" authorId="0" shapeId="0" xr:uid="{51E35276-ED5E-498E-B204-A35A20364DA4}">
      <text>
        <r>
          <rPr>
            <b/>
            <sz val="9"/>
            <color indexed="81"/>
            <rFont val="Tahoma"/>
            <family val="2"/>
          </rPr>
          <t xml:space="preserve">Copyur: 
</t>
        </r>
        <r>
          <rPr>
            <sz val="9"/>
            <color indexed="81"/>
            <rFont val="Tahoma"/>
            <family val="2"/>
          </rPr>
          <t>Fra Nº 251.420 (28/11/25):
39,60€: Copias 
Vcmto: 15/12/25
Cargado Caixa: 12/12/25</t>
        </r>
        <r>
          <rPr>
            <b/>
            <sz val="9"/>
            <color indexed="81"/>
            <rFont val="Tahoma"/>
            <family val="2"/>
          </rPr>
          <t xml:space="preserve">
-----------------------------
Vybsa: 
</t>
        </r>
        <r>
          <rPr>
            <sz val="9"/>
            <color indexed="81"/>
            <rFont val="Tahoma"/>
            <family val="2"/>
          </rPr>
          <t>Fra Nº A252231 (01/12/25):
8,86€: Copias
Vcmto: 16/12/25 
Cargado Caixa: 16/12/25</t>
        </r>
      </text>
    </comment>
    <comment ref="DC8" authorId="0" shapeId="0" xr:uid="{7AFF522E-56AF-4573-BD02-0D8F3AC3876D}">
      <text>
        <r>
          <rPr>
            <b/>
            <sz val="9"/>
            <color indexed="81"/>
            <rFont val="Tahoma"/>
            <family val="2"/>
          </rPr>
          <t>Fra Samtek 22/01/26.</t>
        </r>
        <r>
          <rPr>
            <sz val="9"/>
            <color indexed="81"/>
            <rFont val="Tahoma"/>
            <family val="2"/>
          </rPr>
          <t xml:space="preserve">
74,98€: Antivirus 
Renovación 8 licencias Antivirus Home Security Essential hasta el 22/01/27
Transf. Caixa realizada: 27/01/26
------------------------------------
</t>
        </r>
        <r>
          <rPr>
            <b/>
            <sz val="9"/>
            <color indexed="81"/>
            <rFont val="Tahoma"/>
            <family val="2"/>
          </rPr>
          <t xml:space="preserve">Copyur: </t>
        </r>
        <r>
          <rPr>
            <sz val="9"/>
            <color indexed="81"/>
            <rFont val="Tahoma"/>
            <family val="2"/>
          </rPr>
          <t xml:space="preserve">
Fra Nº 251.570 (31/12/25):
26,51€: Copias 
Vcmto: 15/01/26
Cargado Caixa: 15/01/26
----------------------------</t>
        </r>
      </text>
    </comment>
    <comment ref="DD8" authorId="0" shapeId="0" xr:uid="{F8264D01-580D-4673-A4C3-DB6C19715897}">
      <text>
        <r>
          <rPr>
            <b/>
            <sz val="9"/>
            <color indexed="81"/>
            <rFont val="Tahoma"/>
            <family val="2"/>
          </rPr>
          <t xml:space="preserve">Copyur: </t>
        </r>
        <r>
          <rPr>
            <sz val="9"/>
            <color indexed="81"/>
            <rFont val="Tahoma"/>
            <family val="2"/>
          </rPr>
          <t xml:space="preserve">
Fra Nº 260.077 (30/01/26):
28,93€: Copias 
Vcmto: 14/02/26
Cargado Caixa: 11/02/26
----------------------------</t>
        </r>
      </text>
    </comment>
    <comment ref="DE8" authorId="0" shapeId="0" xr:uid="{B47F75B0-9B34-4B0D-AB5E-C28AAB2EAF9F}">
      <text>
        <r>
          <rPr>
            <b/>
            <sz val="9"/>
            <color indexed="81"/>
            <rFont val="Tahoma"/>
            <family val="2"/>
          </rPr>
          <t xml:space="preserve">Sered-Factura S-14300 (24/03/26).
</t>
        </r>
        <r>
          <rPr>
            <sz val="9"/>
            <color indexed="81"/>
            <rFont val="Tahoma"/>
            <family val="2"/>
          </rPr>
          <t>Fra Proforma (05/03/26):</t>
        </r>
        <r>
          <rPr>
            <b/>
            <sz val="9"/>
            <color indexed="81"/>
            <rFont val="Tahoma"/>
            <family val="2"/>
          </rPr>
          <t xml:space="preserve">
</t>
        </r>
        <r>
          <rPr>
            <sz val="9"/>
            <color indexed="81"/>
            <rFont val="Tahoma"/>
            <family val="2"/>
          </rPr>
          <t>93,74€+ 21%= 113,43€: Plan XS (agroforestenergy.com) del 03/06/26 al 02/06/27
113,43€: Vcmto 04/05/26
Transf. Caixa realizada el 23/03/26</t>
        </r>
        <r>
          <rPr>
            <b/>
            <sz val="9"/>
            <color indexed="81"/>
            <rFont val="Tahoma"/>
            <family val="2"/>
          </rPr>
          <t xml:space="preserve">
--------------------------------------
Sered-Factura S-14299 (24/03/26):
</t>
        </r>
        <r>
          <rPr>
            <sz val="9"/>
            <color indexed="81"/>
            <rFont val="Tahoma"/>
            <family val="2"/>
          </rPr>
          <t xml:space="preserve">Fra Proforma (04/03/26):
93,74€+ 21%= 113,43€: Plan XS (Nixal.es) del 02/06/26 al 01/06/27
113,43€: Vcmto 03/05/26
Transf. Caixa realizada el 23/03/26
----------------------------------------
</t>
        </r>
        <r>
          <rPr>
            <b/>
            <sz val="9"/>
            <color indexed="81"/>
            <rFont val="Tahoma"/>
            <family val="2"/>
          </rPr>
          <t xml:space="preserve">Copyur: </t>
        </r>
        <r>
          <rPr>
            <sz val="9"/>
            <color indexed="81"/>
            <rFont val="Tahoma"/>
            <family val="2"/>
          </rPr>
          <t xml:space="preserve">
Fra Nº 260205 (27/02/26):
37,91€: Copias 
Vcmto: 14/03/26
Cargado Caixa: 13/03/26
-----------------------------
</t>
        </r>
        <r>
          <rPr>
            <b/>
            <sz val="9"/>
            <color indexed="81"/>
            <rFont val="Tahoma"/>
            <family val="2"/>
          </rPr>
          <t xml:space="preserve">Vybsa: </t>
        </r>
        <r>
          <rPr>
            <sz val="9"/>
            <color indexed="81"/>
            <rFont val="Tahoma"/>
            <family val="2"/>
          </rPr>
          <t xml:space="preserve">
Fra Nº A260483 (02/03/26):
12,29€: Copias
Vcmto: 17/03/26 
Cargado Caixa: 17/03/26
--------------------------------------
</t>
        </r>
        <r>
          <rPr>
            <b/>
            <sz val="9"/>
            <color indexed="81"/>
            <rFont val="Tahoma"/>
            <family val="2"/>
          </rPr>
          <t>Sered-Factura S-14298 (24/03/26):</t>
        </r>
        <r>
          <rPr>
            <sz val="9"/>
            <color indexed="81"/>
            <rFont val="Tahoma"/>
            <family val="2"/>
          </rPr>
          <t xml:space="preserve">
Fra Proforma (22/03/26):
24,98€+ 21%= 30,23€: Renovar dominio Nixal.es y nixaltrading.com del 20/06/26 al 19/06/27
30,23€: Vcmto 21/05/26
Transf. Caixa realizada el 23/03/26</t>
        </r>
      </text>
    </comment>
    <comment ref="DF8" authorId="0" shapeId="0" xr:uid="{6F3AB4E2-1591-4E79-9058-91907DE25FE2}">
      <text>
        <r>
          <rPr>
            <b/>
            <sz val="9"/>
            <color indexed="81"/>
            <rFont val="Tahoma"/>
            <family val="2"/>
          </rPr>
          <t>Fra Samtek 07/04/26.</t>
        </r>
        <r>
          <rPr>
            <sz val="9"/>
            <color indexed="81"/>
            <rFont val="Tahoma"/>
            <family val="2"/>
          </rPr>
          <t xml:space="preserve">
108,74€: Arreglo equipo Rosa
Transf. Caixa realizada: 28/04/26
------------------------------------
</t>
        </r>
        <r>
          <rPr>
            <b/>
            <sz val="9"/>
            <color indexed="81"/>
            <rFont val="Tahoma"/>
            <family val="2"/>
          </rPr>
          <t xml:space="preserve">Copyur: </t>
        </r>
        <r>
          <rPr>
            <sz val="9"/>
            <color indexed="81"/>
            <rFont val="Tahoma"/>
            <family val="2"/>
          </rPr>
          <t xml:space="preserve">
Fra Nº 260.359 (31/03/26):
29,48€: Copias 
Vcmto: 15/04/26
Cargado Caixa: 14/04/26
----------------------------</t>
        </r>
      </text>
    </comment>
    <comment ref="DG8" authorId="0" shapeId="0" xr:uid="{3C5585FB-62C8-420E-921E-5B41EE5A1CB5}">
      <text>
        <r>
          <rPr>
            <b/>
            <sz val="9"/>
            <color indexed="81"/>
            <rFont val="Tahoma"/>
            <family val="2"/>
          </rPr>
          <t>Fra Diseñosur 05/05/26.</t>
        </r>
        <r>
          <rPr>
            <sz val="9"/>
            <color indexed="81"/>
            <rFont val="Tahoma"/>
            <family val="2"/>
          </rPr>
          <t xml:space="preserve">
108,90€: Tarjetas visita NC
Ok Alberto realizar transferencia en próxima remesa
Transf. Caixa realizada: 22/05/26
------------------------------------
</t>
        </r>
        <r>
          <rPr>
            <b/>
            <sz val="9"/>
            <color indexed="81"/>
            <rFont val="Tahoma"/>
            <family val="2"/>
          </rPr>
          <t xml:space="preserve">Copyur: </t>
        </r>
        <r>
          <rPr>
            <sz val="9"/>
            <color indexed="81"/>
            <rFont val="Tahoma"/>
            <family val="2"/>
          </rPr>
          <t xml:space="preserve">
Fra Nº 260.504 (30/04/26):
9,15€: Copias 
Vcmto: 15/05/26
Cargado Caixa: 14/05/26
----------------------------
</t>
        </r>
        <r>
          <rPr>
            <b/>
            <sz val="9"/>
            <color indexed="81"/>
            <rFont val="Tahoma"/>
            <family val="2"/>
          </rPr>
          <t>Sered-Factura S-23464 (22/05/26):</t>
        </r>
        <r>
          <rPr>
            <sz val="9"/>
            <color indexed="81"/>
            <rFont val="Tahoma"/>
            <family val="2"/>
          </rPr>
          <t xml:space="preserve">
Fra Proforma (17/04/26):
14,99€+ 21%= 18,14€: Renovar dominio agroforestenergy.com del 16/07/26 al 15/07/27
18,14€: Vcmto 16/06/26
Transf. Caixa realizada el 22/05/26
-----------------------------
</t>
        </r>
        <r>
          <rPr>
            <b/>
            <sz val="9"/>
            <color indexed="81"/>
            <rFont val="Tahoma"/>
            <family val="2"/>
          </rPr>
          <t xml:space="preserve">Vybsa: </t>
        </r>
        <r>
          <rPr>
            <sz val="9"/>
            <color indexed="81"/>
            <rFont val="Tahoma"/>
            <family val="2"/>
          </rPr>
          <t xml:space="preserve">
Fra Nº A260807 (04/05/26):
10,43€: Copias
Vcmto: 19/05/26 
Cargado Caixa: 19/05/26</t>
        </r>
      </text>
    </comment>
    <comment ref="DH8" authorId="0" shapeId="0" xr:uid="{C775BEF7-8E19-4C8F-8871-6EDAF8ACEC7C}">
      <text>
        <r>
          <rPr>
            <b/>
            <sz val="9"/>
            <color indexed="81"/>
            <rFont val="Tahoma"/>
            <family val="2"/>
          </rPr>
          <t>De Agustin Cid (entrazos) cambiamos a Sered Hosting:
Factura nºSH-2025-29540 del 02/06/25:</t>
        </r>
        <r>
          <rPr>
            <sz val="9"/>
            <color indexed="81"/>
            <rFont val="Tahoma"/>
            <family val="2"/>
          </rPr>
          <t xml:space="preserve">
93,74€-46,87€ (50% dto)+ 21%= 56,72€: Plan XS (Nixal.es) +dominio (Nixaltrading.com) del 02/06/25 al 01/06/26
 al 16/06/25
56,72€: Pagado con VISA: 02/06/25
------------------------------------------
</t>
        </r>
        <r>
          <rPr>
            <b/>
            <sz val="9"/>
            <color indexed="81"/>
            <rFont val="Tahoma"/>
            <family val="2"/>
          </rPr>
          <t xml:space="preserve">Factura nºSH-2025-29582 del 03/06/25:
</t>
        </r>
        <r>
          <rPr>
            <sz val="9"/>
            <color indexed="81"/>
            <rFont val="Tahoma"/>
            <family val="2"/>
          </rPr>
          <t xml:space="preserve">
93,74€+ 21%= 113,43€: Plan XS (agroforestenergy.com) del 03/06/25
 al 02/06/26
113,43€: Pagado con VISA: 03/06/25
-------------------------------------------
</t>
        </r>
      </text>
    </comment>
    <comment ref="DP8" authorId="0" shapeId="0" xr:uid="{58273ABD-E0BE-4C85-B9E4-12E618728EA4}">
      <text>
        <r>
          <rPr>
            <b/>
            <sz val="9"/>
            <color indexed="81"/>
            <rFont val="Tahoma"/>
            <family val="2"/>
          </rPr>
          <t>Fra Samtek 22/01/25.</t>
        </r>
        <r>
          <rPr>
            <sz val="9"/>
            <color indexed="81"/>
            <rFont val="Tahoma"/>
            <family val="2"/>
          </rPr>
          <t xml:space="preserve">
74,98€: Antivirus 
Ppto: 1/ 00004 (15/01/25):
Renovación 8 licencias Antivirus Home Security Essential hasta el 22/01/26
Transf. Caixa realizada: 28/01/25
</t>
        </r>
      </text>
    </comment>
    <comment ref="DU8" authorId="0" shapeId="0" xr:uid="{5C78E636-F2CC-4A81-9047-37E24BE5D985}">
      <text>
        <r>
          <rPr>
            <b/>
            <sz val="9"/>
            <color indexed="81"/>
            <rFont val="Tahoma"/>
            <family val="2"/>
          </rPr>
          <t>De Agustin Cid (entrazos) cambiamos a Sered Hosting:
Factura nºSH-2025-29540 del 02/06/25:</t>
        </r>
        <r>
          <rPr>
            <sz val="9"/>
            <color indexed="81"/>
            <rFont val="Tahoma"/>
            <family val="2"/>
          </rPr>
          <t xml:space="preserve">
93,74€-46,87€ (50% dto)+ 21%= 56,72€: Plan XS (Nixal.es) +dominio (Nixaltrading.com) del 02/06/25 al 01/06/26
 al 16/06/25
56,72€: Pagado con VISA: 02/06/25
------------------------------------------
</t>
        </r>
        <r>
          <rPr>
            <b/>
            <sz val="9"/>
            <color indexed="81"/>
            <rFont val="Tahoma"/>
            <family val="2"/>
          </rPr>
          <t xml:space="preserve">Factura nºSH-2025-29582 del 03/06/25:
</t>
        </r>
        <r>
          <rPr>
            <sz val="9"/>
            <color indexed="81"/>
            <rFont val="Tahoma"/>
            <family val="2"/>
          </rPr>
          <t xml:space="preserve">
93,74€+ 21%= 113,43€: Plan XS (agroforestenergy.com) del 03/06/25
 al 02/06/26
113,43€: Pagado con VISA: 03/06/25
-------------------------------------------
</t>
        </r>
      </text>
    </comment>
    <comment ref="P9" authorId="0" shapeId="0" xr:uid="{4F688144-229A-44A4-A701-28075631B97E}">
      <text>
        <r>
          <rPr>
            <b/>
            <sz val="9"/>
            <color indexed="81"/>
            <rFont val="Tahoma"/>
            <family val="2"/>
          </rPr>
          <t>Trip Marbella</t>
        </r>
      </text>
    </comment>
    <comment ref="Q9" authorId="3" shapeId="0" xr:uid="{5DFEA521-3239-44FD-97B9-D67E77C2686E}">
      <text>
        <r>
          <rPr>
            <b/>
            <sz val="8"/>
            <color indexed="81"/>
            <rFont val="Tahoma"/>
            <family val="2"/>
          </rPr>
          <t>alfonso:</t>
        </r>
        <r>
          <rPr>
            <sz val="8"/>
            <color indexed="81"/>
            <rFont val="Tahoma"/>
            <family val="2"/>
          </rPr>
          <t xml:space="preserve">
aparece un papel a mano en la conta de julio por 5443,92 por este concepto
Trip US- RFA Conf.</t>
        </r>
      </text>
    </comment>
    <comment ref="S9" authorId="2" shapeId="0" xr:uid="{267CE0FD-8D4C-4C60-B753-BB9E04E0A6F8}">
      <text>
        <r>
          <rPr>
            <b/>
            <sz val="9"/>
            <color indexed="81"/>
            <rFont val="Tahoma"/>
            <family val="2"/>
          </rPr>
          <t>Alberto:</t>
        </r>
        <r>
          <rPr>
            <sz val="9"/>
            <color indexed="81"/>
            <rFont val="Tahoma"/>
            <family val="2"/>
          </rPr>
          <t xml:space="preserve">
Varsovia-Bioagra
SP- Flexi Mill Bevap, Arapora e Itamarati</t>
        </r>
      </text>
    </comment>
    <comment ref="T9" authorId="0" shapeId="0" xr:uid="{A48E16C0-16A1-48A1-AE24-5723C773A110}">
      <text>
        <r>
          <rPr>
            <b/>
            <sz val="9"/>
            <color indexed="81"/>
            <rFont val="Tahoma"/>
            <family val="2"/>
          </rPr>
          <t>2154,75€: Trip Marbella Dropet Conf.
-----------------------
1159,95€: Trip NY Sugar Week</t>
        </r>
      </text>
    </comment>
    <comment ref="W9" authorId="4" shapeId="0" xr:uid="{DC22C73B-A207-492F-8DD3-40874B48A370}">
      <text>
        <r>
          <rPr>
            <b/>
            <sz val="9"/>
            <color indexed="81"/>
            <rFont val="Tahoma"/>
            <family val="2"/>
          </rPr>
          <t>Alberto Carmona:</t>
        </r>
        <r>
          <rPr>
            <sz val="9"/>
            <color indexed="81"/>
            <rFont val="Tahoma"/>
            <family val="2"/>
          </rPr>
          <t xml:space="preserve">
453,05 Visita Agrana
-----------------------
625€: Trip BRU FO Licht
----------------------------
2000€: Trip Europe Summer</t>
        </r>
      </text>
    </comment>
    <comment ref="X9" authorId="4" shapeId="0" xr:uid="{4AAA9E7B-F7FC-41A3-A920-8B9550B53041}">
      <text>
        <r>
          <rPr>
            <b/>
            <sz val="9"/>
            <color indexed="81"/>
            <rFont val="Tahoma"/>
            <family val="2"/>
          </rPr>
          <t>Alberto Carmona:</t>
        </r>
        <r>
          <rPr>
            <sz val="9"/>
            <color indexed="81"/>
            <rFont val="Tahoma"/>
            <family val="2"/>
          </rPr>
          <t xml:space="preserve">
637,1 Varsovia Bioagra
1190,63 Alemania
1052,75€: Trip Madrid Varios</t>
        </r>
      </text>
    </comment>
    <comment ref="Y9" authorId="3" shapeId="0" xr:uid="{4002595C-32CA-484B-A680-6D4F68E05E13}">
      <text>
        <r>
          <rPr>
            <b/>
            <sz val="8"/>
            <color indexed="81"/>
            <rFont val="Tahoma"/>
            <family val="2"/>
          </rPr>
          <t>alfonso:</t>
        </r>
        <r>
          <rPr>
            <sz val="8"/>
            <color indexed="81"/>
            <rFont val="Tahoma"/>
            <family val="2"/>
          </rPr>
          <t xml:space="preserve">
193,85 REUNION TOMSA MADRID SEPTIEMBRE CON TARJETA</t>
        </r>
      </text>
    </comment>
    <comment ref="Z9" authorId="3" shapeId="0" xr:uid="{674A5D03-984B-4073-A211-EBEB2717DEF9}">
      <text>
        <r>
          <rPr>
            <b/>
            <sz val="8"/>
            <color indexed="81"/>
            <rFont val="Tahoma"/>
            <family val="2"/>
          </rPr>
          <t>alfonso:
436,14 €: CONFERENCIA ARGUS/EVENTO GREENERGY
---------------------------------
2004,46€: Trip LDN/SP Sugar Week
----------------------------------
356,52€: Trip BRU FO Licht
---------------------------------
pasadosa SINVER con conta oct. Cargado 5/11</t>
        </r>
        <r>
          <rPr>
            <sz val="8"/>
            <color indexed="81"/>
            <rFont val="Tahoma"/>
            <family val="2"/>
          </rPr>
          <t xml:space="preserve">
</t>
        </r>
      </text>
    </comment>
    <comment ref="AA9" authorId="0" shapeId="0" xr:uid="{9CA4ECE3-D761-4B93-8A5C-6002F101A371}">
      <text>
        <r>
          <rPr>
            <b/>
            <sz val="9"/>
            <color indexed="81"/>
            <rFont val="Tahoma"/>
            <family val="2"/>
          </rPr>
          <t>Rosa:</t>
        </r>
        <r>
          <rPr>
            <sz val="9"/>
            <color indexed="81"/>
            <rFont val="Tahoma"/>
            <family val="2"/>
          </rPr>
          <t xml:space="preserve">
</t>
        </r>
        <r>
          <rPr>
            <b/>
            <sz val="9"/>
            <color indexed="81"/>
            <rFont val="Tahoma"/>
            <family val="2"/>
          </rPr>
          <t>Visita Int. Alcoholes Ciudad Real:</t>
        </r>
        <r>
          <rPr>
            <sz val="9"/>
            <color indexed="81"/>
            <rFont val="Tahoma"/>
            <family val="2"/>
          </rPr>
          <t xml:space="preserve">
pasado a SINVER con conta nov. Cargado 5/12 
45,40€ de gastos de efectivo nov
(Efectivo Alberto pte liquidar)
</t>
        </r>
        <r>
          <rPr>
            <b/>
            <sz val="9"/>
            <color indexed="81"/>
            <rFont val="Tahoma"/>
            <family val="2"/>
          </rPr>
          <t>Viaje Varsovia visita Bioagra:</t>
        </r>
        <r>
          <rPr>
            <sz val="9"/>
            <color indexed="81"/>
            <rFont val="Tahoma"/>
            <family val="2"/>
          </rPr>
          <t xml:space="preserve">
171,76€ pasado a SINVER con conta nov. Cargado 5/12 
------------------------------------------
963,06€: Trip LDN/SP Sugar Week
--------------------------------------
759,90€: ETHANOL CONFERENCE BRUSSELS
--------------------------------------
pasado a SINVER con conta nov. Cargado 5/12
</t>
        </r>
      </text>
    </comment>
    <comment ref="AC9" authorId="0" shapeId="0" xr:uid="{D49EFC20-2311-4A95-AC20-4CE4E61F3A0C}">
      <text>
        <r>
          <rPr>
            <b/>
            <sz val="9"/>
            <color indexed="81"/>
            <rFont val="Tahoma"/>
            <family val="2"/>
          </rPr>
          <t>Rosa:</t>
        </r>
        <r>
          <rPr>
            <sz val="9"/>
            <color indexed="81"/>
            <rFont val="Tahoma"/>
            <family val="2"/>
          </rPr>
          <t xml:space="preserve">
</t>
        </r>
        <r>
          <rPr>
            <b/>
            <sz val="9"/>
            <color indexed="81"/>
            <rFont val="Tahoma"/>
            <family val="2"/>
          </rPr>
          <t>Visita Int. Alcoholes Ciudad Real:</t>
        </r>
        <r>
          <rPr>
            <sz val="9"/>
            <color indexed="81"/>
            <rFont val="Tahoma"/>
            <family val="2"/>
          </rPr>
          <t xml:space="preserve">
pasado a SINVER con conta nov. Cargado 5/12 
45,40€ de gastos de efectivo nov
(Efectivo Alberto pte liquidar)
</t>
        </r>
        <r>
          <rPr>
            <b/>
            <sz val="9"/>
            <color indexed="81"/>
            <rFont val="Tahoma"/>
            <family val="2"/>
          </rPr>
          <t>Viaje Varsovia visita Bioagra:</t>
        </r>
        <r>
          <rPr>
            <sz val="9"/>
            <color indexed="81"/>
            <rFont val="Tahoma"/>
            <family val="2"/>
          </rPr>
          <t xml:space="preserve">
403,12 E pasado a SINVER con conta DIC. Cargado 5/01 
61,30 E: de gastos de efectivo DIC
(Efectivo Alberto pte liquidar)</t>
        </r>
      </text>
    </comment>
    <comment ref="AD9" authorId="0" shapeId="0" xr:uid="{693C2C35-AB80-40E2-8C2B-F220339E7565}">
      <text>
        <r>
          <rPr>
            <b/>
            <sz val="9"/>
            <color indexed="81"/>
            <rFont val="Tahoma"/>
            <family val="2"/>
          </rPr>
          <t>Rosa:
Trip Argentina/Brazil:</t>
        </r>
        <r>
          <rPr>
            <sz val="9"/>
            <color indexed="81"/>
            <rFont val="Tahoma"/>
            <family val="2"/>
          </rPr>
          <t xml:space="preserve">
</t>
        </r>
        <r>
          <rPr>
            <b/>
            <sz val="9"/>
            <color indexed="81"/>
            <rFont val="Tahoma"/>
            <family val="2"/>
          </rPr>
          <t>VisitaAca Bio, Seaborard, Vizantin,grupo bio 4, Promaiz y Bunce</t>
        </r>
        <r>
          <rPr>
            <sz val="9"/>
            <color indexed="81"/>
            <rFont val="Tahoma"/>
            <family val="2"/>
          </rPr>
          <t xml:space="preserve">
1255,01 E: pasado a SINVER con conta enero. Cargado 05/02 
1099,75 E: pasado a SINVER con conta febrero. Cargado 05/02 
--------------------------------
Visita Conferencia RFA:
951,98 E pasado a SINVER con conta ene. Cargado 5/02 
</t>
        </r>
      </text>
    </comment>
    <comment ref="AE9" authorId="0" shapeId="0" xr:uid="{B951E956-8A12-44AF-8A7B-965AA9D076A3}">
      <text>
        <r>
          <rPr>
            <b/>
            <sz val="9"/>
            <color indexed="81"/>
            <rFont val="Tahoma"/>
            <family val="2"/>
          </rPr>
          <t>Rosa:</t>
        </r>
        <r>
          <rPr>
            <sz val="9"/>
            <color indexed="81"/>
            <rFont val="Tahoma"/>
            <family val="2"/>
          </rPr>
          <t xml:space="preserve">
</t>
        </r>
        <r>
          <rPr>
            <b/>
            <sz val="9"/>
            <color indexed="81"/>
            <rFont val="Tahoma"/>
            <family val="2"/>
          </rPr>
          <t>Viaje US-RFA:</t>
        </r>
        <r>
          <rPr>
            <sz val="9"/>
            <color indexed="81"/>
            <rFont val="Tahoma"/>
            <family val="2"/>
          </rPr>
          <t xml:space="preserve">
1196,19 E pasado a SINVER con conta FEB. Cargado 5/03 
</t>
        </r>
      </text>
    </comment>
    <comment ref="AQ9" authorId="3" shapeId="0" xr:uid="{DFA03287-E7DA-4002-9362-1C4549E63AC0}">
      <text>
        <r>
          <rPr>
            <sz val="8"/>
            <color indexed="81"/>
            <rFont val="Tahoma"/>
            <family val="2"/>
          </rPr>
          <t>Trip LDN/SP Sugar Week
70,42€= 22,82+47,60 de gastos de efectivo nov
pte liquidar Alberto
------------------------
ETHANOL CONFERENCE BRUSSELS
17,25 de efectivo alberto pte liquidar
-----------------------------
113,96 REUNION TOMSA MADRID SEPTIEMBRE EFECTIVO A PAGAR ALBERTO.
----------------------------------------------------
VisitaAca Bio, Seaborard, Vizantin,grupo bio 4, Promaiz y Bunce
148,02 E: pde gastos de efectivo ene
(Efectivo Alberto pte liquidar)
----------------------------------------
Visita Conferencia RFA:
781,18 E: de gastos de efectivo ene pagado con visa personal
(Efectivo Alberto pte liquidar)
------------------------------------------
Viaje US-RFA:
112,57 E: de gastos de efectivo FEB
(Efectivo Alberto pte liquidar)
Visita Int. Alcoholes Ciudad Real:
pasado a SINVER con conta nov. Cargado 5/12 
45,40€ de gastos de efectivo nov
(Efectivo Alberto pte liquidar)
---------------------------------
Viaje Varsovia visita Bioagra:
403,12 E pasado a SINVER con conta DIC. Cargado 5/01 
61,30 E: de gastos de efectivo DIC
(Efectivo Alberto pte liquidar)
-------------------------------------
Viaje Lisboa:
891,30 E: de gastos de efectivo FEB
(Efectivo Alberto pte liquidar)
-----------------------------------------
Transferencia Caixa por el total 3.332,35 E realizada el 04/02/21</t>
        </r>
      </text>
    </comment>
    <comment ref="AV9" authorId="1" shapeId="0" xr:uid="{781483C7-ADE3-4826-B238-FBE9B0099B0D}">
      <text>
        <r>
          <rPr>
            <sz val="9"/>
            <color indexed="81"/>
            <rFont val="Tahoma"/>
            <family val="2"/>
          </rPr>
          <t>Trip Marbella Dropet Conf.
Fra dropet intertrading : 239,58€.
Fra del 13/07/21.
Transferencia realizada el 15/07/21</t>
        </r>
      </text>
    </comment>
    <comment ref="AZ9" authorId="1" shapeId="0" xr:uid="{15566DDE-2B2C-4DA2-9859-3123CF427575}">
      <text>
        <r>
          <rPr>
            <sz val="9"/>
            <color indexed="81"/>
            <rFont val="Tahoma"/>
            <family val="2"/>
          </rPr>
          <t>500€: Ppto Conferncia Dropet marbella. Mail de alberto 31/08/21. 
1004,80€: Gastos de transportes y comidas del 12 al 16/09/21 Conferncia Dropet marbella
1005,05€: Pagado con VISA Alberto.
----------------------------------
400€: Fra between congresos y viajes del 07/09/21.
Alojamiento conferencia Dropet. 
400€: Pagado con VISA Alberto.</t>
        </r>
      </text>
    </comment>
    <comment ref="BB9" authorId="0" shapeId="0" xr:uid="{53FD555B-C933-496F-8DD7-6078A3926ACE}">
      <text>
        <r>
          <rPr>
            <b/>
            <sz val="9"/>
            <color indexed="81"/>
            <rFont val="Tahoma"/>
            <family val="2"/>
          </rPr>
          <t>Desplazamiento Alemania, Verbio:</t>
        </r>
        <r>
          <rPr>
            <sz val="9"/>
            <color indexed="81"/>
            <rFont val="Tahoma"/>
            <family val="2"/>
          </rPr>
          <t xml:space="preserve">
1426,47€: Gastos de desplazamientos, hotel y comidas del 12 al 17/11/21
Cargado VISA: 5/12/21 
-----------------------------
</t>
        </r>
        <r>
          <rPr>
            <b/>
            <sz val="9"/>
            <color indexed="81"/>
            <rFont val="Tahoma"/>
            <family val="2"/>
          </rPr>
          <t>Desplazamiento Madrid, Repsol:</t>
        </r>
        <r>
          <rPr>
            <sz val="9"/>
            <color indexed="81"/>
            <rFont val="Tahoma"/>
            <family val="2"/>
          </rPr>
          <t xml:space="preserve">
424,42€: Gastos de desplazamientos y comidas del 10 al 11/11/21
Cargado VISA: 5/12/21 
</t>
        </r>
      </text>
    </comment>
    <comment ref="BF9" authorId="0" shapeId="0" xr:uid="{3F49D9B9-C22A-4905-868E-CB4DF5A25652}">
      <text>
        <r>
          <rPr>
            <b/>
            <u/>
            <sz val="9"/>
            <color indexed="81"/>
            <rFont val="Tahoma"/>
            <family val="2"/>
          </rPr>
          <t>Viaje a Islandia:</t>
        </r>
        <r>
          <rPr>
            <b/>
            <sz val="9"/>
            <color indexed="81"/>
            <rFont val="Tahoma"/>
            <family val="2"/>
          </rPr>
          <t xml:space="preserve">
</t>
        </r>
        <r>
          <rPr>
            <sz val="9"/>
            <color indexed="81"/>
            <rFont val="Tahoma"/>
            <family val="2"/>
          </rPr>
          <t>Invoice: 0000462 (20/04/22):</t>
        </r>
        <r>
          <rPr>
            <b/>
            <sz val="9"/>
            <color indexed="81"/>
            <rFont val="Tahoma"/>
            <family val="2"/>
          </rPr>
          <t xml:space="preserve">
</t>
        </r>
        <r>
          <rPr>
            <sz val="9"/>
            <color indexed="81"/>
            <rFont val="Tahoma"/>
            <family val="2"/>
          </rPr>
          <t xml:space="preserve">11560€: Viking Heliskiing ehf.
Transf. Caixa realizada el 22/04/22
</t>
        </r>
        <r>
          <rPr>
            <b/>
            <u/>
            <sz val="9"/>
            <color indexed="81"/>
            <rFont val="Tahoma"/>
            <family val="2"/>
          </rPr>
          <t xml:space="preserve">
Viaje a Islandia:</t>
        </r>
        <r>
          <rPr>
            <sz val="9"/>
            <color indexed="81"/>
            <rFont val="Tahoma"/>
            <family val="2"/>
          </rPr>
          <t xml:space="preserve">
Fra Viajes Triana: 037D220402 (21/04/22):
1487,52€: Billetes de avión del 29/04 y 04/05/22
Transf. Caixa realizada el 22/04/22
</t>
        </r>
      </text>
    </comment>
    <comment ref="BG9" authorId="0" shapeId="0" xr:uid="{4D7FB092-15F2-4DF4-95B6-36C98B41F46A}">
      <text>
        <r>
          <rPr>
            <b/>
            <u/>
            <sz val="9"/>
            <color indexed="81"/>
            <rFont val="Tahoma"/>
            <family val="2"/>
          </rPr>
          <t>Viaje a Islandia:</t>
        </r>
        <r>
          <rPr>
            <sz val="9"/>
            <color indexed="81"/>
            <rFont val="Tahoma"/>
            <family val="2"/>
          </rPr>
          <t xml:space="preserve">
Fra Viajes Triana: 037D220477 (10/05/22):
144,98€: Maletas del 04/05/22
Realizada transf. Caixa: 16/05/22
</t>
        </r>
      </text>
    </comment>
    <comment ref="BH9" authorId="0" shapeId="0" xr:uid="{C1568D43-226E-4596-8E6E-B1E066CB9004}">
      <text>
        <r>
          <rPr>
            <b/>
            <u/>
            <sz val="9"/>
            <color indexed="81"/>
            <rFont val="Tahoma"/>
            <family val="2"/>
          </rPr>
          <t>Viaje a Islandia:</t>
        </r>
        <r>
          <rPr>
            <sz val="9"/>
            <color indexed="81"/>
            <rFont val="Tahoma"/>
            <family val="2"/>
          </rPr>
          <t xml:space="preserve">
Recibo Intermundial: 2200617533 (30/04/22):
96,99€: Seguro de viaje
Realizada transf. Caixa: 14/06/22
</t>
        </r>
      </text>
    </comment>
    <comment ref="BJ9" authorId="0" shapeId="0" xr:uid="{F200E51B-1B3F-4709-85BE-D57AD14F549C}">
      <text>
        <r>
          <rPr>
            <b/>
            <sz val="9"/>
            <color indexed="81"/>
            <rFont val="Tahoma"/>
            <family val="2"/>
          </rPr>
          <t xml:space="preserve">Trip US-RFA Conf.
</t>
        </r>
        <r>
          <rPr>
            <sz val="9"/>
            <color indexed="81"/>
            <rFont val="Tahoma"/>
            <family val="2"/>
          </rPr>
          <t xml:space="preserve">893,75€: Anotado en febrero 2022
2089,94€: Anotado en marzo 2022
5000€: Anotado en abril 2022
</t>
        </r>
        <r>
          <rPr>
            <b/>
            <sz val="9"/>
            <color indexed="81"/>
            <rFont val="Tahoma"/>
            <family val="2"/>
          </rPr>
          <t xml:space="preserve">Trip Marbella Dropet Conf.
</t>
        </r>
        <r>
          <rPr>
            <sz val="9"/>
            <color indexed="81"/>
            <rFont val="Tahoma"/>
            <family val="2"/>
          </rPr>
          <t xml:space="preserve">500€: Anotado en marzo
</t>
        </r>
        <r>
          <rPr>
            <b/>
            <sz val="9"/>
            <color indexed="81"/>
            <rFont val="Tahoma"/>
            <family val="2"/>
          </rPr>
          <t xml:space="preserve">Trip NY Sugar Week
</t>
        </r>
        <r>
          <rPr>
            <sz val="9"/>
            <color indexed="81"/>
            <rFont val="Tahoma"/>
            <family val="2"/>
          </rPr>
          <t xml:space="preserve">1530,31€: Anotado en marzo
1500€: Anotado en mayo
</t>
        </r>
        <r>
          <rPr>
            <b/>
            <sz val="9"/>
            <color indexed="81"/>
            <rFont val="Tahoma"/>
            <family val="2"/>
          </rPr>
          <t xml:space="preserve">Trip Madrid Varios
</t>
        </r>
        <r>
          <rPr>
            <sz val="9"/>
            <color indexed="81"/>
            <rFont val="Tahoma"/>
            <family val="2"/>
          </rPr>
          <t xml:space="preserve">250€: Anotado en enero
250€: Anotado en febrero
250€: Anotado en marzo
250€: Anotado en junio
250€: Anotado en agosto
</t>
        </r>
        <r>
          <rPr>
            <b/>
            <sz val="9"/>
            <color indexed="81"/>
            <rFont val="Tahoma"/>
            <family val="2"/>
          </rPr>
          <t xml:space="preserve">Trip Europe Summer
</t>
        </r>
        <r>
          <rPr>
            <sz val="9"/>
            <color indexed="81"/>
            <rFont val="Tahoma"/>
            <family val="2"/>
          </rPr>
          <t xml:space="preserve">2500€
</t>
        </r>
        <r>
          <rPr>
            <b/>
            <sz val="9"/>
            <color indexed="81"/>
            <rFont val="Tahoma"/>
            <family val="2"/>
          </rPr>
          <t xml:space="preserve">Otros Trips
</t>
        </r>
        <r>
          <rPr>
            <sz val="9"/>
            <color indexed="81"/>
            <rFont val="Tahoma"/>
            <family val="2"/>
          </rPr>
          <t>1000€: Anotado en enero
1000€: Anotado en abril
1000€: Anotado en julio</t>
        </r>
        <r>
          <rPr>
            <b/>
            <sz val="9"/>
            <color indexed="81"/>
            <rFont val="Tahoma"/>
            <family val="2"/>
          </rPr>
          <t xml:space="preserve">
</t>
        </r>
      </text>
    </comment>
    <comment ref="BL9" authorId="0" shapeId="0" xr:uid="{FBCD09CB-A8F0-4F96-AA0E-40F7657A12EC}">
      <text>
        <r>
          <rPr>
            <b/>
            <sz val="9"/>
            <color indexed="81"/>
            <rFont val="Tahoma"/>
            <family val="2"/>
          </rPr>
          <t xml:space="preserve">Agra Conferences: 
</t>
        </r>
        <r>
          <rPr>
            <sz val="9"/>
            <color indexed="81"/>
            <rFont val="Tahoma"/>
            <family val="2"/>
          </rPr>
          <t>Invoice Nº: 917790171 (12/09/22): Conferencia FO Licht noviembre
Transferencia realizada desde VFX en € el 20/09/22 (Realizado cambio a libras y pago en libras desde VFX)</t>
        </r>
      </text>
    </comment>
    <comment ref="BN9" authorId="0" shapeId="0" xr:uid="{1BE30A86-299C-4F37-BD3D-FAD75A863280}">
      <text>
        <r>
          <rPr>
            <sz val="9"/>
            <color indexed="81"/>
            <rFont val="Tahoma"/>
            <family val="2"/>
          </rPr>
          <t>Fra Sevilla Te Mueve (Cabify) del 26/10/22:
297€: Gtos de viaje NixAl.  Servicios varios taxi casa-oficina</t>
        </r>
        <r>
          <rPr>
            <b/>
            <sz val="9"/>
            <color indexed="81"/>
            <rFont val="Tahoma"/>
            <family val="2"/>
          </rPr>
          <t xml:space="preserve">.
</t>
        </r>
        <r>
          <rPr>
            <sz val="9"/>
            <color indexed="81"/>
            <rFont val="Tahoma"/>
            <family val="2"/>
          </rPr>
          <t>Transf. Caixa realizada el 15/11/22</t>
        </r>
        <r>
          <rPr>
            <b/>
            <sz val="9"/>
            <color indexed="81"/>
            <rFont val="Tahoma"/>
            <family val="2"/>
          </rPr>
          <t xml:space="preserve">
------------------------------------
</t>
        </r>
      </text>
    </comment>
    <comment ref="BQ9" authorId="0" shapeId="0" xr:uid="{818073C4-98B5-412C-B67D-FF6999B79FC8}">
      <text>
        <r>
          <rPr>
            <b/>
            <sz val="9"/>
            <color indexed="81"/>
            <rFont val="Tahoma"/>
            <family val="2"/>
          </rPr>
          <t xml:space="preserve">
</t>
        </r>
        <r>
          <rPr>
            <sz val="9"/>
            <color indexed="81"/>
            <rFont val="Tahoma"/>
            <family val="2"/>
          </rPr>
          <t>1041,10€: Pndte de pasar Alberto Gastos VISA Alberto mes enero.
Incluye: 
120€: Suscripción Unidad Editorial
Cargado: 05/02/23</t>
        </r>
        <r>
          <rPr>
            <b/>
            <sz val="9"/>
            <color indexed="81"/>
            <rFont val="Tahoma"/>
            <family val="2"/>
          </rPr>
          <t xml:space="preserve">
--------------------------------
</t>
        </r>
      </text>
    </comment>
    <comment ref="BR9" authorId="0" shapeId="0" xr:uid="{7F3F5FC1-C41C-4026-ADDB-4CB6E15D8255}">
      <text>
        <r>
          <rPr>
            <sz val="9"/>
            <color indexed="81"/>
            <rFont val="Tahoma"/>
            <family val="2"/>
          </rPr>
          <t xml:space="preserve">
Anotada previsión marzo: 5000/2=2500€
----------------------------------
2456,49€: Pndte de pasar Alberto Gastos VISA Alberto mes febrero.
Cargado: 05/03/23
----------------------------------
</t>
        </r>
      </text>
    </comment>
    <comment ref="BS9" authorId="0" shapeId="0" xr:uid="{E0E1296D-0AAC-4459-B7EB-75342F17D33F}">
      <text>
        <r>
          <rPr>
            <sz val="9"/>
            <color indexed="81"/>
            <rFont val="Tahoma"/>
            <family val="2"/>
          </rPr>
          <t>Anotada previsión abril: 
Trip US - RFA Conf.: 5000€/2
Trip Madrid varios: 250€
Otros Trips: 1000€</t>
        </r>
        <r>
          <rPr>
            <b/>
            <sz val="9"/>
            <color indexed="81"/>
            <rFont val="Tahoma"/>
            <family val="2"/>
          </rPr>
          <t xml:space="preserve">
</t>
        </r>
        <r>
          <rPr>
            <sz val="9"/>
            <color indexed="81"/>
            <rFont val="Tahoma"/>
            <family val="2"/>
          </rPr>
          <t>----------------------------------
3373,49€: Pndte de pasar Alberto Gastos VISA Alberto mes marzo.
Cargado: 05/04/23
----------------------------------</t>
        </r>
      </text>
    </comment>
    <comment ref="BT9" authorId="0" shapeId="0" xr:uid="{14E36C98-B32F-4CF7-9E64-39E1DC021305}">
      <text>
        <r>
          <rPr>
            <sz val="9"/>
            <color indexed="81"/>
            <rFont val="Tahoma"/>
            <family val="2"/>
          </rPr>
          <t xml:space="preserve">3000€: Anotada previsión abril: 
Trip NY Sugar Week: 1500€
---------------------------------
3978,46€: Pndte de pasar Alberto Gastos VISA Alberto mes abril.
Cargado: 05/05/23
---------------------------------
</t>
        </r>
      </text>
    </comment>
    <comment ref="BU9" authorId="0" shapeId="0" xr:uid="{AEA8A594-5509-488A-A81F-62EF35980CD8}">
      <text>
        <r>
          <rPr>
            <sz val="9"/>
            <color indexed="81"/>
            <rFont val="Tahoma"/>
            <family val="2"/>
          </rPr>
          <t>Trip Madrid varios: 250€
--------------------------
3401,57€: Pndte de pasar Alberto Gastos VISA Alberto mes mayo.
Cargado: 05/06/23
---------------------------</t>
        </r>
      </text>
    </comment>
    <comment ref="BV9" authorId="0" shapeId="0" xr:uid="{7FD7A9B6-EDA9-44BF-B56A-74050222F1D3}">
      <text>
        <r>
          <rPr>
            <sz val="9"/>
            <color indexed="81"/>
            <rFont val="Tahoma"/>
            <family val="2"/>
          </rPr>
          <t>Previsión Julio: 500€
--------------------------
1.161,44€: Pndte de pasar Alberto Gastos VISA Alberto mes junio.
Cargado: 05/07/23
---------------------------</t>
        </r>
      </text>
    </comment>
    <comment ref="BW9" authorId="0" shapeId="0" xr:uid="{D096CF95-BAD7-4BA3-9E4D-7851467A2418}">
      <text>
        <r>
          <rPr>
            <sz val="9"/>
            <color indexed="81"/>
            <rFont val="Tahoma"/>
            <family val="2"/>
          </rPr>
          <t>Previsión Agosto: 500€
-----------------------------
1.061,80€: Pndte de pasar Alberto Gastos VISA Alberto mes julio.
Cargado: 05/08/23
---------------------------</t>
        </r>
      </text>
    </comment>
    <comment ref="BY9" authorId="0" shapeId="0" xr:uid="{F24AE183-89FA-4FC9-9D7E-BDCC16B06782}">
      <text>
        <r>
          <rPr>
            <sz val="9"/>
            <color indexed="81"/>
            <rFont val="Tahoma"/>
            <family val="2"/>
          </rPr>
          <t>Previsión Sept: 500€
------------------------
1.514,37€: Pndte de pasar Alberto Gastos VISA Alberto mes agosto.
Incluye fra del Registro pagada con VISA el 04/08/23 por importe 10,91 E
Cargado: 05/09/23
----------------------</t>
        </r>
      </text>
    </comment>
    <comment ref="BZ9" authorId="0" shapeId="0" xr:uid="{9BD885B0-1092-4860-A621-70C7DE55110A}">
      <text>
        <r>
          <rPr>
            <b/>
            <sz val="9"/>
            <color indexed="81"/>
            <rFont val="Tahoma"/>
            <family val="2"/>
          </rPr>
          <t xml:space="preserve">Previsión Oct: 2.000€
</t>
        </r>
        <r>
          <rPr>
            <sz val="9"/>
            <color indexed="81"/>
            <rFont val="Tahoma"/>
            <family val="2"/>
          </rPr>
          <t>2.534,77€: Pndte de pasar Alberto Gastos VISA Alberto mes sept.
Cargado: 05/10/23</t>
        </r>
        <r>
          <rPr>
            <b/>
            <sz val="9"/>
            <color indexed="81"/>
            <rFont val="Tahoma"/>
            <family val="2"/>
          </rPr>
          <t xml:space="preserve">
------------------------
</t>
        </r>
        <r>
          <rPr>
            <sz val="9"/>
            <color indexed="81"/>
            <rFont val="Tahoma"/>
            <family val="2"/>
          </rPr>
          <t>World Ethanol &amp;Biofuels: 
Invoice Nº: 3900807877 (13/09/23): Conferencia FO Licht noviembre
Transferencia realizada desde VFX en € el 23/10/23 
(Realizado cambio a libras y pago en libras desde VFX)
535,61 GBP al Tc: 0,8609</t>
        </r>
      </text>
    </comment>
    <comment ref="CA9" authorId="3" shapeId="0" xr:uid="{EF2A3BBF-9B9B-4F4A-8FA4-1825AF7DCFB6}">
      <text>
        <r>
          <rPr>
            <sz val="9"/>
            <color indexed="81"/>
            <rFont val="Tahoma"/>
            <family val="2"/>
          </rPr>
          <t xml:space="preserve">Previsión Nov: 1.500€ 
FO Licht evento: 
Pndte de pasar Alberto Gastos VISA Alberto mes oct:
316,60€: Gastos desplazamiento Madrid-Sevilla y Bloomberg
2958,69€: Gastos Viaje Sao Paulo
3.275,29€: Cargado: 05/11/23
</t>
        </r>
      </text>
    </comment>
    <comment ref="CB9" authorId="3" shapeId="0" xr:uid="{388EC5DC-FA85-4A52-AC07-7FDAD40FCA0F}">
      <text>
        <r>
          <rPr>
            <sz val="9"/>
            <color indexed="81"/>
            <rFont val="Tahoma"/>
            <family val="2"/>
          </rPr>
          <t xml:space="preserve">Previsión Dic: 500€ 
Pndte de pasar Alberto Gastos VISA Alberto mes nov:
4.393,77€: Gastos desplazamiento 
4.393,77€: Cargado: 05/12/23
</t>
        </r>
      </text>
    </comment>
    <comment ref="CC9" authorId="3" shapeId="0" xr:uid="{C78C6CEA-7BD4-454D-9840-F1284183978A}">
      <text>
        <r>
          <rPr>
            <sz val="9"/>
            <color indexed="81"/>
            <rFont val="Tahoma"/>
            <family val="2"/>
          </rPr>
          <t xml:space="preserve">Previsión Ene: 500€ 
Pndte de pasar Alberto Gastos VISA Alberto mes dic:
1.311,37€: Gastos desplazamiento 
1.311,37€: Cargado: 05/01/24
</t>
        </r>
      </text>
    </comment>
    <comment ref="CD9" authorId="3" shapeId="0" xr:uid="{5DC91B63-E088-44F4-99DA-B860D839B1B5}">
      <text>
        <r>
          <rPr>
            <sz val="9"/>
            <color indexed="81"/>
            <rFont val="Tahoma"/>
            <family val="2"/>
          </rPr>
          <t xml:space="preserve">Previsión Feb: 500€ 
Pndte de pasar Alberto Gastos VISA Alberto mes ene:
726,56€: Gastos desplazamiento 
726,56€: Cargado: 05/02/24
</t>
        </r>
      </text>
    </comment>
    <comment ref="CE9" authorId="0" shapeId="0" xr:uid="{75C63E48-F0A9-4EBE-8575-1B57ECCBAA32}">
      <text>
        <r>
          <rPr>
            <sz val="9"/>
            <color indexed="81"/>
            <rFont val="Tahoma"/>
            <family val="2"/>
          </rPr>
          <t>Previsión marzo: 2.500€
Pndte de pasar Alberto Gastos VISA Alberto mes feb:
1.117,22€: Gastos desplazamiento 
1.117,22€: Cargado: 05/03/24</t>
        </r>
      </text>
    </comment>
    <comment ref="CF9" authorId="0" shapeId="0" xr:uid="{B7E56270-B323-4F1A-94A7-1B087F1B9424}">
      <text>
        <r>
          <rPr>
            <sz val="9"/>
            <color indexed="81"/>
            <rFont val="Tahoma"/>
            <family val="2"/>
          </rPr>
          <t>Previsión abril: 3.750€
Pndte de pasar Alberto Gastos VISA Alberto mes mar:
1.007,70€: Gastos desplazamiento 
1.007,70€: Cargado: 05/04/24</t>
        </r>
      </text>
    </comment>
    <comment ref="CG9" authorId="0" shapeId="0" xr:uid="{63B8E964-B564-4116-8DDB-F7734430A425}">
      <text>
        <r>
          <rPr>
            <sz val="9"/>
            <color indexed="81"/>
            <rFont val="Tahoma"/>
            <family val="2"/>
          </rPr>
          <t>Previsión mayo: 3.000€
Pndte de pasar Alberto Gastos VISA Alberto mes abril:
5.245,52€: Gastos desplazamiento 
5.245,52€: Cargado: 05/05/24</t>
        </r>
      </text>
    </comment>
    <comment ref="CH9" authorId="0" shapeId="0" xr:uid="{83845B51-458A-46FC-873F-FA5C03BBBE86}">
      <text>
        <r>
          <rPr>
            <sz val="9"/>
            <color indexed="81"/>
            <rFont val="Tahoma"/>
            <family val="2"/>
          </rPr>
          <t>Previsión junio: 250€
Pndte de pasar Alberto Gastos VISA Alberto mes mayo:
4.678,96€: Gastos desplazamiento 
4.678,96€: Cargado: 05/06/24</t>
        </r>
      </text>
    </comment>
    <comment ref="CI9" authorId="0" shapeId="0" xr:uid="{A5609B32-EA7E-4171-872B-CC8AE5F65267}">
      <text>
        <r>
          <rPr>
            <sz val="9"/>
            <color indexed="81"/>
            <rFont val="Tahoma"/>
            <family val="2"/>
          </rPr>
          <t>Previsión julio: 1.500€
Pndte de pasar Alberto Gastos VISA Alberto mes junio:
1.730,23€: Gastos desplazamiento 
1.730,23€: Cargado: 05/07/24</t>
        </r>
      </text>
    </comment>
    <comment ref="CJ9" authorId="0" shapeId="0" xr:uid="{FCF0321F-2549-4A26-9B7C-65A28061B525}">
      <text>
        <r>
          <rPr>
            <sz val="9"/>
            <color indexed="81"/>
            <rFont val="Tahoma"/>
            <family val="2"/>
          </rPr>
          <t>Previsión agosto: 500€
Pndte de pasar Alberto Gastos VISA Alberto mes julio:
46,08+2150,85€: Gastos desplazamiento (Incluye fra Antonio Movellan por 237€)
46,08€: Cargado: 01/08/24
2.150,85€: Cargado: 05/08/24</t>
        </r>
      </text>
    </comment>
    <comment ref="CL9" authorId="0" shapeId="0" xr:uid="{1B2895D5-B1EC-4B80-B444-FAF82FBE796C}">
      <text>
        <r>
          <rPr>
            <sz val="9"/>
            <color indexed="81"/>
            <rFont val="Tahoma"/>
            <family val="2"/>
          </rPr>
          <t>Previsión sept: 500€
Pndte de pasar Alberto Gastos VISA Alberto mes agosto: 160,88€: Cargado: 05/09/24</t>
        </r>
      </text>
    </comment>
    <comment ref="CM9" authorId="0" shapeId="0" xr:uid="{6ED0479F-F458-480B-8A11-B521260DFDAC}">
      <text>
        <r>
          <rPr>
            <sz val="9"/>
            <color indexed="81"/>
            <rFont val="Tahoma"/>
            <family val="2"/>
          </rPr>
          <t>Previsión oct: 2.000€
Pndte de pasar Alberto Gastos VISA Alberto mes septiembre:
66€ cuota mantenimiento tarjestas+1.407,50€: Gastos desplazamiento 
66€: Cargado: 01/10/24
1.407,50€: Cargado: 05/10/24</t>
        </r>
      </text>
    </comment>
    <comment ref="CN9" authorId="3" shapeId="0" xr:uid="{B89C7DF0-BD63-449D-A4E0-B9D7E5E7763E}">
      <text>
        <r>
          <rPr>
            <sz val="9"/>
            <color indexed="81"/>
            <rFont val="Tahoma"/>
            <family val="2"/>
          </rPr>
          <t>FO Licht evento: Previsión nov 1500€
Pndte de pasar Alberto Gastos VISA Alberto mes octubre:
3.802,12€: Gastos desplazamiento 
(Incluye Fra Jardín De Hierro-Talleres Alfonso y Fernando, S.L. del 29/10/24.
207€: Jardineras) 
3.802,12€: Cargado: 05/11/24</t>
        </r>
      </text>
    </comment>
    <comment ref="CO9" authorId="0" shapeId="0" xr:uid="{5751F153-CFF5-410E-9581-EBE6DC9D323D}">
      <text>
        <r>
          <rPr>
            <sz val="9"/>
            <color indexed="81"/>
            <rFont val="Tahoma"/>
            <family val="2"/>
          </rPr>
          <t>Previsión dic: 500€
Pndte de pasar Alberto Gastos VISA Alberto mes nov: 2.850,33€: Cargado: 05/12/24</t>
        </r>
      </text>
    </comment>
    <comment ref="CP9" authorId="0" shapeId="0" xr:uid="{3518F831-188B-4611-BA0F-5405DFB68E27}">
      <text>
        <r>
          <rPr>
            <sz val="9"/>
            <color indexed="81"/>
            <rFont val="Tahoma"/>
            <family val="2"/>
          </rPr>
          <t>Previsión ene: 500€
Pndte de pasar Alberto Gastos VISA Alberto mes dic: 1.605,97€: Cargado: 05/01/25
(Incluye IBI finca y casa 2024: 23,41+284,28= 307,69€
+30,77€ recargo 
338,46€: Pagado con VISA Alberto el 19/12/24. 
Cargado Caixa: 05/01/25.)</t>
        </r>
      </text>
    </comment>
    <comment ref="CQ9" authorId="0" shapeId="0" xr:uid="{E6394D3F-BC49-4004-A184-2F438411CF73}">
      <text>
        <r>
          <rPr>
            <sz val="9"/>
            <color indexed="81"/>
            <rFont val="Tahoma"/>
            <family val="2"/>
          </rPr>
          <t xml:space="preserve">Previsión feb: 500€
Gastos VISA Alberto mes enero: 7.369,52€: Cargado: 05/02/25
</t>
        </r>
      </text>
    </comment>
    <comment ref="CR9" authorId="0" shapeId="0" xr:uid="{282DE168-6DBF-461D-B018-F0AA488965C1}">
      <text>
        <r>
          <rPr>
            <sz val="9"/>
            <color indexed="81"/>
            <rFont val="Tahoma"/>
            <family val="2"/>
          </rPr>
          <t>Previsión mar: 2.500€
Gastos VISA Alberto y Alfonso mes febrero: 9.495,14€: Cargado: 05/03/25
(Incluye Fra Jardín De Hierro-Talleres Alfonso y Fernando, S.L. del 19/02/25.
3706€: 18 Jardineras 
Pagado con VISA Alberto: 19/02/25
Cargado Caixa: 05/03/25)</t>
        </r>
      </text>
    </comment>
    <comment ref="CS9" authorId="0" shapeId="0" xr:uid="{B711501A-D89A-4659-8357-A0B570B39D84}">
      <text>
        <r>
          <rPr>
            <sz val="9"/>
            <color indexed="81"/>
            <rFont val="Tahoma"/>
            <family val="2"/>
          </rPr>
          <t>Previsión abril: 2.500€
Gastos VISA Alberto y Alfonso mes marzo: 2.270,90€: Cargado: 05/04/25</t>
        </r>
        <r>
          <rPr>
            <b/>
            <sz val="9"/>
            <color indexed="81"/>
            <rFont val="Tahoma"/>
            <family val="2"/>
          </rPr>
          <t xml:space="preserve">
---------------------------
Pndte fra
</t>
        </r>
        <r>
          <rPr>
            <sz val="9"/>
            <color indexed="81"/>
            <rFont val="Tahoma"/>
            <family val="2"/>
          </rPr>
          <t xml:space="preserve">15/04/25: OK Alberto realizar transferencia a una Cta danesa
1.500€: Alojamiento Brasil Oko Villa
Transferencia Bankinter realizada el 16/04/25
</t>
        </r>
      </text>
    </comment>
    <comment ref="CT9" authorId="0" shapeId="0" xr:uid="{BF340E22-5D80-43D2-9224-6C8E7913E3D7}">
      <text>
        <r>
          <rPr>
            <sz val="9"/>
            <color indexed="81"/>
            <rFont val="Tahoma"/>
            <family val="2"/>
          </rPr>
          <t>Previsión mayo: 3.000€
Gastos VISA Alberto y Alfonso mes abril: 3.396,39€: Cargado: 05/05/25</t>
        </r>
        <r>
          <rPr>
            <b/>
            <sz val="9"/>
            <color indexed="81"/>
            <rFont val="Tahoma"/>
            <family val="2"/>
          </rPr>
          <t xml:space="preserve">
---------------------------
</t>
        </r>
        <r>
          <rPr>
            <sz val="9"/>
            <color indexed="81"/>
            <rFont val="Tahoma"/>
            <family val="2"/>
          </rPr>
          <t xml:space="preserve">
</t>
        </r>
      </text>
    </comment>
    <comment ref="CU9" authorId="0" shapeId="0" xr:uid="{2D6E5E00-16AA-4E80-B674-F94243587960}">
      <text>
        <r>
          <rPr>
            <sz val="9"/>
            <color indexed="81"/>
            <rFont val="Tahoma"/>
            <family val="2"/>
          </rPr>
          <t>Previsión junio: 250€
Gastos VISA Alberto y Alfonso mes mayo: 7.861,74€: Cargado: 05/06/25
Incluye:
Notas simple fincas para estudio de financiación Caja Rural: 9,56*5=47,80€
Pagado VISA ALB: 15/05/25
Cargado Caixa: 05/06/25
Fra Susana Barbero Coca-eden garden del 26/05/25.
1.781,03€: Factura de plantas para la casa de la finca
Pagada con la VISA ALB el 27/05/25
Cargado Caixa: 05/06/25
Fra Leroy Merlin del 08/05/25.
Baterias solares para la casal: 693€.
Pagado con VISA ALF el 04/05/25
Cargado Caixa: 05/06/25</t>
        </r>
        <r>
          <rPr>
            <b/>
            <sz val="9"/>
            <color indexed="81"/>
            <rFont val="Tahoma"/>
            <family val="2"/>
          </rPr>
          <t xml:space="preserve">
</t>
        </r>
        <r>
          <rPr>
            <sz val="9"/>
            <color indexed="81"/>
            <rFont val="Tahoma"/>
            <family val="2"/>
          </rPr>
          <t xml:space="preserve">
</t>
        </r>
      </text>
    </comment>
    <comment ref="CV9" authorId="0" shapeId="0" xr:uid="{A06CB867-A202-494A-85A6-D2354CA6ADD8}">
      <text>
        <r>
          <rPr>
            <sz val="9"/>
            <color indexed="81"/>
            <rFont val="Tahoma"/>
            <family val="2"/>
          </rPr>
          <t xml:space="preserve">Previsión julio: 500€
Gastos VISA Alberto y Alfonso mes junio: 4.181,08€: Cargado: 05/07/25
Este importe incluye:
Factura nºSH-2025-29540 del 02/06/25:
93,74€-46,87€ (50% dto)+ 21%= 56,72€: Plan XS (Nixal.es) +dominio (Nixaltrading.com) del 02/06/25 al 01/06/26
 al 16/06/25
56,72€: Pagado con VISA: 02/06/25
Factura nºSH-2025-29582 del 03/06/25:
93,74€+ 21%= 113,43€: Plan XS (agroforestenergy.com) del 03/06/25
 al 02/06/26
113,43€: Pagado con VISA: 03/06/25
Pndte fra solicitada a ALF:
36,28€: Pagado con VISA: 03/06/25
Factura nºSH-2025-32858 del 23/06/25:
9,99€+ 21%= 12,09€: renovar dominio nixal.es del 20/06/25 al 19/06/26
12,09€: Pagado con VISA: 23/06/25 </t>
        </r>
        <r>
          <rPr>
            <b/>
            <sz val="9"/>
            <color indexed="81"/>
            <rFont val="Tahoma"/>
            <family val="2"/>
          </rPr>
          <t xml:space="preserve">
---------------------------
Incluye tb cuota mantenimiento tarjeta ALF por 80€</t>
        </r>
        <r>
          <rPr>
            <sz val="9"/>
            <color indexed="81"/>
            <rFont val="Tahoma"/>
            <family val="2"/>
          </rPr>
          <t xml:space="preserve">
</t>
        </r>
      </text>
    </comment>
    <comment ref="CW9" authorId="0" shapeId="0" xr:uid="{77B559BC-01D3-45CA-A0A3-2AE5FEF1C8FA}">
      <text>
        <r>
          <rPr>
            <sz val="9"/>
            <color indexed="81"/>
            <rFont val="Tahoma"/>
            <family val="2"/>
          </rPr>
          <t xml:space="preserve">Previsión agosto: 500€
Gastos VISA Alberto y Alfonso mes junio: 4.181,08€: Cargado: 05/07/25
Este importe incluye:
Factura nºSH-2025-29540 del 02/06/25:
93,74€-46,87€ (50% dto)+ 21%= 56,72€: Plan XS (Nixal.es) +dominio (Nixaltrading.com) del 02/06/25 al 01/06/26
 al 16/06/25
56,72€: Pagado con VISA: 02/06/25
Factura nºSH-2025-29582 del 03/06/25:
93,74€+ 21%= 113,43€: Plan XS (agroforestenergy.com) del 03/06/25
 al 02/06/26
113,43€: Pagado con VISA: 03/06/25
Pndte fra solicitada a ALF:
36,28€: Pagado con VISA: 03/06/25
Factura nºSH-2025-32858 del 23/06/25:
9,99€+ 21%= 12,09€: renovar dominio nixal.es del 20/06/25 al 19/06/26
12,09€: Pagado con VISA: 23/06/25 </t>
        </r>
        <r>
          <rPr>
            <b/>
            <sz val="9"/>
            <color indexed="81"/>
            <rFont val="Tahoma"/>
            <family val="2"/>
          </rPr>
          <t xml:space="preserve">
---------------------------
Incluye tb cuota mantenimiento tarjeta ALF por 80€</t>
        </r>
        <r>
          <rPr>
            <sz val="9"/>
            <color indexed="81"/>
            <rFont val="Tahoma"/>
            <family val="2"/>
          </rPr>
          <t xml:space="preserve">
</t>
        </r>
      </text>
    </comment>
    <comment ref="CY9" authorId="0" shapeId="0" xr:uid="{514F49C3-3CA6-4A0D-A73B-6F5EBFF1D499}">
      <text>
        <r>
          <rPr>
            <sz val="9"/>
            <color indexed="81"/>
            <rFont val="Tahoma"/>
            <family val="2"/>
          </rPr>
          <t xml:space="preserve">Previsión sept: 500€
Gastos VISA Alberto y Alfonso mes julio: 313,68€: Cargado: 05/09/25
</t>
        </r>
        <r>
          <rPr>
            <b/>
            <sz val="9"/>
            <color indexed="81"/>
            <rFont val="Tahoma"/>
            <family val="2"/>
          </rPr>
          <t xml:space="preserve">
</t>
        </r>
        <r>
          <rPr>
            <sz val="9"/>
            <color indexed="81"/>
            <rFont val="Tahoma"/>
            <family val="2"/>
          </rPr>
          <t xml:space="preserve">
</t>
        </r>
      </text>
    </comment>
    <comment ref="CZ9" authorId="0" shapeId="0" xr:uid="{911DB31E-4F55-449D-82AA-788B2B472FEC}">
      <text>
        <r>
          <rPr>
            <sz val="9"/>
            <color indexed="81"/>
            <rFont val="Tahoma"/>
            <family val="2"/>
          </rPr>
          <t xml:space="preserve">Previsión octubre: 2.000€
Gastos VISA Alberto mes septiembre:
66€ cuota mantenimiento tarjestas+2.529,20€: Gastos desplazamiento 
66€: Cargado: 01/10/25
2.529,20€: Cargado: 05/10/25
Este importe incluye:
Factura nº 092025-77563-10035 del 12/09/25:
1.208,79 USD= 999$+IVA: Conference Only Pass
1.075,71€: Pagado con VISA: 05/10/25
Y Fra K-tuin del 10/09/25 incl en Inversiones.
Compra ordenador: 1.224,45€.
Pagado con tarjeta VISA Alberto: 10/09/25 
</t>
        </r>
        <r>
          <rPr>
            <b/>
            <sz val="9"/>
            <color indexed="81"/>
            <rFont val="Tahoma"/>
            <family val="2"/>
          </rPr>
          <t xml:space="preserve">---------------------------
</t>
        </r>
        <r>
          <rPr>
            <sz val="9"/>
            <color indexed="81"/>
            <rFont val="Tahoma"/>
            <family val="2"/>
          </rPr>
          <t xml:space="preserve">
</t>
        </r>
      </text>
    </comment>
    <comment ref="DA9" authorId="3" shapeId="0" xr:uid="{7BA6AB25-3039-4BDF-AEDB-22C642769C9B}">
      <text>
        <r>
          <rPr>
            <sz val="9"/>
            <color indexed="81"/>
            <rFont val="Tahoma"/>
            <family val="2"/>
          </rPr>
          <t xml:space="preserve">FO Licht evento: Previsión 1500
</t>
        </r>
      </text>
    </comment>
    <comment ref="DB9" authorId="0" shapeId="0" xr:uid="{CD5F2D6B-9A2B-4318-8D29-EC54D757B04F}">
      <text>
        <r>
          <rPr>
            <sz val="9"/>
            <color indexed="81"/>
            <rFont val="Tahoma"/>
            <family val="2"/>
          </rPr>
          <t xml:space="preserve">Previsión diciembre: 500€
Gastos VISA Alberto mes noviembre:
9.309,72€: Cargado: 05/12/25
</t>
        </r>
        <r>
          <rPr>
            <b/>
            <sz val="9"/>
            <color indexed="81"/>
            <rFont val="Tahoma"/>
            <family val="2"/>
          </rPr>
          <t xml:space="preserve">
Incluye:</t>
        </r>
        <r>
          <rPr>
            <sz val="9"/>
            <color indexed="81"/>
            <rFont val="Tahoma"/>
            <family val="2"/>
          </rPr>
          <t xml:space="preserve">
IBI finca y casa 2025: 23,41+284,28= 307,69€
+30,77€ recargo 
338,46€: Pagado con VISA Alberto el 11/11/25. 
Cargado Caixa: 05/12/25.</t>
        </r>
      </text>
    </comment>
    <comment ref="DC9" authorId="0" shapeId="0" xr:uid="{BC9A4048-12F3-4662-9582-12CBE6493533}">
      <text>
        <r>
          <rPr>
            <sz val="9"/>
            <color indexed="81"/>
            <rFont val="Tahoma"/>
            <family val="2"/>
          </rPr>
          <t>Previsión enero: 500€
Gastos VISA Alberto mes diciembre:
1.435,93€: Cargado: 05/01/26</t>
        </r>
        <r>
          <rPr>
            <b/>
            <sz val="9"/>
            <color indexed="81"/>
            <rFont val="Tahoma"/>
            <family val="2"/>
          </rPr>
          <t xml:space="preserve">
</t>
        </r>
        <r>
          <rPr>
            <sz val="9"/>
            <color indexed="81"/>
            <rFont val="Tahoma"/>
            <family val="2"/>
          </rPr>
          <t>Incluye: 
Fra Leroy Melin pndte, solicitada por ALF a nombre de NC
617 E: 2 Baterias para suministro electricidad casa del campo. 
Pagada con VISA ALF el 17/12/25 
Cargado Caixa el 05/01/26</t>
        </r>
        <r>
          <rPr>
            <b/>
            <sz val="9"/>
            <color indexed="81"/>
            <rFont val="Tahoma"/>
            <family val="2"/>
          </rPr>
          <t xml:space="preserve">
--------------------------------</t>
        </r>
      </text>
    </comment>
    <comment ref="DD9" authorId="0" shapeId="0" xr:uid="{17306393-569F-4D07-8C5E-81B85CE69771}">
      <text>
        <r>
          <rPr>
            <sz val="9"/>
            <color indexed="81"/>
            <rFont val="Tahoma"/>
            <family val="2"/>
          </rPr>
          <t xml:space="preserve">Previsión febrero: 500€
Gastos VISA Alberto mes enero:
2.010,46€: Cargado Caixa: 05/02/26
</t>
        </r>
        <r>
          <rPr>
            <b/>
            <sz val="9"/>
            <color indexed="81"/>
            <rFont val="Tahoma"/>
            <family val="2"/>
          </rPr>
          <t xml:space="preserve">
--------------------------------</t>
        </r>
      </text>
    </comment>
    <comment ref="DE9" authorId="0" shapeId="0" xr:uid="{E5C77CCF-B5B4-4EB7-8EB8-7BC5204B2F81}">
      <text>
        <r>
          <rPr>
            <sz val="9"/>
            <color indexed="81"/>
            <rFont val="Tahoma"/>
            <family val="2"/>
          </rPr>
          <t>Previsión mar: 2.500€
Gastos VISA Alberto y Alfonso mes febrero: 4.570,98€: Cargado: 05/03/26
Incluye: 
Fra El Corte Inglés del 23/02/26.
Cámara de fotos para web NA: 1.049,99€.
Pagado con tarjeta VISA Alberto: 16/02/26. 
Cargado Caixa: 05/04/26
-------------------------------------
Fra Viking Heliskiing del 23/02/26.
8.052€: Alojamiento
Info Alberto 23/02/26: coloca este valor en previsión de gastos de viaje em Marzo, pf.
Transf. Caixa realizada el 06/03/26</t>
        </r>
      </text>
    </comment>
    <comment ref="DF9" authorId="0" shapeId="0" xr:uid="{7E3CD5B7-934B-4D9D-BA56-88A2D2AB7CFC}">
      <text>
        <r>
          <rPr>
            <sz val="9"/>
            <color indexed="81"/>
            <rFont val="Tahoma"/>
            <family val="2"/>
          </rPr>
          <t>Previsión mar: 3.750€
Gastos VISA Alberto y Alfonso mes marzo: 617,27€: Cargado: 05/04/26
----------------------------
178,77€: Gasto cargado VISA ALF de NC el 03/12/24 por error pq pertenece a Foskito
187,77€: Abonado Caixa: 12/04/26</t>
        </r>
      </text>
    </comment>
    <comment ref="DG9" authorId="0" shapeId="0" xr:uid="{846BF66F-6BD2-4F76-9B5B-40598D3BAFEC}">
      <text>
        <r>
          <rPr>
            <sz val="9"/>
            <color indexed="81"/>
            <rFont val="Tahoma"/>
            <family val="2"/>
          </rPr>
          <t xml:space="preserve">Previsión mar: 3.000€
Gastos VISA Alberto y Alfonso mes abril: 
2.037,73€: Cargado: 05/05/26
6.516,12€: Cargado: 11/05/26
7.142,29€: Cargado: 19/05/26
----------------------------
</t>
        </r>
      </text>
    </comment>
    <comment ref="DH9" authorId="0" shapeId="0" xr:uid="{BBDFB006-C399-4F63-A6E2-4D4FB2292C44}">
      <text>
        <r>
          <rPr>
            <b/>
            <sz val="9"/>
            <color indexed="81"/>
            <rFont val="Tahoma"/>
            <family val="2"/>
          </rPr>
          <t>Trip Madrid varios: 250€</t>
        </r>
      </text>
    </comment>
    <comment ref="DJ9" authorId="0" shapeId="0" xr:uid="{1EDB01D9-4F12-48E7-957D-89239F7F8954}">
      <text>
        <r>
          <rPr>
            <b/>
            <sz val="9"/>
            <color indexed="81"/>
            <rFont val="Tahoma"/>
            <family val="2"/>
          </rPr>
          <t>Trip Madrid varios: 250€
Trip Europe Summer: 2500€</t>
        </r>
      </text>
    </comment>
    <comment ref="DN9" authorId="3" shapeId="0" xr:uid="{6D5560FE-8B8D-4971-BC3F-4CE65F8C68C0}">
      <text>
        <r>
          <rPr>
            <sz val="9"/>
            <color indexed="81"/>
            <rFont val="Tahoma"/>
            <family val="2"/>
          </rPr>
          <t xml:space="preserve">FO Licht evento: Previsión 1500
</t>
        </r>
      </text>
    </comment>
    <comment ref="DR9" authorId="0" shapeId="0" xr:uid="{DD580205-6338-412D-951F-6A167FDFD1FB}">
      <text>
        <r>
          <rPr>
            <b/>
            <sz val="9"/>
            <color indexed="81"/>
            <rFont val="Tahoma"/>
            <family val="2"/>
          </rPr>
          <t>Trip Madrid: 250€ anotada en dic</t>
        </r>
        <r>
          <rPr>
            <sz val="9"/>
            <color indexed="81"/>
            <rFont val="Tahoma"/>
            <family val="2"/>
          </rPr>
          <t xml:space="preserve">
---------------------------
</t>
        </r>
        <r>
          <rPr>
            <b/>
            <sz val="9"/>
            <color indexed="81"/>
            <rFont val="Tahoma"/>
            <family val="2"/>
          </rPr>
          <t>Previsiones anotadas en nov 22:</t>
        </r>
        <r>
          <rPr>
            <sz val="9"/>
            <color indexed="81"/>
            <rFont val="Tahoma"/>
            <family val="2"/>
          </rPr>
          <t xml:space="preserve"> 
Trip LDN/SP Sugar Week: 2000€
Trip BRU FO Licht: 1500€
Otros Trips: 1000€
---------------------------------
1000€: Previsión de enero
---------------------------------
Previsión marzo
Trip US - RFA Conf.: 893,75€
Trip Madrid varios: 250€
Trip Argentina / Brazil: 148,02€
Trip US - RFA Conf.: 2089,94€
Trip Marbella Dropet Conf.: 500€
Trip NY Sugar Week: 1530,31€</t>
        </r>
      </text>
    </comment>
    <comment ref="DS9" authorId="0" shapeId="0" xr:uid="{23513446-16F0-4FF6-9F13-D79BBEFFCF58}">
      <text>
        <r>
          <rPr>
            <b/>
            <sz val="9"/>
            <color indexed="81"/>
            <rFont val="Tahoma"/>
            <family val="2"/>
          </rPr>
          <t>Trip US - RFA Conf.: 5000€
Trip Madrid varios: 250€
Otros Trips: 1000€</t>
        </r>
      </text>
    </comment>
    <comment ref="DT9" authorId="0" shapeId="0" xr:uid="{FCE503C8-9806-4BDE-96EE-258C271E372D}">
      <text>
        <r>
          <rPr>
            <b/>
            <sz val="9"/>
            <color indexed="81"/>
            <rFont val="Tahoma"/>
            <family val="2"/>
          </rPr>
          <t>Trip NY Sugar Week: 1500€</t>
        </r>
      </text>
    </comment>
    <comment ref="DU9" authorId="0" shapeId="0" xr:uid="{0298BCD8-E79D-4A52-B385-F8A50740C17B}">
      <text>
        <r>
          <rPr>
            <b/>
            <sz val="9"/>
            <color indexed="81"/>
            <rFont val="Tahoma"/>
            <family val="2"/>
          </rPr>
          <t>Trip Madrid varios: 250€</t>
        </r>
      </text>
    </comment>
    <comment ref="DW9" authorId="0" shapeId="0" xr:uid="{0283AF32-39CE-4705-A1D6-46F1A4682C5E}">
      <text>
        <r>
          <rPr>
            <b/>
            <sz val="9"/>
            <color indexed="81"/>
            <rFont val="Tahoma"/>
            <family val="2"/>
          </rPr>
          <t>Trip Madrid varios: 250€
Trip Europe Summer: 2500€</t>
        </r>
      </text>
    </comment>
    <comment ref="AP10" authorId="0" shapeId="0" xr:uid="{0CED5E3C-110B-45C7-ADD5-708240F38D6C}">
      <text>
        <r>
          <rPr>
            <sz val="9"/>
            <color indexed="81"/>
            <rFont val="Tahoma"/>
            <family val="2"/>
          </rPr>
          <t>3536€: Transferencia Caixa realizada el 08/01/21</t>
        </r>
      </text>
    </comment>
    <comment ref="BC10" authorId="0" shapeId="0" xr:uid="{F6D9C425-6776-45FD-B4F0-4C84B1F9AA2C}">
      <text>
        <r>
          <rPr>
            <sz val="9"/>
            <color indexed="81"/>
            <rFont val="Tahoma"/>
            <family val="2"/>
          </rPr>
          <t>Recibo del 20/01/22:
4540€: Transferencia Caixa realizada el 21/01/22</t>
        </r>
      </text>
    </comment>
    <comment ref="BR10" authorId="4" shapeId="0" xr:uid="{D0DB1E62-C9EC-47F3-9BBE-DE4689BD98C0}">
      <text>
        <r>
          <rPr>
            <b/>
            <sz val="9"/>
            <color indexed="81"/>
            <rFont val="Tahoma"/>
            <family val="2"/>
          </rPr>
          <t xml:space="preserve">Alberto Carmona:
</t>
        </r>
        <r>
          <rPr>
            <sz val="9"/>
            <color indexed="81"/>
            <rFont val="Tahoma"/>
            <family val="2"/>
          </rPr>
          <t>180 Eur/mes x 6 meses (enero a junio).
180 Eur/mes x 6 meses (julio a dicembre).
Recibo del 28/02/23:
2160€: Realizar Transferencia Caixa realizada el 06/03/23</t>
        </r>
      </text>
    </comment>
    <comment ref="BS10" authorId="4" shapeId="0" xr:uid="{013763B2-B810-4DB3-84BE-7F936D1D6962}">
      <text>
        <r>
          <rPr>
            <b/>
            <sz val="9"/>
            <color indexed="81"/>
            <rFont val="Tahoma"/>
            <family val="2"/>
          </rPr>
          <t xml:space="preserve">Alberto Carmona:
</t>
        </r>
        <r>
          <rPr>
            <sz val="9"/>
            <color indexed="81"/>
            <rFont val="Tahoma"/>
            <family val="2"/>
          </rPr>
          <t>3940€: Anotar en mayo
Recibo del 27/04/23:
3940€: Realizar Transferencia Caixa 
Transferencia Caixa realizada el 27/04/23</t>
        </r>
      </text>
    </comment>
    <comment ref="CI10" authorId="4" shapeId="0" xr:uid="{AE417C4C-BFAA-4A46-9166-D01706F3914D}">
      <text>
        <r>
          <rPr>
            <sz val="9"/>
            <color indexed="81"/>
            <rFont val="Tahoma"/>
            <family val="2"/>
          </rPr>
          <t>2.365€: Recibo del 02/04/24:
2.365€: OK Alberto realizar la transferencia ya 
Transferencia Caixa realizada el 02/04/24 por financiación
Vncmto: 26/07/24</t>
        </r>
      </text>
    </comment>
    <comment ref="CU10" authorId="4" shapeId="0" xr:uid="{EB078089-B66B-4EFE-B424-1F918CD206F0}">
      <text>
        <r>
          <rPr>
            <sz val="9"/>
            <color indexed="81"/>
            <rFont val="Tahoma"/>
            <family val="2"/>
          </rPr>
          <t>Info ALB 17/06/25: Fra recurrente pues Felipe se incorpora a tiempo completo con NC y nos factura a través de su empresa en Brasil, que se llama Sucreal. 
2.179,64€: Invoice: 0001 (16/06/25)
Transferencia realizada desde Cta VFX Euros el 18/06/25</t>
        </r>
      </text>
    </comment>
    <comment ref="CV10" authorId="4" shapeId="0" xr:uid="{F49E6581-AAAE-4065-90CF-8DAD129D7572}">
      <text>
        <r>
          <rPr>
            <sz val="9"/>
            <color indexed="81"/>
            <rFont val="Tahoma"/>
            <family val="2"/>
          </rPr>
          <t>Info ALB 17/06/25: Fra recurrente pues Felipe se incorpora a tiempo completo con NC y nos factura a través de su empresa en Brasil, que se llama Sucreal. 
2.165,17€: Invoice: 0002 (09/07/25)
Transferencia realizada desde Cta VFX Euros el 10/07/25</t>
        </r>
      </text>
    </comment>
    <comment ref="CW10" authorId="4" shapeId="0" xr:uid="{5F63496F-61F4-44F6-9FE7-6F84A54A7569}">
      <text>
        <r>
          <rPr>
            <sz val="9"/>
            <color indexed="81"/>
            <rFont val="Tahoma"/>
            <family val="2"/>
          </rPr>
          <t>Info ALB 17/06/25: Fra recurrente pues Felipe se incorpora a tiempo completo con NC y nos factura a través de su empresa en Brasil, que se llama Sucreal. 
2.174,97€: Invoice: 0003 (07/08/25)
Transferencia realizada desde Cta VFX Euros el 08/08/25</t>
        </r>
      </text>
    </comment>
    <comment ref="CY10" authorId="4" shapeId="0" xr:uid="{CB727351-4C30-4AC6-AE10-68F39221D0B0}">
      <text>
        <r>
          <rPr>
            <sz val="9"/>
            <color indexed="81"/>
            <rFont val="Tahoma"/>
            <family val="2"/>
          </rPr>
          <t>Info ALB 17/06/25: Fra recurrente pues Felipe se incorpora a tiempo completo con NC y nos factura a través de su empresa en Brasil, que se llama Sucreal. 
2.174,36€: Invoice: 0005 (04/09/25)
Transferencia realizada desde Cta VFX Euros el 05/09/25</t>
        </r>
      </text>
    </comment>
    <comment ref="CZ10" authorId="4" shapeId="0" xr:uid="{5CE62C26-D95F-4CDF-863D-A2ADFA650C84}">
      <text>
        <r>
          <rPr>
            <sz val="9"/>
            <color indexed="81"/>
            <rFont val="Tahoma"/>
            <family val="2"/>
          </rPr>
          <t xml:space="preserve">3.100€: Recibo del 16/06/25:
3.100€: OK Alberto realizar la transferencia ya 
Transferencia Caixa realizada el 18/06/25
Vncmto: 17/10/25
----------------------------------- 
Info ALB 17/06/25: Fra recurrente pues Felipe se incorpora a tiempo completo con NC y nos factura a través de su empresa en Brasil, que se llama Sucreal. 
2.219,69€: Invoice: 0006 (06/10/25)
Transferencia realizada desde Cta VFX Euros el </t>
        </r>
      </text>
    </comment>
    <comment ref="DA10" authorId="4" shapeId="0" xr:uid="{3A4709CB-407C-448D-B03D-D58FFCEBEE01}">
      <text>
        <r>
          <rPr>
            <sz val="9"/>
            <color indexed="81"/>
            <rFont val="Tahoma"/>
            <family val="2"/>
          </rPr>
          <t>Info ALB 17/06/25: Fra recurrente pues Felipe se incorpora a tiempo completo con NC y nos factura a través de su empresa en Brasil, que se llama Sucreal. 
2.242,98€: Invoice: 0006 (04/10/25)
Transferencia realizada desde Cta VFX Euros el 06/11/25</t>
        </r>
      </text>
    </comment>
    <comment ref="DB10" authorId="4" shapeId="0" xr:uid="{3AE79ADF-AE6F-420E-99FB-7B50AC56FEDC}">
      <text>
        <r>
          <rPr>
            <sz val="9"/>
            <color indexed="81"/>
            <rFont val="Tahoma"/>
            <family val="2"/>
          </rPr>
          <t>Info ALB 17/06/25: Fra recurrente pues Felipe se incorpora a tiempo completo con NC y nos factura a través de su empresa en Brasil, que se llama Sucreal. 
2.228,99€: Invoice: 0008 (03/12/25)
Transferencia realizada desde Cta VFX Euros el 08/12/25</t>
        </r>
      </text>
    </comment>
    <comment ref="DC10" authorId="4" shapeId="0" xr:uid="{6D3378DC-FD5A-4AD5-8680-439FCB5EA3E4}">
      <text>
        <r>
          <rPr>
            <sz val="9"/>
            <color indexed="81"/>
            <rFont val="Tahoma"/>
            <family val="2"/>
          </rPr>
          <t>Info ALB 17/06/25: Fra recurrente pues Felipe se incorpora a tiempo completo con NC y nos factura a través de su empresa en Brasil, que se llama Sucreal. 
2.195,52€: Invoice: 0009 (07/01/26)
Transferencia realizada desde Cta VFX Euros el 12/01/26</t>
        </r>
      </text>
    </comment>
    <comment ref="DD10" authorId="4" shapeId="0" xr:uid="{4B7B0623-F7B9-4C42-8133-36ED704660D0}">
      <text>
        <r>
          <rPr>
            <sz val="9"/>
            <color indexed="81"/>
            <rFont val="Tahoma"/>
            <family val="2"/>
          </rPr>
          <t>Info ALB 17/06/25: Fra recurrente pues Felipe se incorpora a tiempo completo con NC y nos factura a través de su empresa en Brasil, que se llama Sucreal. 
2.231,15€: Invoice: 00010 (05/02/26)
Transferencia realizada desde Cta VFX Euros el 10/02/26</t>
        </r>
      </text>
    </comment>
    <comment ref="DE10" authorId="4" shapeId="0" xr:uid="{23351AA7-79A3-461C-BF79-4087B7D4B2AC}">
      <text>
        <r>
          <rPr>
            <sz val="9"/>
            <color indexed="81"/>
            <rFont val="Tahoma"/>
            <family val="2"/>
          </rPr>
          <t>Info ALB 17/06/25: Fra recurrente pues Felipe se incorpora a tiempo completo con NC y nos factura a través de su empresa en Brasil, que se llama Sucreal. 
2.258,96€: Invoice: 00011 (06/03/26)
Transferencia realizada desde Cta VFX Euros el 10/03/26</t>
        </r>
      </text>
    </comment>
    <comment ref="DF10" authorId="4" shapeId="0" xr:uid="{82C471CA-4CD5-4983-9FCF-E6C11B755912}">
      <text>
        <r>
          <rPr>
            <sz val="9"/>
            <color indexed="81"/>
            <rFont val="Tahoma"/>
            <family val="2"/>
          </rPr>
          <t>Info ALB 17/06/25: Fra recurrente pues Felipe se incorpora a tiempo completo con NC y nos factura a través de su empresa en Brasil, que se llama Sucreal. 
3.253,62€: Invoice: 00012 (13/04/26)
Transferencia realizada desde Cta VFX Euros el 17/04/26</t>
        </r>
      </text>
    </comment>
    <comment ref="DH10" authorId="4" shapeId="0" xr:uid="{C2BF9C86-8A1F-4771-BB08-3960D2715CE7}">
      <text>
        <r>
          <rPr>
            <sz val="9"/>
            <color indexed="81"/>
            <rFont val="Tahoma"/>
            <family val="2"/>
          </rPr>
          <t>Info ALB 17/06/25: Fra recurrente pues Felipe se incorpora a tiempo completo con NC y nos factura a través de su empresa en Brasil, que se llama Sucreal. 
2.436,03€: Invoice: 00015 (11/06/26)
Transferencia realizada desde Cta VFX Euros el 15/06/26</t>
        </r>
      </text>
    </comment>
    <comment ref="AD11" authorId="3" shapeId="0" xr:uid="{3A44C1D9-A68B-4912-8A8C-36ACC989C06D}">
      <text>
        <r>
          <rPr>
            <b/>
            <sz val="8"/>
            <color indexed="81"/>
            <rFont val="Tahoma"/>
            <family val="2"/>
          </rPr>
          <t>alfonso:</t>
        </r>
        <r>
          <rPr>
            <sz val="8"/>
            <color indexed="81"/>
            <rFont val="Tahoma"/>
            <family val="2"/>
          </rPr>
          <t xml:space="preserve">
trimestre a BUS por gastos compartidos (2070+IVA TRIMESTRALES)</t>
        </r>
      </text>
    </comment>
    <comment ref="AF11" authorId="3" shapeId="0" xr:uid="{40C1B05F-F80E-4229-93B8-F86C9D078EF5}">
      <text>
        <r>
          <rPr>
            <b/>
            <sz val="9"/>
            <color indexed="81"/>
            <rFont val="Tahoma"/>
            <family val="2"/>
          </rPr>
          <t>alfonso:</t>
        </r>
        <r>
          <rPr>
            <sz val="9"/>
            <color indexed="81"/>
            <rFont val="Tahoma"/>
            <family val="2"/>
          </rPr>
          <t xml:space="preserve">
resta 652,64 para cuadrar las nominas con los pagos hasta el 31/3/20.
Ajustar ya en adelante el liquido con la nomina ya regularizada.</t>
        </r>
      </text>
    </comment>
    <comment ref="AQ11" authorId="0" shapeId="0" xr:uid="{4E9703E7-A6FA-4546-AB72-35D612ACE797}">
      <text>
        <r>
          <rPr>
            <b/>
            <sz val="9"/>
            <color indexed="81"/>
            <rFont val="Tahoma"/>
            <family val="2"/>
          </rPr>
          <t>Transferencia Caixa realizada el 26/02/21</t>
        </r>
      </text>
    </comment>
    <comment ref="AR11" authorId="0" shapeId="0" xr:uid="{ED930AF3-B7A4-436E-B4AB-F1DF9BF76729}">
      <text>
        <r>
          <rPr>
            <b/>
            <sz val="9"/>
            <color indexed="81"/>
            <rFont val="Tahoma"/>
            <family val="2"/>
          </rPr>
          <t>Transferencia Caixa realizada el 30/03/21</t>
        </r>
      </text>
    </comment>
    <comment ref="AS11" authorId="1" shapeId="0" xr:uid="{6B667557-B972-40F0-82D6-BC724E380044}">
      <text>
        <r>
          <rPr>
            <b/>
            <sz val="9"/>
            <color indexed="81"/>
            <rFont val="Tahoma"/>
            <family val="2"/>
          </rPr>
          <t>Transferencia Caixa realizada el 29/04/21</t>
        </r>
      </text>
    </comment>
    <comment ref="BB11" authorId="0" shapeId="0" xr:uid="{F8A3F10E-DAE3-46CD-A729-CA5370FB20E7}">
      <text>
        <r>
          <rPr>
            <sz val="9"/>
            <color indexed="81"/>
            <rFont val="Tahoma"/>
            <family val="2"/>
          </rPr>
          <t>Transferencia Caixa realizada el 30/12/21</t>
        </r>
      </text>
    </comment>
    <comment ref="BC11" authorId="0" shapeId="0" xr:uid="{73FBE747-2B68-41BB-9493-03BD35169581}">
      <text>
        <r>
          <rPr>
            <sz val="9"/>
            <color indexed="81"/>
            <rFont val="Tahoma"/>
            <family val="2"/>
          </rPr>
          <t>Transferencia Caixa realizada el 31/01/22</t>
        </r>
      </text>
    </comment>
    <comment ref="BD11" authorId="1" shapeId="0" xr:uid="{065819A9-0D6D-4D0E-8F20-324D65508FEC}">
      <text>
        <r>
          <rPr>
            <sz val="9"/>
            <color indexed="81"/>
            <rFont val="Tahoma"/>
            <family val="2"/>
          </rPr>
          <t>Transferencia Caixa realizada el 25/02/22.</t>
        </r>
      </text>
    </comment>
    <comment ref="BE11" authorId="1" shapeId="0" xr:uid="{691A2632-718C-4F01-AFAB-957AE1A73E5D}">
      <text>
        <r>
          <rPr>
            <b/>
            <sz val="9"/>
            <color indexed="81"/>
            <rFont val="Tahoma"/>
            <family val="2"/>
          </rPr>
          <t>Transferencia Caixa realizada el 30/03/22.</t>
        </r>
      </text>
    </comment>
    <comment ref="BG11" authorId="1" shapeId="0" xr:uid="{7AAEAA40-ECD2-4830-919E-4300902F383D}">
      <text>
        <r>
          <rPr>
            <sz val="9"/>
            <color indexed="81"/>
            <rFont val="Tahoma"/>
            <family val="2"/>
          </rPr>
          <t>1250€: Transferencia Caixa realizada el 16/05/22.
------------------------------
5200€: Transferencia Caixa realizada el 26/05/22.
------------------------------</t>
        </r>
      </text>
    </comment>
    <comment ref="BH11" authorId="1" shapeId="0" xr:uid="{A95D4B03-B312-471F-9B09-8223DB76568B}">
      <text>
        <r>
          <rPr>
            <sz val="9"/>
            <color indexed="81"/>
            <rFont val="Tahoma"/>
            <family val="2"/>
          </rPr>
          <t>5.200,00€: Transferencia Caixa realizada el 30/06/22.</t>
        </r>
      </text>
    </comment>
    <comment ref="BI11" authorId="1" shapeId="0" xr:uid="{E24D85B8-8978-47AF-BDD5-555FD0E458C3}">
      <text>
        <r>
          <rPr>
            <sz val="9"/>
            <color indexed="81"/>
            <rFont val="Tahoma"/>
            <family val="2"/>
          </rPr>
          <t>Transferencia realizada el 29/07/22.</t>
        </r>
      </text>
    </comment>
    <comment ref="BJ11" authorId="1" shapeId="0" xr:uid="{8B6B30A9-6494-4B1F-B7E0-58D9E2142579}">
      <text>
        <r>
          <rPr>
            <b/>
            <sz val="9"/>
            <color indexed="81"/>
            <rFont val="Tahoma"/>
            <family val="2"/>
          </rPr>
          <t>Transferncia realizada el 29/08/22.</t>
        </r>
      </text>
    </comment>
    <comment ref="BL11" authorId="1" shapeId="0" xr:uid="{0370F1E6-6165-46D4-8DCE-73E03444BBCA}">
      <text>
        <r>
          <rPr>
            <b/>
            <sz val="9"/>
            <color indexed="81"/>
            <rFont val="Tahoma"/>
            <family val="2"/>
          </rPr>
          <t>Pago vía transferencia el 29/09/22.</t>
        </r>
      </text>
    </comment>
    <comment ref="BM11" authorId="0" shapeId="0" xr:uid="{8CF3A27A-F1CC-4CC0-938E-DDE40E7E37A9}">
      <text>
        <r>
          <rPr>
            <b/>
            <sz val="9"/>
            <color indexed="81"/>
            <rFont val="Tahoma"/>
            <family val="2"/>
          </rPr>
          <t>274,95€: Resto nómina de sept
Transferencia Caixa realizada el 17/10/22.
---------------------------
2700€: Previsión mes de octubre
3000€: Importe confirmado por Alfonso
Transf. Caixa realizada el 28/10/22</t>
        </r>
      </text>
    </comment>
    <comment ref="BN11" authorId="0" shapeId="0" xr:uid="{1C27AFE8-51F1-418F-8634-A903B9936FB3}">
      <text>
        <r>
          <rPr>
            <b/>
            <sz val="9"/>
            <color indexed="81"/>
            <rFont val="Tahoma"/>
            <family val="2"/>
          </rPr>
          <t>Transf. Caixa realizada el 29/11/22</t>
        </r>
      </text>
    </comment>
    <comment ref="BO11" authorId="0" shapeId="0" xr:uid="{EDC65058-65C4-4A98-BF3F-C7281821E5AB}">
      <text>
        <r>
          <rPr>
            <b/>
            <sz val="9"/>
            <color indexed="81"/>
            <rFont val="Tahoma"/>
            <family val="2"/>
          </rPr>
          <t>Transf. Caixa realizada el 29/12/22</t>
        </r>
      </text>
    </comment>
    <comment ref="BP11" authorId="1" shapeId="0" xr:uid="{CBA708EF-D40A-4A08-8344-C77C702D05CB}">
      <text>
        <r>
          <rPr>
            <b/>
            <sz val="9"/>
            <color indexed="81"/>
            <rFont val="Tahoma"/>
            <family val="2"/>
          </rPr>
          <t>Transf. Caixa realizada el 30/01/23</t>
        </r>
      </text>
    </comment>
    <comment ref="BQ11" authorId="1" shapeId="0" xr:uid="{1855717D-DFD6-41EB-809A-74972986855B}">
      <text>
        <r>
          <rPr>
            <b/>
            <sz val="9"/>
            <color indexed="81"/>
            <rFont val="Tahoma"/>
            <family val="2"/>
          </rPr>
          <t>Transf. Caixa realizada el 27/02/23</t>
        </r>
      </text>
    </comment>
    <comment ref="BR11" authorId="1" shapeId="0" xr:uid="{5CCEC850-DFA5-41C4-8CD2-E55C7C431540}">
      <text>
        <r>
          <rPr>
            <sz val="9"/>
            <color indexed="81"/>
            <rFont val="Tahoma"/>
            <family val="2"/>
          </rPr>
          <t>Transferencia realizada el 29/03/23.</t>
        </r>
      </text>
    </comment>
    <comment ref="BS11" authorId="1" shapeId="0" xr:uid="{0A197276-E39D-4799-A74B-052FA914A555}">
      <text>
        <r>
          <rPr>
            <sz val="9"/>
            <color indexed="81"/>
            <rFont val="Tahoma"/>
            <family val="2"/>
          </rPr>
          <t>Transferencia realizada el 27/04/23.</t>
        </r>
      </text>
    </comment>
    <comment ref="BT11" authorId="1" shapeId="0" xr:uid="{7E5200EE-9B79-4AED-82C2-F4652E396EFF}">
      <text>
        <r>
          <rPr>
            <sz val="9"/>
            <color indexed="81"/>
            <rFont val="Tahoma"/>
            <family val="2"/>
          </rPr>
          <t>Transferencia realizada el 29/05/23.</t>
        </r>
      </text>
    </comment>
    <comment ref="BU11" authorId="0" shapeId="0" xr:uid="{D057BC32-E1BE-40F4-92E1-26FDFB6830EA}">
      <text>
        <r>
          <rPr>
            <b/>
            <sz val="9"/>
            <color indexed="81"/>
            <rFont val="Tahoma"/>
            <family val="2"/>
          </rPr>
          <t>Transferencia realizada el 28/06/23.</t>
        </r>
      </text>
    </comment>
    <comment ref="BV11" authorId="0" shapeId="0" xr:uid="{6F742A5F-56B9-4F8A-8E43-9041EAA63487}">
      <text>
        <r>
          <rPr>
            <b/>
            <sz val="9"/>
            <color indexed="81"/>
            <rFont val="Tahoma"/>
            <family val="2"/>
          </rPr>
          <t>Transferencia realizada el 27/07/23.</t>
        </r>
      </text>
    </comment>
    <comment ref="BW11" authorId="0" shapeId="0" xr:uid="{FDBB7A10-6545-43C1-AF89-236BB3CABD02}">
      <text>
        <r>
          <rPr>
            <b/>
            <sz val="9"/>
            <color indexed="81"/>
            <rFont val="Tahoma"/>
            <family val="2"/>
          </rPr>
          <t>Transferencia realizada el 30/08/23.</t>
        </r>
      </text>
    </comment>
    <comment ref="BY11" authorId="0" shapeId="0" xr:uid="{A78F3178-7CDA-4AD4-9E4D-A8F49C1D6615}">
      <text>
        <r>
          <rPr>
            <b/>
            <sz val="9"/>
            <color indexed="81"/>
            <rFont val="Tahoma"/>
            <family val="2"/>
          </rPr>
          <t>Transferencia realizada el 29/09/23.</t>
        </r>
      </text>
    </comment>
    <comment ref="BZ11" authorId="1" shapeId="0" xr:uid="{E9C30F8C-C1B3-44E0-8B0B-3088AC42D717}">
      <text>
        <r>
          <rPr>
            <b/>
            <sz val="9"/>
            <color indexed="81"/>
            <rFont val="Tahoma"/>
            <family val="2"/>
          </rPr>
          <t>Transferencia realizada el 30/10/23.</t>
        </r>
      </text>
    </comment>
    <comment ref="CA11" authorId="1" shapeId="0" xr:uid="{401E4D6E-F513-435D-81DE-0648447A39C5}">
      <text>
        <r>
          <rPr>
            <b/>
            <sz val="9"/>
            <color indexed="81"/>
            <rFont val="Tahoma"/>
            <family val="2"/>
          </rPr>
          <t>Transferencia realizada el 29/11/23.</t>
        </r>
      </text>
    </comment>
    <comment ref="CB11" authorId="1" shapeId="0" xr:uid="{0607013B-6306-4D2B-BF74-D301FF53D253}">
      <text>
        <r>
          <rPr>
            <b/>
            <sz val="9"/>
            <color indexed="81"/>
            <rFont val="Tahoma"/>
            <family val="2"/>
          </rPr>
          <t>Transferencia realizada el 28/12/23.</t>
        </r>
      </text>
    </comment>
    <comment ref="CC11" authorId="1" shapeId="0" xr:uid="{7794E5BF-B756-4E0A-95DF-E835B0BA6FBF}">
      <text>
        <r>
          <rPr>
            <b/>
            <sz val="9"/>
            <color indexed="81"/>
            <rFont val="Tahoma"/>
            <family val="2"/>
          </rPr>
          <t>Transferencia realizada el 29/01/24.</t>
        </r>
      </text>
    </comment>
    <comment ref="CD11" authorId="1" shapeId="0" xr:uid="{CD9DE055-61A1-4A6E-8553-5EBEF0776C87}">
      <text>
        <r>
          <rPr>
            <b/>
            <sz val="9"/>
            <color indexed="81"/>
            <rFont val="Tahoma"/>
            <family val="2"/>
          </rPr>
          <t>Transferencia realizada el 29/02/24.</t>
        </r>
      </text>
    </comment>
    <comment ref="CE11" authorId="1" shapeId="0" xr:uid="{B1162E3B-40AA-43D6-8AF3-DFEA9204B59C}">
      <text>
        <r>
          <rPr>
            <b/>
            <sz val="9"/>
            <color indexed="81"/>
            <rFont val="Tahoma"/>
            <family val="2"/>
          </rPr>
          <t>Transferencia realizada el 26/03/24.</t>
        </r>
      </text>
    </comment>
    <comment ref="CG11" authorId="1" shapeId="0" xr:uid="{62C395D0-6B26-4AAA-B497-D124B191FB82}">
      <text>
        <r>
          <rPr>
            <b/>
            <sz val="9"/>
            <color indexed="81"/>
            <rFont val="Tahoma"/>
            <family val="2"/>
          </rPr>
          <t>Transferencia realizada el 27/05/24.</t>
        </r>
      </text>
    </comment>
    <comment ref="CH11" authorId="1" shapeId="0" xr:uid="{2AFD6506-446C-446A-AEE5-469F068ACB8A}">
      <text>
        <r>
          <rPr>
            <b/>
            <sz val="9"/>
            <color indexed="81"/>
            <rFont val="Tahoma"/>
            <family val="2"/>
          </rPr>
          <t>Transferencia realizada el 28/06/24.</t>
        </r>
      </text>
    </comment>
    <comment ref="CI11" authorId="5" shapeId="0" xr:uid="{663FF2F0-EFE9-4541-810C-40D7D032D887}">
      <text>
        <r>
          <rPr>
            <b/>
            <sz val="9"/>
            <color indexed="81"/>
            <rFont val="Tahoma"/>
            <family val="2"/>
          </rPr>
          <t>Transferencia realizada el 25/07/24</t>
        </r>
      </text>
    </comment>
    <comment ref="CJ11" authorId="5" shapeId="0" xr:uid="{F2D6F00F-A4F2-4B78-BFB1-9BF1B6841262}">
      <text>
        <r>
          <rPr>
            <b/>
            <sz val="9"/>
            <color indexed="81"/>
            <rFont val="Tahoma"/>
            <family val="2"/>
          </rPr>
          <t>Transferencia realizada el 27/08/24</t>
        </r>
      </text>
    </comment>
    <comment ref="CL11" authorId="5" shapeId="0" xr:uid="{11139D0C-00E1-4CEA-BF07-0CA0D73C7A25}">
      <text>
        <r>
          <rPr>
            <b/>
            <sz val="9"/>
            <color indexed="81"/>
            <rFont val="Tahoma"/>
            <family val="2"/>
          </rPr>
          <t>Transferencia realizada el 27/09/24</t>
        </r>
      </text>
    </comment>
    <comment ref="CM11" authorId="5" shapeId="0" xr:uid="{975D6802-D66B-46D9-BFC0-60D8D8D86674}">
      <text>
        <r>
          <rPr>
            <b/>
            <sz val="9"/>
            <color indexed="81"/>
            <rFont val="Tahoma"/>
            <family val="2"/>
          </rPr>
          <t>Transferencia realizada el 30/10/24</t>
        </r>
      </text>
    </comment>
    <comment ref="CN11" authorId="5" shapeId="0" xr:uid="{98EE05AA-47A1-473C-BA9B-3B33F2935283}">
      <text>
        <r>
          <rPr>
            <b/>
            <sz val="9"/>
            <color indexed="81"/>
            <rFont val="Tahoma"/>
            <family val="2"/>
          </rPr>
          <t>Transferencia realizada el 27/11/24</t>
        </r>
      </text>
    </comment>
    <comment ref="CO11" authorId="5" shapeId="0" xr:uid="{B0740AEF-7C1B-42DB-8A21-A8AA71E6A1E3}">
      <text>
        <r>
          <rPr>
            <b/>
            <sz val="9"/>
            <color indexed="81"/>
            <rFont val="Tahoma"/>
            <family val="2"/>
          </rPr>
          <t>Transferencia realizada el 27/12/24</t>
        </r>
      </text>
    </comment>
    <comment ref="CP11" authorId="5" shapeId="0" xr:uid="{E24AC763-4C62-439A-A052-F3CE5EAF63A2}">
      <text>
        <r>
          <rPr>
            <b/>
            <sz val="9"/>
            <color indexed="81"/>
            <rFont val="Tahoma"/>
            <family val="2"/>
          </rPr>
          <t>Transferencia realizada el 29/01/25</t>
        </r>
      </text>
    </comment>
    <comment ref="CQ11" authorId="5" shapeId="0" xr:uid="{FE2C2876-3052-467E-B536-95AE89C73697}">
      <text>
        <r>
          <rPr>
            <b/>
            <sz val="9"/>
            <color indexed="81"/>
            <rFont val="Tahoma"/>
            <family val="2"/>
          </rPr>
          <t>Transferencia realizada el 25/02/25</t>
        </r>
      </text>
    </comment>
    <comment ref="CR11" authorId="0" shapeId="0" xr:uid="{B892D6D2-56FA-4A43-A917-B8FF2827DCE7}">
      <text>
        <r>
          <rPr>
            <b/>
            <sz val="9"/>
            <color indexed="81"/>
            <rFont val="Tahoma"/>
            <family val="2"/>
          </rPr>
          <t>Transferencia Caixa realizada el 27/03/25</t>
        </r>
      </text>
    </comment>
    <comment ref="CS11" authorId="0" shapeId="0" xr:uid="{6151B206-3AD3-4966-9B06-15371A52C4DF}">
      <text>
        <r>
          <rPr>
            <b/>
            <sz val="9"/>
            <color indexed="81"/>
            <rFont val="Tahoma"/>
            <family val="2"/>
          </rPr>
          <t>Transferencia Caixa realizada el 29/04/25</t>
        </r>
      </text>
    </comment>
    <comment ref="CT11" authorId="0" shapeId="0" xr:uid="{82D857E1-21F8-4424-9F09-16D00ACE874B}">
      <text>
        <r>
          <rPr>
            <b/>
            <sz val="9"/>
            <color indexed="81"/>
            <rFont val="Tahoma"/>
            <family val="2"/>
          </rPr>
          <t>Transferencia Caixa realizada el 28/05/25</t>
        </r>
      </text>
    </comment>
    <comment ref="CU11" authorId="0" shapeId="0" xr:uid="{E07934EB-DD96-4F06-8A19-C047F92254EB}">
      <text>
        <r>
          <rPr>
            <b/>
            <sz val="9"/>
            <color indexed="81"/>
            <rFont val="Tahoma"/>
            <family val="2"/>
          </rPr>
          <t>Transferencia Caixa realizada el 26/06/25</t>
        </r>
      </text>
    </comment>
    <comment ref="CV11" authorId="0" shapeId="0" xr:uid="{FAB675E5-D5AF-4706-8879-6B2A9F0CBFC8}">
      <text>
        <r>
          <rPr>
            <b/>
            <sz val="9"/>
            <color indexed="81"/>
            <rFont val="Tahoma"/>
            <family val="2"/>
          </rPr>
          <t>Transferencia Caixa realizada el 28/07/25</t>
        </r>
      </text>
    </comment>
    <comment ref="CW11" authorId="0" shapeId="0" xr:uid="{285D20B6-51A4-40A9-9ED9-697867CE4C66}">
      <text>
        <r>
          <rPr>
            <b/>
            <sz val="9"/>
            <color indexed="81"/>
            <rFont val="Tahoma"/>
            <family val="2"/>
          </rPr>
          <t>Transferencia Caixa realizada el 26/08/25</t>
        </r>
      </text>
    </comment>
    <comment ref="CY11" authorId="0" shapeId="0" xr:uid="{DB65C5DD-7C0E-4D4C-B9A1-F018801BB4EA}">
      <text>
        <r>
          <rPr>
            <b/>
            <sz val="9"/>
            <color indexed="81"/>
            <rFont val="Tahoma"/>
            <family val="2"/>
          </rPr>
          <t>Transferencia Caixa realizada el 29/09/25</t>
        </r>
      </text>
    </comment>
    <comment ref="DA11" authorId="0" shapeId="0" xr:uid="{8E82430F-8D2B-44F3-8507-ACEED14DF87D}">
      <text>
        <r>
          <rPr>
            <b/>
            <sz val="9"/>
            <color indexed="81"/>
            <rFont val="Tahoma"/>
            <family val="2"/>
          </rPr>
          <t>Transferencia Caixa realizada el 28/11/25</t>
        </r>
      </text>
    </comment>
    <comment ref="DB11" authorId="0" shapeId="0" xr:uid="{E7BFB88F-774F-463E-B709-BE08B2379B17}">
      <text>
        <r>
          <rPr>
            <b/>
            <sz val="9"/>
            <color indexed="81"/>
            <rFont val="Tahoma"/>
            <family val="2"/>
          </rPr>
          <t>Transferencia Caixa realizada el 29/12/25</t>
        </r>
      </text>
    </comment>
    <comment ref="DC11" authorId="0" shapeId="0" xr:uid="{22E823E9-657D-4DB3-9A97-43B2DFD0FEE6}">
      <text>
        <r>
          <rPr>
            <b/>
            <sz val="9"/>
            <color indexed="81"/>
            <rFont val="Tahoma"/>
            <family val="2"/>
          </rPr>
          <t>Transferencia Caixa realizada el 30/01/26</t>
        </r>
      </text>
    </comment>
    <comment ref="DD11" authorId="0" shapeId="0" xr:uid="{0CA767E7-0355-4C55-A26D-5149C8ED9117}">
      <text>
        <r>
          <rPr>
            <b/>
            <sz val="9"/>
            <color indexed="81"/>
            <rFont val="Tahoma"/>
            <family val="2"/>
          </rPr>
          <t>Transferencia Caixa realizada el 27/02/26</t>
        </r>
        <r>
          <rPr>
            <sz val="9"/>
            <color indexed="81"/>
            <rFont val="Tahoma"/>
            <family val="2"/>
          </rPr>
          <t xml:space="preserve">
</t>
        </r>
      </text>
    </comment>
    <comment ref="DE11" authorId="0" shapeId="0" xr:uid="{A716A9B8-18BC-4D40-82F5-08970AADAD26}">
      <text>
        <r>
          <rPr>
            <b/>
            <sz val="9"/>
            <color indexed="81"/>
            <rFont val="Tahoma"/>
            <family val="2"/>
          </rPr>
          <t>Transferencia Caixa realizada el 30/03/26</t>
        </r>
        <r>
          <rPr>
            <sz val="9"/>
            <color indexed="81"/>
            <rFont val="Tahoma"/>
            <family val="2"/>
          </rPr>
          <t xml:space="preserve">
</t>
        </r>
      </text>
    </comment>
    <comment ref="DF11" authorId="0" shapeId="0" xr:uid="{58E1BA54-CA60-4536-9DC0-49DE1E6CD5B0}">
      <text>
        <r>
          <rPr>
            <b/>
            <sz val="9"/>
            <color indexed="81"/>
            <rFont val="Tahoma"/>
            <family val="2"/>
          </rPr>
          <t>Transferencia Caixa realizada el 28/04/26</t>
        </r>
        <r>
          <rPr>
            <sz val="9"/>
            <color indexed="81"/>
            <rFont val="Tahoma"/>
            <family val="2"/>
          </rPr>
          <t xml:space="preserve">
</t>
        </r>
      </text>
    </comment>
    <comment ref="DG11" authorId="0" shapeId="0" xr:uid="{768B74CA-E796-4C3B-8669-C9127C801F0C}">
      <text>
        <r>
          <rPr>
            <b/>
            <sz val="9"/>
            <color indexed="81"/>
            <rFont val="Tahoma"/>
            <family val="2"/>
          </rPr>
          <t>Transferencia Caixa realizada el 28/05/26</t>
        </r>
        <r>
          <rPr>
            <sz val="9"/>
            <color indexed="81"/>
            <rFont val="Tahoma"/>
            <family val="2"/>
          </rPr>
          <t xml:space="preserve">
</t>
        </r>
      </text>
    </comment>
    <comment ref="AP12" authorId="0" shapeId="0" xr:uid="{62EE7228-3A60-4268-9F70-422CF1645317}">
      <text>
        <r>
          <rPr>
            <b/>
            <sz val="9"/>
            <color indexed="81"/>
            <rFont val="Tahoma"/>
            <family val="2"/>
          </rPr>
          <t>Cantidad anotada en enero 2021: 13780 E</t>
        </r>
        <r>
          <rPr>
            <sz val="9"/>
            <color indexed="81"/>
            <rFont val="Tahoma"/>
            <family val="2"/>
          </rPr>
          <t xml:space="preserve">
</t>
        </r>
      </text>
    </comment>
    <comment ref="AQ12" authorId="0" shapeId="0" xr:uid="{2BB95A65-F184-40AA-9CA5-1185AFA74029}">
      <text>
        <r>
          <rPr>
            <b/>
            <sz val="9"/>
            <color indexed="81"/>
            <rFont val="Tahoma"/>
            <family val="2"/>
          </rPr>
          <t>Transferencia Caixa realizada el 26/02/21</t>
        </r>
      </text>
    </comment>
    <comment ref="AR12" authorId="0" shapeId="0" xr:uid="{AD928513-5B22-4289-9324-C18A80288E6B}">
      <text>
        <r>
          <rPr>
            <b/>
            <sz val="9"/>
            <color indexed="81"/>
            <rFont val="Tahoma"/>
            <family val="2"/>
          </rPr>
          <t>Transferencia Caixa realizada el 30/03/21</t>
        </r>
      </text>
    </comment>
    <comment ref="AS12" authorId="1" shapeId="0" xr:uid="{2983157D-F4E8-429A-A2E9-344BBDC876BD}">
      <text>
        <r>
          <rPr>
            <b/>
            <sz val="9"/>
            <color indexed="81"/>
            <rFont val="Tahoma"/>
            <family val="2"/>
          </rPr>
          <t>Transferencia Caixa realizada el 29/04/21</t>
        </r>
      </text>
    </comment>
    <comment ref="BB12" authorId="0" shapeId="0" xr:uid="{BCBD0B6A-311C-475E-81E0-CAA611F40289}">
      <text>
        <r>
          <rPr>
            <sz val="9"/>
            <color indexed="81"/>
            <rFont val="Tahoma"/>
            <family val="2"/>
          </rPr>
          <t>Transferencia Caixa realizada el 30/12/21</t>
        </r>
      </text>
    </comment>
    <comment ref="BC12" authorId="0" shapeId="0" xr:uid="{650CFB66-E0CD-423F-8705-A0CCAB99926E}">
      <text>
        <r>
          <rPr>
            <sz val="9"/>
            <color indexed="81"/>
            <rFont val="Tahoma"/>
            <family val="2"/>
          </rPr>
          <t>Transferencia Caixa realizada el 31/01/22</t>
        </r>
      </text>
    </comment>
    <comment ref="BD12" authorId="1" shapeId="0" xr:uid="{7AA8A4B5-E1EF-4F9E-8215-D0F50E3ACF07}">
      <text>
        <r>
          <rPr>
            <sz val="9"/>
            <color indexed="81"/>
            <rFont val="Tahoma"/>
            <family val="2"/>
          </rPr>
          <t>Transferencia Caixa realizada el 25/02/22.</t>
        </r>
      </text>
    </comment>
    <comment ref="BE12" authorId="1" shapeId="0" xr:uid="{CC370485-27AA-4209-9C0C-39522C2BD9BD}">
      <text>
        <r>
          <rPr>
            <b/>
            <sz val="9"/>
            <color indexed="81"/>
            <rFont val="Tahoma"/>
            <family val="2"/>
          </rPr>
          <t>Transferencia Caixa realizada el 30/03/22.</t>
        </r>
      </text>
    </comment>
    <comment ref="BG12" authorId="1" shapeId="0" xr:uid="{0EDD5DA4-ACA2-4C35-8D90-ACDED26EAF58}">
      <text>
        <r>
          <rPr>
            <sz val="9"/>
            <color indexed="81"/>
            <rFont val="Tahoma"/>
            <family val="2"/>
          </rPr>
          <t xml:space="preserve">11.660€: Transferencia Caixa realizada el 26/05/22.
------------------------------
</t>
        </r>
      </text>
    </comment>
    <comment ref="BH12" authorId="1" shapeId="0" xr:uid="{34D78C5C-2406-43A8-A009-CAEF9E98A31C}">
      <text>
        <r>
          <rPr>
            <sz val="9"/>
            <color indexed="81"/>
            <rFont val="Tahoma"/>
            <family val="2"/>
          </rPr>
          <t>11.660€: Transferencia Caixa realizada el 30/06/22.</t>
        </r>
        <r>
          <rPr>
            <b/>
            <sz val="9"/>
            <color indexed="81"/>
            <rFont val="Tahoma"/>
            <family val="2"/>
          </rPr>
          <t xml:space="preserve">
</t>
        </r>
      </text>
    </comment>
    <comment ref="BI12" authorId="1" shapeId="0" xr:uid="{D7FDFD22-FC22-4AA1-A804-29898ABF4A56}">
      <text>
        <r>
          <rPr>
            <sz val="9"/>
            <color indexed="81"/>
            <rFont val="Tahoma"/>
            <family val="2"/>
          </rPr>
          <t>Transferencia realizada el 29/07/22.</t>
        </r>
      </text>
    </comment>
    <comment ref="BJ12" authorId="1" shapeId="0" xr:uid="{AF6E8997-BAB8-4495-8D68-2557B18946A8}">
      <text>
        <r>
          <rPr>
            <b/>
            <sz val="9"/>
            <color indexed="81"/>
            <rFont val="Tahoma"/>
            <family val="2"/>
          </rPr>
          <t>Transferencia Caixa realizada el 29/08/22.</t>
        </r>
      </text>
    </comment>
    <comment ref="BL12" authorId="1" shapeId="0" xr:uid="{0CFCBBDE-4D82-4E8E-AA8C-0C1A19675A02}">
      <text>
        <r>
          <rPr>
            <b/>
            <sz val="9"/>
            <color indexed="81"/>
            <rFont val="Tahoma"/>
            <family val="2"/>
          </rPr>
          <t>Pago vía transferencia el 29/09/22.</t>
        </r>
      </text>
    </comment>
    <comment ref="BM12" authorId="0" shapeId="0" xr:uid="{D4A1CB91-41E2-4288-8314-82B7ED3997FE}">
      <text>
        <r>
          <rPr>
            <b/>
            <sz val="9"/>
            <color indexed="81"/>
            <rFont val="Tahoma"/>
            <family val="2"/>
          </rPr>
          <t>Transf. Caixa realizada el 28/10/22</t>
        </r>
      </text>
    </comment>
    <comment ref="BN12" authorId="0" shapeId="0" xr:uid="{E90EA943-AFB5-4B00-90ED-D962B9C962F4}">
      <text>
        <r>
          <rPr>
            <b/>
            <sz val="9"/>
            <color indexed="81"/>
            <rFont val="Tahoma"/>
            <family val="2"/>
          </rPr>
          <t>Transf. Caixa realizada el 29/11/22</t>
        </r>
      </text>
    </comment>
    <comment ref="BO12" authorId="0" shapeId="0" xr:uid="{DF1B18FB-B903-4F6F-9995-81D85C6A820C}">
      <text>
        <r>
          <rPr>
            <b/>
            <sz val="9"/>
            <color indexed="81"/>
            <rFont val="Tahoma"/>
            <family val="2"/>
          </rPr>
          <t>Transf. Caixa realizada el 29/12/22</t>
        </r>
      </text>
    </comment>
    <comment ref="BP12" authorId="1" shapeId="0" xr:uid="{B1EACA66-E844-48ED-AA89-397A4F16BDC2}">
      <text>
        <r>
          <rPr>
            <b/>
            <sz val="9"/>
            <color indexed="81"/>
            <rFont val="Tahoma"/>
            <family val="2"/>
          </rPr>
          <t>Transf. Caixa realizada el 30/01/23</t>
        </r>
      </text>
    </comment>
    <comment ref="BQ12" authorId="1" shapeId="0" xr:uid="{F77CA270-FECB-4646-972A-8DF7E01CCE2E}">
      <text>
        <r>
          <rPr>
            <b/>
            <sz val="9"/>
            <color indexed="81"/>
            <rFont val="Tahoma"/>
            <family val="2"/>
          </rPr>
          <t>Transf. Caixa realizada el 27/02/23</t>
        </r>
      </text>
    </comment>
    <comment ref="BR12" authorId="1" shapeId="0" xr:uid="{20101264-F457-436B-8107-C208E812BEBA}">
      <text>
        <r>
          <rPr>
            <sz val="9"/>
            <color indexed="81"/>
            <rFont val="Tahoma"/>
            <family val="2"/>
          </rPr>
          <t>Transferencia realizada el 29/03/23.</t>
        </r>
      </text>
    </comment>
    <comment ref="BS12" authorId="1" shapeId="0" xr:uid="{945DEEC9-ADB0-46C1-A8FF-ABFDEB3E4817}">
      <text>
        <r>
          <rPr>
            <sz val="9"/>
            <color indexed="81"/>
            <rFont val="Tahoma"/>
            <family val="2"/>
          </rPr>
          <t>Transferencia realizada el 27/04/23.</t>
        </r>
      </text>
    </comment>
    <comment ref="BT12" authorId="1" shapeId="0" xr:uid="{35125224-EC87-4628-A1EA-15B2AA286112}">
      <text>
        <r>
          <rPr>
            <sz val="9"/>
            <color indexed="81"/>
            <rFont val="Tahoma"/>
            <family val="2"/>
          </rPr>
          <t>Transferencia realizada el 29/05/23.</t>
        </r>
      </text>
    </comment>
    <comment ref="BU12" authorId="0" shapeId="0" xr:uid="{04459F6C-8DFA-4DEB-B3A3-ECFD685DDEEB}">
      <text>
        <r>
          <rPr>
            <b/>
            <sz val="9"/>
            <color indexed="81"/>
            <rFont val="Tahoma"/>
            <family val="2"/>
          </rPr>
          <t>Transferencia realizada el 28/06/23.</t>
        </r>
      </text>
    </comment>
    <comment ref="BV12" authorId="0" shapeId="0" xr:uid="{267DAAEE-EDD3-48C8-981E-9CB26C5496EE}">
      <text>
        <r>
          <rPr>
            <b/>
            <sz val="9"/>
            <color indexed="81"/>
            <rFont val="Tahoma"/>
            <family val="2"/>
          </rPr>
          <t>Transferencia realizada el 27/07/23.</t>
        </r>
      </text>
    </comment>
    <comment ref="BW12" authorId="0" shapeId="0" xr:uid="{7DE25F60-781E-4951-B4B9-3A52B7F72756}">
      <text>
        <r>
          <rPr>
            <b/>
            <sz val="9"/>
            <color indexed="81"/>
            <rFont val="Tahoma"/>
            <family val="2"/>
          </rPr>
          <t>Transferencia realizada el 30/08/23.</t>
        </r>
      </text>
    </comment>
    <comment ref="BY12" authorId="0" shapeId="0" xr:uid="{B6DC18CD-3783-473E-9D71-AFD3C59C80AF}">
      <text>
        <r>
          <rPr>
            <b/>
            <sz val="9"/>
            <color indexed="81"/>
            <rFont val="Tahoma"/>
            <family val="2"/>
          </rPr>
          <t>Transferencia realizada el 29/09/23.</t>
        </r>
      </text>
    </comment>
    <comment ref="BZ12" authorId="1" shapeId="0" xr:uid="{91183014-2BD6-47D0-8592-726FDDA693E7}">
      <text>
        <r>
          <rPr>
            <b/>
            <sz val="9"/>
            <color indexed="81"/>
            <rFont val="Tahoma"/>
            <family val="2"/>
          </rPr>
          <t>Transferencia realizada el 30/10/23.</t>
        </r>
      </text>
    </comment>
    <comment ref="CA12" authorId="1" shapeId="0" xr:uid="{22C7458C-A6A6-42BC-A7DF-BB2C7857544A}">
      <text>
        <r>
          <rPr>
            <b/>
            <sz val="9"/>
            <color indexed="81"/>
            <rFont val="Tahoma"/>
            <family val="2"/>
          </rPr>
          <t>Transferencia realizada el 29/11/23.</t>
        </r>
      </text>
    </comment>
    <comment ref="CB12" authorId="1" shapeId="0" xr:uid="{7EA88D0A-EF56-4020-AF0C-80891B173F4E}">
      <text>
        <r>
          <rPr>
            <b/>
            <sz val="9"/>
            <color indexed="81"/>
            <rFont val="Tahoma"/>
            <family val="2"/>
          </rPr>
          <t>Transferencia realizada el 28/12/23.</t>
        </r>
      </text>
    </comment>
    <comment ref="CC12" authorId="1" shapeId="0" xr:uid="{0D691E49-D1F6-4E69-A4F2-5361EF67F27F}">
      <text>
        <r>
          <rPr>
            <b/>
            <sz val="9"/>
            <color indexed="81"/>
            <rFont val="Tahoma"/>
            <family val="2"/>
          </rPr>
          <t>Transferencia realizada el 29/01/24.</t>
        </r>
      </text>
    </comment>
    <comment ref="CD12" authorId="1" shapeId="0" xr:uid="{66990BFB-F977-43F1-B6DD-C9DEC6993E00}">
      <text>
        <r>
          <rPr>
            <b/>
            <sz val="9"/>
            <color indexed="81"/>
            <rFont val="Tahoma"/>
            <family val="2"/>
          </rPr>
          <t>Transferencia realizada el 29/02/24.</t>
        </r>
      </text>
    </comment>
    <comment ref="CE12" authorId="1" shapeId="0" xr:uid="{0E7C707A-1813-408A-9653-B2F4AA21EF42}">
      <text>
        <r>
          <rPr>
            <b/>
            <sz val="9"/>
            <color indexed="81"/>
            <rFont val="Tahoma"/>
            <family val="2"/>
          </rPr>
          <t>Transferencia realizada el 26/03/24.</t>
        </r>
      </text>
    </comment>
    <comment ref="CG12" authorId="1" shapeId="0" xr:uid="{22694697-5C6F-41E1-A993-20CB699AA299}">
      <text>
        <r>
          <rPr>
            <b/>
            <sz val="9"/>
            <color indexed="81"/>
            <rFont val="Tahoma"/>
            <family val="2"/>
          </rPr>
          <t>Transferencia realizada el 27/05/24.</t>
        </r>
      </text>
    </comment>
    <comment ref="CH12" authorId="1" shapeId="0" xr:uid="{7CD19E4A-F5CF-478C-A89C-EB63E7B546C7}">
      <text>
        <r>
          <rPr>
            <b/>
            <sz val="9"/>
            <color indexed="81"/>
            <rFont val="Tahoma"/>
            <family val="2"/>
          </rPr>
          <t>Transferencia realizada el 28/06/24.</t>
        </r>
      </text>
    </comment>
    <comment ref="CI12" authorId="5" shapeId="0" xr:uid="{6B6100D9-AE74-479F-BD85-D7402A782AE9}">
      <text>
        <r>
          <rPr>
            <b/>
            <sz val="9"/>
            <color indexed="81"/>
            <rFont val="Tahoma"/>
            <family val="2"/>
          </rPr>
          <t>Maria:</t>
        </r>
        <r>
          <rPr>
            <sz val="9"/>
            <color indexed="81"/>
            <rFont val="Tahoma"/>
            <family val="2"/>
          </rPr>
          <t xml:space="preserve">
Transferencia realizada el 25/07/24</t>
        </r>
      </text>
    </comment>
    <comment ref="CJ12" authorId="5" shapeId="0" xr:uid="{2257F626-628B-4F15-8F11-1DB9096E0763}">
      <text>
        <r>
          <rPr>
            <b/>
            <sz val="9"/>
            <color indexed="81"/>
            <rFont val="Tahoma"/>
            <family val="2"/>
          </rPr>
          <t>Transferencia realizada el 27/08/24</t>
        </r>
      </text>
    </comment>
    <comment ref="CL12" authorId="5" shapeId="0" xr:uid="{58EFE891-46A3-44AC-8A60-CA9A8F15D69C}">
      <text>
        <r>
          <rPr>
            <b/>
            <sz val="9"/>
            <color indexed="81"/>
            <rFont val="Tahoma"/>
            <family val="2"/>
          </rPr>
          <t>Transferencia realizada el 27/09/24</t>
        </r>
      </text>
    </comment>
    <comment ref="CM12" authorId="5" shapeId="0" xr:uid="{5FAFEA02-9052-470B-AB5C-755F236ED03D}">
      <text>
        <r>
          <rPr>
            <b/>
            <sz val="9"/>
            <color indexed="81"/>
            <rFont val="Tahoma"/>
            <family val="2"/>
          </rPr>
          <t>Transferencia realizada el 30/10/24</t>
        </r>
      </text>
    </comment>
    <comment ref="CN12" authorId="5" shapeId="0" xr:uid="{0B037E40-F267-444E-BDB9-B62504EDD88E}">
      <text>
        <r>
          <rPr>
            <b/>
            <sz val="9"/>
            <color indexed="81"/>
            <rFont val="Tahoma"/>
            <family val="2"/>
          </rPr>
          <t>Transferencia realizada el 27/11/24</t>
        </r>
      </text>
    </comment>
    <comment ref="CO12" authorId="5" shapeId="0" xr:uid="{3CAC3148-23F3-40A1-BE07-9A9DC95E4428}">
      <text>
        <r>
          <rPr>
            <b/>
            <sz val="9"/>
            <color indexed="81"/>
            <rFont val="Tahoma"/>
            <family val="2"/>
          </rPr>
          <t>Transferencia realizada el 27/12/24</t>
        </r>
      </text>
    </comment>
    <comment ref="CP12" authorId="5" shapeId="0" xr:uid="{58F38073-F61A-44C6-A10E-E0035F8BE7A6}">
      <text>
        <r>
          <rPr>
            <b/>
            <sz val="9"/>
            <color indexed="81"/>
            <rFont val="Tahoma"/>
            <family val="2"/>
          </rPr>
          <t>Transferencia realizada el 29/01/25</t>
        </r>
      </text>
    </comment>
    <comment ref="CQ12" authorId="5" shapeId="0" xr:uid="{8F0A0835-58DA-4517-9791-351F323B6824}">
      <text>
        <r>
          <rPr>
            <b/>
            <sz val="9"/>
            <color indexed="81"/>
            <rFont val="Tahoma"/>
            <family val="2"/>
          </rPr>
          <t>Transferencia realizada el 25/02/25</t>
        </r>
      </text>
    </comment>
    <comment ref="CR12" authorId="0" shapeId="0" xr:uid="{B0CA10B6-339C-44DC-83CD-963D9F33C96F}">
      <text>
        <r>
          <rPr>
            <b/>
            <sz val="9"/>
            <color indexed="81"/>
            <rFont val="Tahoma"/>
            <family val="2"/>
          </rPr>
          <t>Transferencia Caixa realizada el 27/03/25</t>
        </r>
      </text>
    </comment>
    <comment ref="CS12" authorId="0" shapeId="0" xr:uid="{CCAF8FF6-A759-4058-B889-BC55A247C7E6}">
      <text>
        <r>
          <rPr>
            <b/>
            <sz val="9"/>
            <color indexed="81"/>
            <rFont val="Tahoma"/>
            <family val="2"/>
          </rPr>
          <t>Transferencia Caixa realizada el 29/04/25</t>
        </r>
      </text>
    </comment>
    <comment ref="CT12" authorId="0" shapeId="0" xr:uid="{A76FAB84-5DEC-474D-8DFA-4AB0FA01CCAB}">
      <text>
        <r>
          <rPr>
            <b/>
            <sz val="9"/>
            <color indexed="81"/>
            <rFont val="Tahoma"/>
            <family val="2"/>
          </rPr>
          <t>Transferencia Caixa realizada el 28/05/25</t>
        </r>
      </text>
    </comment>
    <comment ref="CU12" authorId="0" shapeId="0" xr:uid="{63B60723-848F-4653-8D13-3745D6935F2E}">
      <text>
        <r>
          <rPr>
            <b/>
            <sz val="9"/>
            <color indexed="81"/>
            <rFont val="Tahoma"/>
            <family val="2"/>
          </rPr>
          <t>Transferencia Caixa realizada el 26/06/25</t>
        </r>
      </text>
    </comment>
    <comment ref="CV12" authorId="0" shapeId="0" xr:uid="{D5A3DD0B-E548-4805-8354-3A8A71BB2157}">
      <text>
        <r>
          <rPr>
            <b/>
            <sz val="9"/>
            <color indexed="81"/>
            <rFont val="Tahoma"/>
            <family val="2"/>
          </rPr>
          <t>Transferencia Caixa realizada el 28/07/25</t>
        </r>
      </text>
    </comment>
    <comment ref="CW12" authorId="0" shapeId="0" xr:uid="{ABC729B0-D0E5-4C76-9D6D-100F43965146}">
      <text>
        <r>
          <rPr>
            <b/>
            <sz val="9"/>
            <color indexed="81"/>
            <rFont val="Tahoma"/>
            <family val="2"/>
          </rPr>
          <t>Transferencia Caixa realizada el 26/08/25</t>
        </r>
      </text>
    </comment>
    <comment ref="CY12" authorId="0" shapeId="0" xr:uid="{A14A210E-FCE4-4ECC-9476-846747CC9F74}">
      <text>
        <r>
          <rPr>
            <b/>
            <sz val="9"/>
            <color indexed="81"/>
            <rFont val="Tahoma"/>
            <family val="2"/>
          </rPr>
          <t>Transferencia Caixa realizada el 29/09/25</t>
        </r>
      </text>
    </comment>
    <comment ref="DA12" authorId="0" shapeId="0" xr:uid="{C7B48703-69B8-4776-BA1E-C688AC9FDBEB}">
      <text>
        <r>
          <rPr>
            <b/>
            <sz val="9"/>
            <color indexed="81"/>
            <rFont val="Tahoma"/>
            <family val="2"/>
          </rPr>
          <t>Transferencia Caixa realizada el 28/11/25</t>
        </r>
      </text>
    </comment>
    <comment ref="DB12" authorId="0" shapeId="0" xr:uid="{5ED08C8E-3B56-42A9-AF98-4FBB847CDF06}">
      <text>
        <r>
          <rPr>
            <b/>
            <sz val="9"/>
            <color indexed="81"/>
            <rFont val="Tahoma"/>
            <family val="2"/>
          </rPr>
          <t>Transferencia Caixa realizada el 29/12/25</t>
        </r>
      </text>
    </comment>
    <comment ref="DC12" authorId="0" shapeId="0" xr:uid="{12621AD7-E9E4-40AF-8097-1A637B590AAB}">
      <text>
        <r>
          <rPr>
            <b/>
            <sz val="9"/>
            <color indexed="81"/>
            <rFont val="Tahoma"/>
            <family val="2"/>
          </rPr>
          <t>Transferencia Caixa realizada el 30/01/26</t>
        </r>
      </text>
    </comment>
    <comment ref="DD12" authorId="0" shapeId="0" xr:uid="{9B75A83B-3024-4E62-974F-033FFC6F0D2E}">
      <text>
        <r>
          <rPr>
            <b/>
            <sz val="9"/>
            <color indexed="81"/>
            <rFont val="Tahoma"/>
            <family val="2"/>
          </rPr>
          <t>Transferencia Caixa realizada el 27/02/26</t>
        </r>
        <r>
          <rPr>
            <sz val="9"/>
            <color indexed="81"/>
            <rFont val="Tahoma"/>
            <family val="2"/>
          </rPr>
          <t xml:space="preserve">
</t>
        </r>
      </text>
    </comment>
    <comment ref="DE12" authorId="0" shapeId="0" xr:uid="{DDA316DA-67B6-4AC3-B5F3-0731670F1C72}">
      <text>
        <r>
          <rPr>
            <b/>
            <sz val="9"/>
            <color indexed="81"/>
            <rFont val="Tahoma"/>
            <family val="2"/>
          </rPr>
          <t>Transferencia Caixa realizada el 30/03/26</t>
        </r>
        <r>
          <rPr>
            <sz val="9"/>
            <color indexed="81"/>
            <rFont val="Tahoma"/>
            <family val="2"/>
          </rPr>
          <t xml:space="preserve">
</t>
        </r>
      </text>
    </comment>
    <comment ref="DF12" authorId="0" shapeId="0" xr:uid="{0CDD85D1-B580-45B7-B691-27BDB09A953A}">
      <text>
        <r>
          <rPr>
            <b/>
            <sz val="9"/>
            <color indexed="81"/>
            <rFont val="Tahoma"/>
            <family val="2"/>
          </rPr>
          <t>Transferencia Caixa realizada el 28/04/26</t>
        </r>
        <r>
          <rPr>
            <sz val="9"/>
            <color indexed="81"/>
            <rFont val="Tahoma"/>
            <family val="2"/>
          </rPr>
          <t xml:space="preserve">
</t>
        </r>
      </text>
    </comment>
    <comment ref="DG12" authorId="0" shapeId="0" xr:uid="{4929EE96-F565-471E-BF50-4A23D6452228}">
      <text>
        <r>
          <rPr>
            <b/>
            <sz val="9"/>
            <color indexed="81"/>
            <rFont val="Tahoma"/>
            <family val="2"/>
          </rPr>
          <t>Transferencia Caixa realizada el 28/05/26</t>
        </r>
        <r>
          <rPr>
            <sz val="9"/>
            <color indexed="81"/>
            <rFont val="Tahoma"/>
            <family val="2"/>
          </rPr>
          <t xml:space="preserve">
</t>
        </r>
      </text>
    </comment>
    <comment ref="B13" authorId="3" shapeId="0" xr:uid="{B5F43DE8-0E73-4D88-8773-B5FEC5584D82}">
      <text>
        <r>
          <rPr>
            <b/>
            <sz val="9"/>
            <color indexed="81"/>
            <rFont val="Tahoma"/>
            <family val="2"/>
          </rPr>
          <t>Nuevo horario a partir del 1 de marzo:</t>
        </r>
        <r>
          <rPr>
            <sz val="9"/>
            <color indexed="81"/>
            <rFont val="Tahoma"/>
            <family val="2"/>
          </rPr>
          <t xml:space="preserve">
Lunes y Miércoles:
De 7:30 a 14:00 horas (6,5 horas) y 
De 15:00 a 16:30 horas (1,5 horas)
Martes y Jueves:
De 7:30 a 14:00 horas (6,5 horas) y 
De 15:00 a 17:00 horas (2 horas)
Viernes:
De 7:30 a 14:30 horas (7 horas) 
La hora que falta el viernes se compensa con la media hora de más de los martes y jueves.</t>
        </r>
      </text>
    </comment>
    <comment ref="AQ13" authorId="0" shapeId="0" xr:uid="{AAA5C7B4-98DB-4EC4-8DBE-20BDF1363821}">
      <text>
        <r>
          <rPr>
            <b/>
            <sz val="9"/>
            <color indexed="81"/>
            <rFont val="Tahoma"/>
            <family val="2"/>
          </rPr>
          <t>Transferencia Caixa realizada el 26/02/21</t>
        </r>
      </text>
    </comment>
    <comment ref="AR13" authorId="0" shapeId="0" xr:uid="{B74D029C-0C65-42DA-91DD-1F089318AD00}">
      <text>
        <r>
          <rPr>
            <b/>
            <sz val="9"/>
            <color indexed="81"/>
            <rFont val="Tahoma"/>
            <family val="2"/>
          </rPr>
          <t>Transferencia Caixa realizada el 30/03/21</t>
        </r>
      </text>
    </comment>
    <comment ref="AS13" authorId="1" shapeId="0" xr:uid="{B166571D-46DF-4318-99BB-73B21FC748C5}">
      <text>
        <r>
          <rPr>
            <b/>
            <sz val="9"/>
            <color indexed="81"/>
            <rFont val="Tahoma"/>
            <family val="2"/>
          </rPr>
          <t>Transferencia Caixa realizada el 29/04/21</t>
        </r>
      </text>
    </comment>
    <comment ref="BB13" authorId="0" shapeId="0" xr:uid="{73A107D3-28B9-4B52-8ABB-A99A1C63D272}">
      <text>
        <r>
          <rPr>
            <sz val="9"/>
            <color indexed="81"/>
            <rFont val="Tahoma"/>
            <family val="2"/>
          </rPr>
          <t>Transferencia Caixa realizada el 30/12/21</t>
        </r>
      </text>
    </comment>
    <comment ref="BC13" authorId="0" shapeId="0" xr:uid="{D613D42D-99FC-4B9E-AA05-5287122E9BBF}">
      <text>
        <r>
          <rPr>
            <sz val="9"/>
            <color indexed="81"/>
            <rFont val="Tahoma"/>
            <family val="2"/>
          </rPr>
          <t>Transferencia Caixa realizada el 31/01/22</t>
        </r>
      </text>
    </comment>
    <comment ref="BD13" authorId="1" shapeId="0" xr:uid="{C8C878B9-CC57-43CF-9595-E7C064F01882}">
      <text>
        <r>
          <rPr>
            <sz val="9"/>
            <color indexed="81"/>
            <rFont val="Tahoma"/>
            <family val="2"/>
          </rPr>
          <t>Transferencia Caixa realizada el 25/02/22</t>
        </r>
        <r>
          <rPr>
            <b/>
            <sz val="9"/>
            <color indexed="81"/>
            <rFont val="Tahoma"/>
            <family val="2"/>
          </rPr>
          <t>.</t>
        </r>
      </text>
    </comment>
    <comment ref="BE13" authorId="1" shapeId="0" xr:uid="{DBED4B95-42F6-45B1-AD3F-A6B048BC6473}">
      <text>
        <r>
          <rPr>
            <b/>
            <sz val="9"/>
            <color indexed="81"/>
            <rFont val="Tahoma"/>
            <family val="2"/>
          </rPr>
          <t>Transferencia Caixa realizada el 30/03/22.</t>
        </r>
      </text>
    </comment>
    <comment ref="BG13" authorId="1" shapeId="0" xr:uid="{537D2219-A2B4-45BD-917F-17417CE2BC7B}">
      <text>
        <r>
          <rPr>
            <sz val="9"/>
            <color indexed="81"/>
            <rFont val="Tahoma"/>
            <family val="2"/>
          </rPr>
          <t xml:space="preserve">800€: Transferencia Caixa realizada el 26/05/22.
------------------------------
</t>
        </r>
      </text>
    </comment>
    <comment ref="BH13" authorId="1" shapeId="0" xr:uid="{DFE80BCA-B05E-4773-8B65-5A70A4B330AB}">
      <text>
        <r>
          <rPr>
            <sz val="9"/>
            <color indexed="81"/>
            <rFont val="Tahoma"/>
            <family val="2"/>
          </rPr>
          <t>800,00€:  Transferencia Caixa realizada el 30/06/22.</t>
        </r>
      </text>
    </comment>
    <comment ref="BI13" authorId="1" shapeId="0" xr:uid="{6E17D483-9C94-487C-9EA0-2AA581D03F97}">
      <text>
        <r>
          <rPr>
            <sz val="9"/>
            <color indexed="81"/>
            <rFont val="Tahoma"/>
            <family val="2"/>
          </rPr>
          <t>Transferencia realizada el 29/07/22.</t>
        </r>
      </text>
    </comment>
    <comment ref="BJ13" authorId="1" shapeId="0" xr:uid="{B0BAB148-2EBE-4B84-939D-E18971FB9051}">
      <text>
        <r>
          <rPr>
            <b/>
            <sz val="9"/>
            <color indexed="81"/>
            <rFont val="Tahoma"/>
            <family val="2"/>
          </rPr>
          <t>Transferencia Caixa realizada el 29/08/22.</t>
        </r>
      </text>
    </comment>
    <comment ref="BL13" authorId="1" shapeId="0" xr:uid="{95F1B500-EAA6-4DCA-AC55-86CDD0F1748B}">
      <text>
        <r>
          <rPr>
            <b/>
            <sz val="9"/>
            <color indexed="81"/>
            <rFont val="Tahoma"/>
            <family val="2"/>
          </rPr>
          <t>Pago vía transferencia el 29/09/22.</t>
        </r>
      </text>
    </comment>
    <comment ref="BM13" authorId="0" shapeId="0" xr:uid="{BF7437EF-603B-464E-BB2A-471EC829F4D7}">
      <text>
        <r>
          <rPr>
            <b/>
            <sz val="9"/>
            <color indexed="81"/>
            <rFont val="Tahoma"/>
            <family val="2"/>
          </rPr>
          <t>Transf. Caixa realizada el 28/10/22</t>
        </r>
      </text>
    </comment>
    <comment ref="BN13" authorId="0" shapeId="0" xr:uid="{26F72DB5-02BD-46E2-932F-6212B05D2F36}">
      <text>
        <r>
          <rPr>
            <b/>
            <sz val="9"/>
            <color indexed="81"/>
            <rFont val="Tahoma"/>
            <family val="2"/>
          </rPr>
          <t>Transf. Caixa realizada el 29/11/22</t>
        </r>
      </text>
    </comment>
    <comment ref="BO13" authorId="0" shapeId="0" xr:uid="{C24CAF03-BF92-4179-96BE-250928D1B53C}">
      <text>
        <r>
          <rPr>
            <b/>
            <sz val="9"/>
            <color indexed="81"/>
            <rFont val="Tahoma"/>
            <family val="2"/>
          </rPr>
          <t>Transf. Caixa realizada el 29/12/22</t>
        </r>
      </text>
    </comment>
    <comment ref="BP13" authorId="1" shapeId="0" xr:uid="{46CCA967-408A-4F48-90EF-AD8FFD4E16D9}">
      <text>
        <r>
          <rPr>
            <b/>
            <sz val="9"/>
            <color indexed="81"/>
            <rFont val="Tahoma"/>
            <family val="2"/>
          </rPr>
          <t>Transf. Caixa realizada el 30/01/23</t>
        </r>
      </text>
    </comment>
    <comment ref="BQ13" authorId="1" shapeId="0" xr:uid="{DB08D04E-CE1E-44F5-ABED-7BA9D4D32A66}">
      <text>
        <r>
          <rPr>
            <b/>
            <sz val="9"/>
            <color indexed="81"/>
            <rFont val="Tahoma"/>
            <family val="2"/>
          </rPr>
          <t>Transf. Caixa realizada el 27/02/23</t>
        </r>
      </text>
    </comment>
    <comment ref="BR13" authorId="1" shapeId="0" xr:uid="{B9ECFAF2-3144-4588-A332-FAFF22982972}">
      <text>
        <r>
          <rPr>
            <sz val="9"/>
            <color indexed="81"/>
            <rFont val="Tahoma"/>
            <family val="2"/>
          </rPr>
          <t>Transferencia realizada el 29/03/23 (800,00€)</t>
        </r>
      </text>
    </comment>
    <comment ref="BS13" authorId="1" shapeId="0" xr:uid="{E1C9B341-0124-4670-BBA6-183728FAADE8}">
      <text>
        <r>
          <rPr>
            <sz val="9"/>
            <color indexed="81"/>
            <rFont val="Tahoma"/>
            <family val="2"/>
          </rPr>
          <t>Transferencia realizada el 27/04/23.</t>
        </r>
      </text>
    </comment>
    <comment ref="BT13" authorId="1" shapeId="0" xr:uid="{5BBF869A-86BA-4CB1-9871-420BC2C47B13}">
      <text>
        <r>
          <rPr>
            <sz val="9"/>
            <color indexed="81"/>
            <rFont val="Tahoma"/>
            <family val="2"/>
          </rPr>
          <t>Transferencia realizada el 29/05/23.</t>
        </r>
      </text>
    </comment>
    <comment ref="BU13" authorId="0" shapeId="0" xr:uid="{2B57598E-E9C5-42E1-93FA-E2E7C9D3FF09}">
      <text>
        <r>
          <rPr>
            <b/>
            <sz val="9"/>
            <color indexed="81"/>
            <rFont val="Tahoma"/>
            <family val="2"/>
          </rPr>
          <t>Transferencia realizada el 28/06/23.</t>
        </r>
      </text>
    </comment>
    <comment ref="BV13" authorId="0" shapeId="0" xr:uid="{55B76712-4635-424A-82E6-1185F1BD4ED3}">
      <text>
        <r>
          <rPr>
            <b/>
            <sz val="9"/>
            <color indexed="81"/>
            <rFont val="Tahoma"/>
            <family val="2"/>
          </rPr>
          <t>Transferencia realizada el 27/07/23.</t>
        </r>
      </text>
    </comment>
    <comment ref="BW13" authorId="0" shapeId="0" xr:uid="{1FE5D626-0FEB-4ECF-B250-0DBFCA5D7A0D}">
      <text>
        <r>
          <rPr>
            <b/>
            <sz val="9"/>
            <color indexed="81"/>
            <rFont val="Tahoma"/>
            <family val="2"/>
          </rPr>
          <t>Transferencia realizada el 30/08/23.</t>
        </r>
      </text>
    </comment>
    <comment ref="BY13" authorId="0" shapeId="0" xr:uid="{C0ED678A-89FD-47A2-8E99-DD319A90A2CD}">
      <text>
        <r>
          <rPr>
            <b/>
            <sz val="9"/>
            <color indexed="81"/>
            <rFont val="Tahoma"/>
            <family val="2"/>
          </rPr>
          <t>Transferencia realizada el 29/09/23.</t>
        </r>
      </text>
    </comment>
    <comment ref="BZ13" authorId="1" shapeId="0" xr:uid="{18288B33-53EB-4EE4-929E-1A74010BE8FE}">
      <text>
        <r>
          <rPr>
            <b/>
            <sz val="9"/>
            <color indexed="81"/>
            <rFont val="Tahoma"/>
            <family val="2"/>
          </rPr>
          <t>Transferencia realizada el 30/10/23.</t>
        </r>
      </text>
    </comment>
    <comment ref="CA13" authorId="1" shapeId="0" xr:uid="{13C88396-AA88-47BF-957B-A98A4B6CD26B}">
      <text>
        <r>
          <rPr>
            <b/>
            <sz val="9"/>
            <color indexed="81"/>
            <rFont val="Tahoma"/>
            <family val="2"/>
          </rPr>
          <t>Transferencia realizada el 29/11/23.</t>
        </r>
      </text>
    </comment>
    <comment ref="CB13" authorId="1" shapeId="0" xr:uid="{ED6CEE6B-518F-4C95-B3D4-0B1595295056}">
      <text>
        <r>
          <rPr>
            <b/>
            <sz val="9"/>
            <color indexed="81"/>
            <rFont val="Tahoma"/>
            <family val="2"/>
          </rPr>
          <t>Transferencia realizada el 28/12/23.</t>
        </r>
      </text>
    </comment>
    <comment ref="CC13" authorId="1" shapeId="0" xr:uid="{BAFFA10E-BABA-4AFF-9CE0-782DDEB3E131}">
      <text>
        <r>
          <rPr>
            <b/>
            <sz val="9"/>
            <color indexed="81"/>
            <rFont val="Tahoma"/>
            <family val="2"/>
          </rPr>
          <t>Transferencia realizada el 29/01/24.</t>
        </r>
      </text>
    </comment>
    <comment ref="CD13" authorId="1" shapeId="0" xr:uid="{2792088E-F123-4813-85E2-CCBC228A067E}">
      <text>
        <r>
          <rPr>
            <b/>
            <sz val="9"/>
            <color indexed="81"/>
            <rFont val="Tahoma"/>
            <family val="2"/>
          </rPr>
          <t>Transferencia realizada el 29/02/24.</t>
        </r>
      </text>
    </comment>
    <comment ref="CE13" authorId="1" shapeId="0" xr:uid="{D6F958BE-1BE1-4F6E-B521-CAD2B83F5ECB}">
      <text>
        <r>
          <rPr>
            <b/>
            <sz val="9"/>
            <color indexed="81"/>
            <rFont val="Tahoma"/>
            <family val="2"/>
          </rPr>
          <t>Transferencia realizada el 26/03/24.</t>
        </r>
      </text>
    </comment>
    <comment ref="CG13" authorId="1" shapeId="0" xr:uid="{8829E72C-548E-4219-AAE3-8390FEE2246D}">
      <text>
        <r>
          <rPr>
            <b/>
            <sz val="9"/>
            <color indexed="81"/>
            <rFont val="Tahoma"/>
            <family val="2"/>
          </rPr>
          <t>Transferencia realizada el 27/05/24.</t>
        </r>
      </text>
    </comment>
    <comment ref="CH13" authorId="1" shapeId="0" xr:uid="{A84C4E16-FC28-49F9-8933-3DEDBBDFCF45}">
      <text>
        <r>
          <rPr>
            <b/>
            <sz val="9"/>
            <color indexed="81"/>
            <rFont val="Tahoma"/>
            <family val="2"/>
          </rPr>
          <t>Transferencia realizada el 28/06/24.</t>
        </r>
      </text>
    </comment>
    <comment ref="CI13" authorId="5" shapeId="0" xr:uid="{3886EF64-FAF0-47FE-BEA8-F0C424B30F69}">
      <text>
        <r>
          <rPr>
            <b/>
            <sz val="9"/>
            <color indexed="81"/>
            <rFont val="Tahoma"/>
            <family val="2"/>
          </rPr>
          <t>Transferencia realizada el 25/07/24</t>
        </r>
      </text>
    </comment>
    <comment ref="CJ13" authorId="5" shapeId="0" xr:uid="{81079B17-1B7F-4850-A28E-F313360101D0}">
      <text>
        <r>
          <rPr>
            <b/>
            <sz val="9"/>
            <color indexed="81"/>
            <rFont val="Tahoma"/>
            <family val="2"/>
          </rPr>
          <t>Transferencia realizada el 27/08/24</t>
        </r>
      </text>
    </comment>
    <comment ref="CL13" authorId="5" shapeId="0" xr:uid="{D91FA1B3-0704-4A42-9927-5AED04F673CC}">
      <text>
        <r>
          <rPr>
            <b/>
            <sz val="9"/>
            <color indexed="81"/>
            <rFont val="Tahoma"/>
            <family val="2"/>
          </rPr>
          <t>Transferencia realizada el 27/09/24</t>
        </r>
      </text>
    </comment>
    <comment ref="CM13" authorId="5" shapeId="0" xr:uid="{53CE038D-9B0A-490C-B043-B85B3C2DCCD3}">
      <text>
        <r>
          <rPr>
            <b/>
            <sz val="9"/>
            <color indexed="81"/>
            <rFont val="Tahoma"/>
            <family val="2"/>
          </rPr>
          <t>Transferencia realizada el 30/10/24</t>
        </r>
      </text>
    </comment>
    <comment ref="CN13" authorId="5" shapeId="0" xr:uid="{7F90956B-2DD5-4BFD-AF9F-0C9768C4253A}">
      <text>
        <r>
          <rPr>
            <b/>
            <sz val="9"/>
            <color indexed="81"/>
            <rFont val="Tahoma"/>
            <family val="2"/>
          </rPr>
          <t>Transferencia realizada el 27/11/24</t>
        </r>
      </text>
    </comment>
    <comment ref="CO13" authorId="5" shapeId="0" xr:uid="{F970701D-3D60-4F4E-AEF1-3809830FDBB0}">
      <text>
        <r>
          <rPr>
            <b/>
            <sz val="9"/>
            <color indexed="81"/>
            <rFont val="Tahoma"/>
            <family val="2"/>
          </rPr>
          <t>Transferencia realizada el 27/12/24</t>
        </r>
      </text>
    </comment>
    <comment ref="CP13" authorId="5" shapeId="0" xr:uid="{E51EABA5-EB5A-419E-B8B7-D6B4D8BF5C6A}">
      <text>
        <r>
          <rPr>
            <b/>
            <sz val="9"/>
            <color indexed="81"/>
            <rFont val="Tahoma"/>
            <family val="2"/>
          </rPr>
          <t>1.280€:Transferencia realizada el 29/01/25
46,75€: Transferencia realizada el 31/01/25</t>
        </r>
      </text>
    </comment>
    <comment ref="CQ13" authorId="5" shapeId="0" xr:uid="{E751DFDE-540B-4A8B-9383-B05F9064677B}">
      <text>
        <r>
          <rPr>
            <b/>
            <sz val="9"/>
            <color indexed="81"/>
            <rFont val="Tahoma"/>
            <family val="2"/>
          </rPr>
          <t>Transferencia realizada el 25/02/25</t>
        </r>
      </text>
    </comment>
    <comment ref="CR13" authorId="0" shapeId="0" xr:uid="{639A380D-A474-4493-A578-B3C157BD3712}">
      <text>
        <r>
          <rPr>
            <b/>
            <sz val="9"/>
            <color indexed="81"/>
            <rFont val="Tahoma"/>
            <family val="2"/>
          </rPr>
          <t>Transferencia Caixa realizada el 27/03/25</t>
        </r>
      </text>
    </comment>
    <comment ref="CS13" authorId="0" shapeId="0" xr:uid="{82CCC51E-53B2-49C2-8515-9AC21712E90E}">
      <text>
        <r>
          <rPr>
            <b/>
            <sz val="9"/>
            <color indexed="81"/>
            <rFont val="Tahoma"/>
            <family val="2"/>
          </rPr>
          <t>Transferencia Caixa realizada el 29/04/25</t>
        </r>
      </text>
    </comment>
    <comment ref="CT13" authorId="0" shapeId="0" xr:uid="{B15EDA2C-4D8C-4DB0-8CA9-8235E56C5E0C}">
      <text>
        <r>
          <rPr>
            <b/>
            <sz val="9"/>
            <color indexed="81"/>
            <rFont val="Tahoma"/>
            <family val="2"/>
          </rPr>
          <t>Transferencia Caixa realizada el 28/05/25</t>
        </r>
      </text>
    </comment>
    <comment ref="CU13" authorId="0" shapeId="0" xr:uid="{487076C3-11F7-4275-B0B3-F10482DEF500}">
      <text>
        <r>
          <rPr>
            <b/>
            <sz val="9"/>
            <color indexed="81"/>
            <rFont val="Tahoma"/>
            <family val="2"/>
          </rPr>
          <t>Transferencia Caixa realizada el 26/06/25</t>
        </r>
      </text>
    </comment>
    <comment ref="CV13" authorId="0" shapeId="0" xr:uid="{11C2879A-36FB-4869-A817-C89531FEF353}">
      <text>
        <r>
          <rPr>
            <b/>
            <sz val="9"/>
            <color indexed="81"/>
            <rFont val="Tahoma"/>
            <family val="2"/>
          </rPr>
          <t>Transferencia Caixa realizada el 28/07/25</t>
        </r>
      </text>
    </comment>
    <comment ref="CW13" authorId="0" shapeId="0" xr:uid="{6AE4FE5A-51AE-4935-8C68-4C01B2632BB7}">
      <text>
        <r>
          <rPr>
            <b/>
            <sz val="9"/>
            <color indexed="81"/>
            <rFont val="Tahoma"/>
            <family val="2"/>
          </rPr>
          <t>Transferencia Caixa realizada el 26/08/25</t>
        </r>
      </text>
    </comment>
    <comment ref="CY13" authorId="0" shapeId="0" xr:uid="{1A7AB7C7-5DAE-4D53-A073-B74D919FD3B9}">
      <text>
        <r>
          <rPr>
            <b/>
            <sz val="9"/>
            <color indexed="81"/>
            <rFont val="Tahoma"/>
            <family val="2"/>
          </rPr>
          <t>Transferencia Caixa realizada el 29/09/25</t>
        </r>
      </text>
    </comment>
    <comment ref="DA13" authorId="0" shapeId="0" xr:uid="{182A1424-2273-490E-9111-60B042992668}">
      <text>
        <r>
          <rPr>
            <b/>
            <sz val="9"/>
            <color indexed="81"/>
            <rFont val="Tahoma"/>
            <family val="2"/>
          </rPr>
          <t>Transferencia Caixa realizada el 28/11/25</t>
        </r>
      </text>
    </comment>
    <comment ref="DB13" authorId="0" shapeId="0" xr:uid="{088DDFC5-DD9F-4477-A273-48991A1A0D80}">
      <text>
        <r>
          <rPr>
            <b/>
            <sz val="9"/>
            <color indexed="81"/>
            <rFont val="Tahoma"/>
            <family val="2"/>
          </rPr>
          <t>Transferencia Caixa realizada el 29/12/25</t>
        </r>
      </text>
    </comment>
    <comment ref="DC13" authorId="0" shapeId="0" xr:uid="{C3E3D5A8-FBB3-4088-8AD5-F8CDF48A7C82}">
      <text>
        <r>
          <rPr>
            <b/>
            <sz val="9"/>
            <color indexed="81"/>
            <rFont val="Tahoma"/>
            <family val="2"/>
          </rPr>
          <t>Transferencia Caixa realizada el 30/01/26</t>
        </r>
      </text>
    </comment>
    <comment ref="DD13" authorId="0" shapeId="0" xr:uid="{401BACB1-F162-4F5A-81F5-81E843D56E65}">
      <text>
        <r>
          <rPr>
            <b/>
            <sz val="9"/>
            <color indexed="81"/>
            <rFont val="Tahoma"/>
            <family val="2"/>
          </rPr>
          <t>Transferencia Caixa realizada el 27/02/26</t>
        </r>
        <r>
          <rPr>
            <sz val="9"/>
            <color indexed="81"/>
            <rFont val="Tahoma"/>
            <family val="2"/>
          </rPr>
          <t xml:space="preserve">
</t>
        </r>
      </text>
    </comment>
    <comment ref="DE13" authorId="0" shapeId="0" xr:uid="{94F6AB38-25E2-4A7E-86E1-A2A3D600EB1D}">
      <text>
        <r>
          <rPr>
            <b/>
            <sz val="9"/>
            <color indexed="81"/>
            <rFont val="Tahoma"/>
            <family val="2"/>
          </rPr>
          <t>Transferencia Caixa realizada el 30/03/26</t>
        </r>
        <r>
          <rPr>
            <sz val="9"/>
            <color indexed="81"/>
            <rFont val="Tahoma"/>
            <family val="2"/>
          </rPr>
          <t xml:space="preserve">
</t>
        </r>
      </text>
    </comment>
    <comment ref="DF13" authorId="0" shapeId="0" xr:uid="{813A7215-5CF2-4917-A6C0-B4917A90DA9F}">
      <text>
        <r>
          <rPr>
            <b/>
            <sz val="9"/>
            <color indexed="81"/>
            <rFont val="Tahoma"/>
            <family val="2"/>
          </rPr>
          <t>Transferencia Caixa realizada el 28/04/26</t>
        </r>
        <r>
          <rPr>
            <sz val="9"/>
            <color indexed="81"/>
            <rFont val="Tahoma"/>
            <family val="2"/>
          </rPr>
          <t xml:space="preserve">
</t>
        </r>
      </text>
    </comment>
    <comment ref="DG13" authorId="0" shapeId="0" xr:uid="{2C04234A-CB7B-4721-90EF-1627847C9983}">
      <text>
        <r>
          <rPr>
            <b/>
            <sz val="9"/>
            <color indexed="81"/>
            <rFont val="Tahoma"/>
            <family val="2"/>
          </rPr>
          <t>Transferencia Caixa realizada el 28/05/26</t>
        </r>
        <r>
          <rPr>
            <sz val="9"/>
            <color indexed="81"/>
            <rFont val="Tahoma"/>
            <family val="2"/>
          </rPr>
          <t xml:space="preserve">
</t>
        </r>
      </text>
    </comment>
    <comment ref="B14" authorId="3" shapeId="0" xr:uid="{0708D263-4FFB-4FA7-A60F-D04F949B22E8}">
      <text>
        <r>
          <rPr>
            <b/>
            <sz val="9"/>
            <color indexed="81"/>
            <rFont val="Tahoma"/>
            <family val="2"/>
          </rPr>
          <t xml:space="preserve">Nuevo horario:
De </t>
        </r>
        <r>
          <rPr>
            <sz val="9"/>
            <color indexed="81"/>
            <rFont val="Tahoma"/>
            <family val="2"/>
          </rPr>
          <t>lunes a jueves:
De 8:30 a 17:30 (con 30 min de comida = 8,5 horas) 
Viernes:
De 8:30 a 14:30 (6 horas) 
Las 2 horas que faltan los viernes se compensan con la media hora de más de lunes a jueves.</t>
        </r>
      </text>
    </comment>
    <comment ref="AP14" authorId="0" shapeId="0" xr:uid="{A888D8CA-697B-4540-B871-B27D918706BC}">
      <text>
        <r>
          <rPr>
            <b/>
            <sz val="9"/>
            <color indexed="81"/>
            <rFont val="Tahoma"/>
            <family val="2"/>
          </rPr>
          <t>Transferencia Caixa realizada el 28/01/21</t>
        </r>
      </text>
    </comment>
    <comment ref="AQ14" authorId="0" shapeId="0" xr:uid="{CAEFB53C-D1EE-4686-9C49-C6453F2218BD}">
      <text>
        <r>
          <rPr>
            <b/>
            <sz val="9"/>
            <color indexed="81"/>
            <rFont val="Tahoma"/>
            <family val="2"/>
          </rPr>
          <t>Transferencia Caixa realizada el 26/02/21</t>
        </r>
      </text>
    </comment>
    <comment ref="AR14" authorId="0" shapeId="0" xr:uid="{89BD4E6A-B050-4786-B017-29A7E64B8CFD}">
      <text>
        <r>
          <rPr>
            <b/>
            <sz val="9"/>
            <color indexed="81"/>
            <rFont val="Tahoma"/>
            <family val="2"/>
          </rPr>
          <t>Transferencia Caixa realizada el 30/03/21</t>
        </r>
      </text>
    </comment>
    <comment ref="AS14" authorId="1" shapeId="0" xr:uid="{17AC8694-9FB8-4FE7-861A-19680F8411EF}">
      <text>
        <r>
          <rPr>
            <b/>
            <sz val="9"/>
            <color indexed="81"/>
            <rFont val="Tahoma"/>
            <family val="2"/>
          </rPr>
          <t>Transferencia Caixa realizada el 29/04/21</t>
        </r>
      </text>
    </comment>
    <comment ref="BY14" authorId="0" shapeId="0" xr:uid="{0B02D17D-F47B-4D5D-936D-5AF4DE3D5325}">
      <text>
        <r>
          <rPr>
            <b/>
            <sz val="9"/>
            <color indexed="81"/>
            <rFont val="Tahoma"/>
            <family val="2"/>
          </rPr>
          <t>Transferencia realizada el 29/09/23.</t>
        </r>
      </text>
    </comment>
    <comment ref="BZ14" authorId="1" shapeId="0" xr:uid="{0267E4EF-CDB6-46B2-8097-B6BD9447B878}">
      <text>
        <r>
          <rPr>
            <b/>
            <sz val="9"/>
            <color indexed="81"/>
            <rFont val="Tahoma"/>
            <family val="2"/>
          </rPr>
          <t>Transferencia realizada el 30/10/23.</t>
        </r>
      </text>
    </comment>
    <comment ref="CA14" authorId="1" shapeId="0" xr:uid="{40236897-67E5-4BFC-90F7-840D47786B7C}">
      <text>
        <r>
          <rPr>
            <b/>
            <sz val="9"/>
            <color indexed="81"/>
            <rFont val="Tahoma"/>
            <family val="2"/>
          </rPr>
          <t>Transferencia realizada el 29/11/23.</t>
        </r>
      </text>
    </comment>
    <comment ref="CB14" authorId="1" shapeId="0" xr:uid="{EC3E4D58-9231-4CCF-B592-01FBD3757FA6}">
      <text>
        <r>
          <rPr>
            <b/>
            <sz val="9"/>
            <color indexed="81"/>
            <rFont val="Tahoma"/>
            <family val="2"/>
          </rPr>
          <t>Transferencia realizada el 28/12/23.</t>
        </r>
      </text>
    </comment>
    <comment ref="CC14" authorId="1" shapeId="0" xr:uid="{6AE1F9FD-90E1-4E3C-BA2A-6F393CFFF0FF}">
      <text>
        <r>
          <rPr>
            <b/>
            <sz val="9"/>
            <color indexed="81"/>
            <rFont val="Tahoma"/>
            <family val="2"/>
          </rPr>
          <t>Transferencia realizada el 29/01/24.</t>
        </r>
      </text>
    </comment>
    <comment ref="CD14" authorId="1" shapeId="0" xr:uid="{BC1AACA6-F9B9-4F4D-9E5D-A850600F18EF}">
      <text>
        <r>
          <rPr>
            <b/>
            <sz val="9"/>
            <color indexed="81"/>
            <rFont val="Tahoma"/>
            <family val="2"/>
          </rPr>
          <t>Transferencia realizada el 29/02/24.</t>
        </r>
      </text>
    </comment>
    <comment ref="CE14" authorId="1" shapeId="0" xr:uid="{A25D0BDB-2F72-4CAA-BF6C-3FCFA145D960}">
      <text>
        <r>
          <rPr>
            <b/>
            <sz val="9"/>
            <color indexed="81"/>
            <rFont val="Tahoma"/>
            <family val="2"/>
          </rPr>
          <t>Transferencia realizada el 26/03/24.</t>
        </r>
      </text>
    </comment>
    <comment ref="CG14" authorId="1" shapeId="0" xr:uid="{25EE9C22-AB01-4A96-813F-7A1FBB581E86}">
      <text>
        <r>
          <rPr>
            <b/>
            <sz val="9"/>
            <color indexed="81"/>
            <rFont val="Tahoma"/>
            <family val="2"/>
          </rPr>
          <t>Transferencia realizada el 27/05/24.</t>
        </r>
      </text>
    </comment>
    <comment ref="CH14" authorId="1" shapeId="0" xr:uid="{4E045F8E-C8D0-42B7-881D-CC7D0498DD1F}">
      <text>
        <r>
          <rPr>
            <b/>
            <sz val="9"/>
            <color indexed="81"/>
            <rFont val="Tahoma"/>
            <family val="2"/>
          </rPr>
          <t>Transferencia realizada el 28/06/24.</t>
        </r>
      </text>
    </comment>
    <comment ref="CI14" authorId="5" shapeId="0" xr:uid="{88B19F67-E1D0-4D21-8CD8-C51F2B21AF6A}">
      <text>
        <r>
          <rPr>
            <b/>
            <sz val="9"/>
            <color indexed="81"/>
            <rFont val="Tahoma"/>
            <family val="2"/>
          </rPr>
          <t>Transferencia realizada el 25/07/24</t>
        </r>
      </text>
    </comment>
    <comment ref="CJ14" authorId="5" shapeId="0" xr:uid="{E165FBB0-5251-4458-811E-0D3DFD090E0E}">
      <text>
        <r>
          <rPr>
            <b/>
            <sz val="9"/>
            <color indexed="81"/>
            <rFont val="Tahoma"/>
            <family val="2"/>
          </rPr>
          <t>Transferencia realizada el 27/08/24</t>
        </r>
      </text>
    </comment>
    <comment ref="CL14" authorId="5" shapeId="0" xr:uid="{23C7798B-6851-4523-B5B0-75A676916499}">
      <text>
        <r>
          <rPr>
            <b/>
            <sz val="9"/>
            <color indexed="81"/>
            <rFont val="Tahoma"/>
            <family val="2"/>
          </rPr>
          <t>Transferencia realizada el 27/09/24</t>
        </r>
      </text>
    </comment>
    <comment ref="CM14" authorId="5" shapeId="0" xr:uid="{6E437B51-7D7A-4B2E-9051-6D17BA2E89A7}">
      <text>
        <r>
          <rPr>
            <b/>
            <sz val="9"/>
            <color indexed="81"/>
            <rFont val="Tahoma"/>
            <family val="2"/>
          </rPr>
          <t>Transferencia realizada el 30/10/24</t>
        </r>
      </text>
    </comment>
    <comment ref="CN14" authorId="5" shapeId="0" xr:uid="{F040149B-D176-41DE-A77F-60AC679144B0}">
      <text>
        <r>
          <rPr>
            <b/>
            <sz val="9"/>
            <color indexed="81"/>
            <rFont val="Tahoma"/>
            <family val="2"/>
          </rPr>
          <t>Transferencia realizada el 27/11/24</t>
        </r>
      </text>
    </comment>
    <comment ref="CO14" authorId="5" shapeId="0" xr:uid="{2FE966C1-41DF-4789-8FC3-56C2EFE144A5}">
      <text>
        <r>
          <rPr>
            <b/>
            <sz val="9"/>
            <color indexed="81"/>
            <rFont val="Tahoma"/>
            <family val="2"/>
          </rPr>
          <t>Transferencia realizada el 27/12/24</t>
        </r>
      </text>
    </comment>
    <comment ref="CP14" authorId="5" shapeId="0" xr:uid="{08CDFCBA-1055-4811-868E-AAC99BFFE5C0}">
      <text>
        <r>
          <rPr>
            <b/>
            <sz val="9"/>
            <color indexed="81"/>
            <rFont val="Tahoma"/>
            <family val="2"/>
          </rPr>
          <t>1.326,75€: Transferencia realizada el 29/01/25
50,53€: Transferencia realizada el 31/01/25</t>
        </r>
      </text>
    </comment>
    <comment ref="CQ14" authorId="5" shapeId="0" xr:uid="{EE026A15-A62C-4A6E-89EF-999C0FEE5032}">
      <text>
        <r>
          <rPr>
            <b/>
            <sz val="9"/>
            <color indexed="81"/>
            <rFont val="Tahoma"/>
            <family val="2"/>
          </rPr>
          <t>Transferencia realizada el 25/02/25</t>
        </r>
      </text>
    </comment>
    <comment ref="CR14" authorId="0" shapeId="0" xr:uid="{616457D5-A2D5-49E7-AFD8-CDED0DEE3103}">
      <text>
        <r>
          <rPr>
            <b/>
            <sz val="9"/>
            <color indexed="81"/>
            <rFont val="Tahoma"/>
            <family val="2"/>
          </rPr>
          <t>Transferencia Caixa realizada el 27/03/25</t>
        </r>
      </text>
    </comment>
    <comment ref="CS14" authorId="0" shapeId="0" xr:uid="{69415DD0-3E73-4194-AC1E-405622EB0F24}">
      <text>
        <r>
          <rPr>
            <b/>
            <sz val="9"/>
            <color indexed="81"/>
            <rFont val="Tahoma"/>
            <family val="2"/>
          </rPr>
          <t>Transferencia Caixa realizada el 29/04/25</t>
        </r>
      </text>
    </comment>
    <comment ref="CT14" authorId="0" shapeId="0" xr:uid="{B381237E-9084-438F-ABA9-E026321C7E56}">
      <text>
        <r>
          <rPr>
            <b/>
            <sz val="9"/>
            <color indexed="81"/>
            <rFont val="Tahoma"/>
            <family val="2"/>
          </rPr>
          <t>Transferencia Caixa realizada el 28/05/25</t>
        </r>
      </text>
    </comment>
    <comment ref="CU14" authorId="0" shapeId="0" xr:uid="{788A838F-6B56-4CCB-BF6F-387D1D968180}">
      <text>
        <r>
          <rPr>
            <b/>
            <sz val="9"/>
            <color indexed="81"/>
            <rFont val="Tahoma"/>
            <family val="2"/>
          </rPr>
          <t>Transferencia Caixa realizada el 26/06/25</t>
        </r>
      </text>
    </comment>
    <comment ref="CV14" authorId="0" shapeId="0" xr:uid="{02226796-ED02-4605-B5B8-C776CAAEFC3A}">
      <text>
        <r>
          <rPr>
            <b/>
            <sz val="9"/>
            <color indexed="81"/>
            <rFont val="Tahoma"/>
            <family val="2"/>
          </rPr>
          <t>Transferencia Caixa realizada el 28/07/25</t>
        </r>
      </text>
    </comment>
    <comment ref="CW14" authorId="0" shapeId="0" xr:uid="{9C8748AC-C431-4E9B-85C3-0393915B9F22}">
      <text>
        <r>
          <rPr>
            <b/>
            <sz val="9"/>
            <color indexed="81"/>
            <rFont val="Tahoma"/>
            <family val="2"/>
          </rPr>
          <t>Transferencia Caixa realizada el 26/08/25</t>
        </r>
      </text>
    </comment>
    <comment ref="CY14" authorId="0" shapeId="0" xr:uid="{7E63FB2B-117C-4F44-838F-0B527019968C}">
      <text>
        <r>
          <rPr>
            <b/>
            <sz val="9"/>
            <color indexed="81"/>
            <rFont val="Tahoma"/>
            <family val="2"/>
          </rPr>
          <t>Transferencia Caixa realizada el 29/09/25</t>
        </r>
      </text>
    </comment>
    <comment ref="DA14" authorId="0" shapeId="0" xr:uid="{800EBA2B-1E98-4F71-B034-908CE63FD9E7}">
      <text>
        <r>
          <rPr>
            <b/>
            <sz val="9"/>
            <color indexed="81"/>
            <rFont val="Tahoma"/>
            <family val="2"/>
          </rPr>
          <t>Transferencia Caixa realizada el 28/11/25</t>
        </r>
      </text>
    </comment>
    <comment ref="DB14" authorId="0" shapeId="0" xr:uid="{E298F0E5-1DBF-4263-90E7-196254CA5803}">
      <text>
        <r>
          <rPr>
            <b/>
            <sz val="9"/>
            <color indexed="81"/>
            <rFont val="Tahoma"/>
            <family val="2"/>
          </rPr>
          <t>Transferencia Caixa realizada el 29/12/25</t>
        </r>
      </text>
    </comment>
    <comment ref="DC14" authorId="0" shapeId="0" xr:uid="{B1259F4A-B90F-4B1B-B33E-2087389452F1}">
      <text>
        <r>
          <rPr>
            <b/>
            <sz val="9"/>
            <color indexed="81"/>
            <rFont val="Tahoma"/>
            <family val="2"/>
          </rPr>
          <t>Transferencia Caixa realizada el 30/01/26</t>
        </r>
      </text>
    </comment>
    <comment ref="DD14" authorId="0" shapeId="0" xr:uid="{88AC095D-74A9-4C11-8E1B-A9CF015F10E7}">
      <text>
        <r>
          <rPr>
            <b/>
            <sz val="9"/>
            <color indexed="81"/>
            <rFont val="Tahoma"/>
            <family val="2"/>
          </rPr>
          <t>Transferencia Caixa realizada el 27/02/26</t>
        </r>
        <r>
          <rPr>
            <sz val="9"/>
            <color indexed="81"/>
            <rFont val="Tahoma"/>
            <family val="2"/>
          </rPr>
          <t xml:space="preserve">
</t>
        </r>
      </text>
    </comment>
    <comment ref="DE14" authorId="0" shapeId="0" xr:uid="{6482BABD-E241-4F16-A1F8-0B7A59ED0C4C}">
      <text>
        <r>
          <rPr>
            <b/>
            <sz val="9"/>
            <color indexed="81"/>
            <rFont val="Tahoma"/>
            <family val="2"/>
          </rPr>
          <t>Transferencia Caixa realizada el 30/03/26</t>
        </r>
        <r>
          <rPr>
            <sz val="9"/>
            <color indexed="81"/>
            <rFont val="Tahoma"/>
            <family val="2"/>
          </rPr>
          <t xml:space="preserve">
</t>
        </r>
      </text>
    </comment>
    <comment ref="DF14" authorId="0" shapeId="0" xr:uid="{5EA667C8-F8A3-49E7-93BD-C41F490BEBF1}">
      <text>
        <r>
          <rPr>
            <b/>
            <sz val="9"/>
            <color indexed="81"/>
            <rFont val="Tahoma"/>
            <family val="2"/>
          </rPr>
          <t>Transferencia Caixa realizada el 28/04/26</t>
        </r>
        <r>
          <rPr>
            <sz val="9"/>
            <color indexed="81"/>
            <rFont val="Tahoma"/>
            <family val="2"/>
          </rPr>
          <t xml:space="preserve">
</t>
        </r>
      </text>
    </comment>
    <comment ref="DG14" authorId="0" shapeId="0" xr:uid="{1F947B68-808C-479A-93BE-938F73F9F27A}">
      <text>
        <r>
          <rPr>
            <b/>
            <sz val="9"/>
            <color indexed="81"/>
            <rFont val="Tahoma"/>
            <family val="2"/>
          </rPr>
          <t>Transferencia Caixa realizada el 28/05/26</t>
        </r>
        <r>
          <rPr>
            <sz val="9"/>
            <color indexed="81"/>
            <rFont val="Tahoma"/>
            <family val="2"/>
          </rPr>
          <t xml:space="preserve">
</t>
        </r>
      </text>
    </comment>
    <comment ref="Z15" authorId="3" shapeId="0" xr:uid="{50593813-F675-4163-8131-104E249D612C}">
      <text>
        <r>
          <rPr>
            <b/>
            <sz val="8"/>
            <color indexed="81"/>
            <rFont val="Tahoma"/>
            <family val="2"/>
          </rPr>
          <t xml:space="preserve">S. Social mes anterior:
</t>
        </r>
        <r>
          <rPr>
            <sz val="8"/>
            <color indexed="81"/>
            <rFont val="Tahoma"/>
            <family val="2"/>
          </rPr>
          <t xml:space="preserve">
</t>
        </r>
        <r>
          <rPr>
            <b/>
            <sz val="8"/>
            <color indexed="81"/>
            <rFont val="Tahoma"/>
            <family val="2"/>
          </rPr>
          <t xml:space="preserve">Alfonso
</t>
        </r>
        <r>
          <rPr>
            <sz val="8"/>
            <color indexed="81"/>
            <rFont val="Tahoma"/>
            <family val="2"/>
          </rPr>
          <t xml:space="preserve">128,61 </t>
        </r>
      </text>
    </comment>
    <comment ref="AA15" authorId="3" shapeId="0" xr:uid="{A8D9E685-3872-4A6C-825D-175A1C17D93C}">
      <text>
        <r>
          <rPr>
            <b/>
            <sz val="8"/>
            <color indexed="81"/>
            <rFont val="Tahoma"/>
            <family val="2"/>
          </rPr>
          <t xml:space="preserve">S. Social mes anterior:
</t>
        </r>
        <r>
          <rPr>
            <b/>
            <sz val="8"/>
            <color indexed="81"/>
            <rFont val="Tahoma"/>
            <family val="2"/>
          </rPr>
          <t xml:space="preserve">Alfonso
</t>
        </r>
        <r>
          <rPr>
            <sz val="8"/>
            <color indexed="81"/>
            <rFont val="Tahoma"/>
            <family val="2"/>
          </rPr>
          <t xml:space="preserve">748,03 </t>
        </r>
      </text>
    </comment>
    <comment ref="AC15" authorId="3" shapeId="0" xr:uid="{AC15B00D-B852-41A2-B3E1-44D3D0830CFF}">
      <text>
        <r>
          <rPr>
            <b/>
            <sz val="8"/>
            <color indexed="81"/>
            <rFont val="Tahoma"/>
            <family val="2"/>
          </rPr>
          <t>S. Social mes anterior:
Juan Pedro</t>
        </r>
        <r>
          <rPr>
            <sz val="8"/>
            <color indexed="81"/>
            <rFont val="Tahoma"/>
            <family val="2"/>
          </rPr>
          <t xml:space="preserve">
487,50 Empresa
95,25 Trabajador
582,75 TOTAL
</t>
        </r>
        <r>
          <rPr>
            <b/>
            <sz val="8"/>
            <color indexed="81"/>
            <rFont val="Tahoma"/>
            <family val="2"/>
          </rPr>
          <t xml:space="preserve">Alfonso
</t>
        </r>
        <r>
          <rPr>
            <sz val="8"/>
            <color indexed="81"/>
            <rFont val="Tahoma"/>
            <family val="2"/>
          </rPr>
          <t>748,03</t>
        </r>
      </text>
    </comment>
    <comment ref="AD15" authorId="3" shapeId="0" xr:uid="{85AFB040-A5DD-4CD6-8DBF-7867DDE4BAF6}">
      <text>
        <r>
          <rPr>
            <b/>
            <sz val="8"/>
            <color indexed="81"/>
            <rFont val="Tahoma"/>
            <family val="2"/>
          </rPr>
          <t>S. Social mes anterior:
Juan Pedro</t>
        </r>
        <r>
          <rPr>
            <sz val="8"/>
            <color indexed="81"/>
            <rFont val="Tahoma"/>
            <family val="2"/>
          </rPr>
          <t xml:space="preserve">
487,50 Empresa
95,25 Trabajador
582,75 TOTAL
</t>
        </r>
        <r>
          <rPr>
            <b/>
            <sz val="8"/>
            <color indexed="81"/>
            <rFont val="Tahoma"/>
            <family val="2"/>
          </rPr>
          <t xml:space="preserve">Alfonso
</t>
        </r>
        <r>
          <rPr>
            <sz val="8"/>
            <color indexed="81"/>
            <rFont val="Tahoma"/>
            <family val="2"/>
          </rPr>
          <t>736,28</t>
        </r>
      </text>
    </comment>
    <comment ref="AE15" authorId="3" shapeId="0" xr:uid="{C4081DAE-6226-4132-A686-477005C6A38C}">
      <text>
        <r>
          <rPr>
            <b/>
            <sz val="8"/>
            <color indexed="81"/>
            <rFont val="Tahoma"/>
            <family val="2"/>
          </rPr>
          <t>S. Social mes anterior:
Juan Pedro</t>
        </r>
        <r>
          <rPr>
            <sz val="8"/>
            <color indexed="81"/>
            <rFont val="Tahoma"/>
            <family val="2"/>
          </rPr>
          <t xml:space="preserve">
487,50 Empresa
95,25 Trabajador
582,75 TOTAL
</t>
        </r>
        <r>
          <rPr>
            <b/>
            <sz val="8"/>
            <color indexed="81"/>
            <rFont val="Tahoma"/>
            <family val="2"/>
          </rPr>
          <t xml:space="preserve">Alfonso
</t>
        </r>
        <r>
          <rPr>
            <sz val="8"/>
            <color indexed="81"/>
            <rFont val="Tahoma"/>
            <family val="2"/>
          </rPr>
          <t>736,28</t>
        </r>
      </text>
    </comment>
    <comment ref="AF15" authorId="3" shapeId="0" xr:uid="{95FC9A4A-47C0-4A39-9FDC-AD1278655E37}">
      <text>
        <r>
          <rPr>
            <b/>
            <sz val="8"/>
            <color indexed="81"/>
            <rFont val="Tahoma"/>
            <family val="2"/>
          </rPr>
          <t>S. Social mes anterior:
Juan Pedro</t>
        </r>
        <r>
          <rPr>
            <sz val="8"/>
            <color indexed="81"/>
            <rFont val="Tahoma"/>
            <family val="2"/>
          </rPr>
          <t xml:space="preserve">
487,50 Empresa
95,25 Trabajador
582,75 TOTAL
</t>
        </r>
        <r>
          <rPr>
            <b/>
            <sz val="8"/>
            <color indexed="81"/>
            <rFont val="Tahoma"/>
            <family val="2"/>
          </rPr>
          <t xml:space="preserve">Alfonso
</t>
        </r>
        <r>
          <rPr>
            <sz val="8"/>
            <color indexed="81"/>
            <rFont val="Tahoma"/>
            <family val="2"/>
          </rPr>
          <t>736,28</t>
        </r>
      </text>
    </comment>
    <comment ref="AG15" authorId="3" shapeId="0" xr:uid="{CF806E67-4648-4499-BCA2-8A224794AE27}">
      <text>
        <r>
          <rPr>
            <b/>
            <sz val="8"/>
            <color indexed="81"/>
            <rFont val="Tahoma"/>
            <family val="2"/>
          </rPr>
          <t>S. Social mes anterior:
Juan Pedro</t>
        </r>
        <r>
          <rPr>
            <sz val="8"/>
            <color indexed="81"/>
            <rFont val="Tahoma"/>
            <family val="2"/>
          </rPr>
          <t xml:space="preserve">
487,50 Empresa
95,25 Trabajador
582,75 TOTAL
</t>
        </r>
        <r>
          <rPr>
            <b/>
            <sz val="8"/>
            <color indexed="81"/>
            <rFont val="Tahoma"/>
            <family val="2"/>
          </rPr>
          <t xml:space="preserve">Alfonso
</t>
        </r>
        <r>
          <rPr>
            <sz val="8"/>
            <color indexed="81"/>
            <rFont val="Tahoma"/>
            <family val="2"/>
          </rPr>
          <t>736,28</t>
        </r>
      </text>
    </comment>
    <comment ref="AH15" authorId="3" shapeId="0" xr:uid="{1C094C44-93EB-4B72-98F2-7B8510607259}">
      <text>
        <r>
          <rPr>
            <b/>
            <sz val="8"/>
            <color indexed="81"/>
            <rFont val="Tahoma"/>
            <family val="2"/>
          </rPr>
          <t>S. Social mes anterior:
Juan Pedro</t>
        </r>
        <r>
          <rPr>
            <sz val="8"/>
            <color indexed="81"/>
            <rFont val="Tahoma"/>
            <family val="2"/>
          </rPr>
          <t xml:space="preserve">
487,50 Empresa
95,25 Trabajador
582,75 TOTAL
</t>
        </r>
        <r>
          <rPr>
            <b/>
            <sz val="8"/>
            <color indexed="81"/>
            <rFont val="Tahoma"/>
            <family val="2"/>
          </rPr>
          <t xml:space="preserve">Alfonso
</t>
        </r>
        <r>
          <rPr>
            <sz val="8"/>
            <color indexed="81"/>
            <rFont val="Tahoma"/>
            <family val="2"/>
          </rPr>
          <t>748,03
1330,78 E: Cargado: 30/06/20</t>
        </r>
      </text>
    </comment>
    <comment ref="AI15" authorId="3" shapeId="0" xr:uid="{7473DF07-4E5D-4F80-A82E-527049AD067B}">
      <text>
        <r>
          <rPr>
            <b/>
            <sz val="8"/>
            <color indexed="81"/>
            <rFont val="Tahoma"/>
            <family val="2"/>
          </rPr>
          <t>S. Social mes anterior:
Juan Pedro</t>
        </r>
        <r>
          <rPr>
            <sz val="8"/>
            <color indexed="81"/>
            <rFont val="Tahoma"/>
            <family val="2"/>
          </rPr>
          <t xml:space="preserve">
487,50 Empresa
95,25 Trabajador
582,75 TOTAL
</t>
        </r>
        <r>
          <rPr>
            <b/>
            <sz val="8"/>
            <color indexed="81"/>
            <rFont val="Tahoma"/>
            <family val="2"/>
          </rPr>
          <t xml:space="preserve">Alfonso
</t>
        </r>
        <r>
          <rPr>
            <sz val="8"/>
            <color indexed="81"/>
            <rFont val="Tahoma"/>
            <family val="2"/>
          </rPr>
          <t>748,03
1330,78 E: Cargado: 31/07/20</t>
        </r>
      </text>
    </comment>
    <comment ref="AJ15" authorId="3" shapeId="0" xr:uid="{EC4ED451-FA62-4295-83DF-585D919BB93F}">
      <text>
        <r>
          <rPr>
            <b/>
            <sz val="8"/>
            <color indexed="81"/>
            <rFont val="Tahoma"/>
            <family val="2"/>
          </rPr>
          <t>S. Social mes anterior:
Juan Pedro</t>
        </r>
        <r>
          <rPr>
            <sz val="8"/>
            <color indexed="81"/>
            <rFont val="Tahoma"/>
            <family val="2"/>
          </rPr>
          <t xml:space="preserve">
487,50 Empresa
95,25 Trabajador
582,75 TOTAL
</t>
        </r>
        <r>
          <rPr>
            <b/>
            <sz val="8"/>
            <color indexed="81"/>
            <rFont val="Tahoma"/>
            <family val="2"/>
          </rPr>
          <t xml:space="preserve">Alfonso
</t>
        </r>
        <r>
          <rPr>
            <sz val="8"/>
            <color indexed="81"/>
            <rFont val="Tahoma"/>
            <family val="2"/>
          </rPr>
          <t>748,03
1330,78 E: Cargado: 31/08/20</t>
        </r>
      </text>
    </comment>
    <comment ref="AL15" authorId="3" shapeId="0" xr:uid="{D347DB43-BB90-4444-AF79-AB3E3C8C51E1}">
      <text>
        <r>
          <rPr>
            <b/>
            <sz val="9"/>
            <color indexed="81"/>
            <rFont val="Tahoma"/>
            <family val="2"/>
          </rPr>
          <t>S.Social mes anterior</t>
        </r>
        <r>
          <rPr>
            <sz val="9"/>
            <color indexed="81"/>
            <rFont val="Tahoma"/>
            <family val="2"/>
          </rPr>
          <t xml:space="preserve">
Juan Pedro
487,5+90,25=582,75
Alfonso
748,03
1330.78 cargado el 30/9/20
</t>
        </r>
      </text>
    </comment>
    <comment ref="AM15" authorId="3" shapeId="0" xr:uid="{716E640D-5922-407B-92C9-8D70E0ADA57B}">
      <text>
        <r>
          <rPr>
            <b/>
            <sz val="9"/>
            <color indexed="81"/>
            <rFont val="Tahoma"/>
            <family val="2"/>
          </rPr>
          <t>S.Social mes anterior</t>
        </r>
        <r>
          <rPr>
            <sz val="9"/>
            <color indexed="81"/>
            <rFont val="Tahoma"/>
            <family val="2"/>
          </rPr>
          <t xml:space="preserve">
Juan Pedro
487,5+90,25=582,75
Alfonso
748,03
1330.78 cargado el 30/10/20
</t>
        </r>
      </text>
    </comment>
    <comment ref="AN15" authorId="3" shapeId="0" xr:uid="{464DED2D-C089-41E6-A06C-2BB3332FC898}">
      <text>
        <r>
          <rPr>
            <b/>
            <sz val="9"/>
            <color indexed="81"/>
            <rFont val="Tahoma"/>
            <family val="2"/>
          </rPr>
          <t xml:space="preserve">S.Social mes anterior
</t>
        </r>
        <r>
          <rPr>
            <sz val="9"/>
            <color indexed="81"/>
            <rFont val="Tahoma"/>
            <family val="2"/>
          </rPr>
          <t>487,5+90,25=582,75 Juan Pedro 
740,53 S.S. ALF
350,24 S.S. ROSA 
1673,52€ cargado el 30/11/20</t>
        </r>
      </text>
    </comment>
    <comment ref="AO15" authorId="3" shapeId="0" xr:uid="{8A37EA09-025D-4617-B304-4DB499606F62}">
      <text>
        <r>
          <rPr>
            <b/>
            <sz val="9"/>
            <color indexed="81"/>
            <rFont val="Tahoma"/>
            <family val="2"/>
          </rPr>
          <t xml:space="preserve">S.Social mes anterior
</t>
        </r>
        <r>
          <rPr>
            <sz val="9"/>
            <color indexed="81"/>
            <rFont val="Tahoma"/>
            <family val="2"/>
          </rPr>
          <t>487,5+90,25=582,75 Juan Pedro 
740,53 S.S. ALF
350,24 S.S. ROSA 
1673,52€ cargado el 31/12/20</t>
        </r>
      </text>
    </comment>
    <comment ref="AR15" authorId="3" shapeId="0" xr:uid="{C643374E-F9AB-4463-9F74-40D7D7D64D55}">
      <text>
        <r>
          <rPr>
            <b/>
            <sz val="9"/>
            <color indexed="81"/>
            <rFont val="Tahoma"/>
            <family val="2"/>
          </rPr>
          <t xml:space="preserve">S.Social mes anterior (FEBRERO)
</t>
        </r>
        <r>
          <rPr>
            <sz val="9"/>
            <color indexed="81"/>
            <rFont val="Tahoma"/>
            <family val="2"/>
          </rPr>
          <t xml:space="preserve">Segun asiento contable de febrero:
611,93 S.S. ALF
350,24 S.S. ROSA 
277,79 S.S. MARIA
Total= 1239,97 E 
Transferencia realizada a caja rural molino el 31/03/21.
------------------------------------
DICIEMBRE
2051 Eur CONJUNTO  en Caja Rural Molino el 29/01/21
611,93 Eur es de Nixal (incluye Alfonso)  y se hace transferencia de Caixa Nixal a Caja Rural Molino por error de 1331,99 Eur el: 10/03/21
720,06 Eur: Transfer pndtes de transferir de Molino a Nixal a finales de marzo. 
abonado en caixa: 01/04/21
------------------------------------
ENERO
1887,85 Eur CONJUNTO en Caja Rural Molino el 26/02/21
741,57 Eur es de Nixal ( incluye Alfonso y María) y se hace transferencia de Caixa Nixal a Caja Rural el 10/03/21
</t>
        </r>
      </text>
    </comment>
    <comment ref="AS15" authorId="3" shapeId="0" xr:uid="{C3EC8A0E-658F-4FCA-90BD-FD02B75A51E4}">
      <text>
        <r>
          <rPr>
            <sz val="9"/>
            <color indexed="81"/>
            <rFont val="Tahoma"/>
            <family val="2"/>
          </rPr>
          <t>Devolucion SS DICIEMBRE
2051 Eur CONJUNTO en Caja Rural Molino el 29/01/21
611,93 Eur es de Nixal (incluye Alfonso)  y se hace transferencia de Caixa Nixal a Caja Rural Molino por error de 1331,99 Eur el: 10/03/21
720,06 Eur: Transfer pndtes de transferir de Molino a Nixal a finales de marzo. 
abonado en caixa: 01/04/21
----------------------------------------</t>
        </r>
        <r>
          <rPr>
            <b/>
            <sz val="9"/>
            <color indexed="81"/>
            <rFont val="Tahoma"/>
            <family val="2"/>
          </rPr>
          <t xml:space="preserve">
S.Social MARZO
</t>
        </r>
        <r>
          <rPr>
            <sz val="9"/>
            <color indexed="81"/>
            <rFont val="Tahoma"/>
            <family val="2"/>
          </rPr>
          <t xml:space="preserve">1877,44 Eur CONJUNTO según resumen nóminas.
Cargado en Caja rural el 30/04/21.
623,38 Eur de Molino
1.254,09 Eur de Nixal pndte de transferir a Molino.
</t>
        </r>
      </text>
    </comment>
    <comment ref="AT15" authorId="3" shapeId="0" xr:uid="{F17C367F-85C8-454D-81C0-3789CF833E5B}">
      <text>
        <r>
          <rPr>
            <b/>
            <sz val="9"/>
            <color indexed="81"/>
            <rFont val="Tahoma"/>
            <family val="2"/>
          </rPr>
          <t xml:space="preserve">S.Social ABRIL CONJUNTA. 
</t>
        </r>
        <r>
          <rPr>
            <sz val="9"/>
            <color indexed="81"/>
            <rFont val="Tahoma"/>
            <family val="2"/>
          </rPr>
          <t>1.674,10 Eur CONJUNTO según resumen nóminas.
Cargado en Caja rural el 31/05/21.
642,43 Eur de Molino.
1.031,70 Eur de Nixal pndte de transferir a Molino en agosto.</t>
        </r>
        <r>
          <rPr>
            <b/>
            <sz val="9"/>
            <color indexed="81"/>
            <rFont val="Tahoma"/>
            <family val="2"/>
          </rPr>
          <t xml:space="preserve">
</t>
        </r>
      </text>
    </comment>
    <comment ref="AU15" authorId="3" shapeId="0" xr:uid="{11B67E66-A950-409B-816C-0343FB91BCF7}">
      <text>
        <r>
          <rPr>
            <b/>
            <sz val="9"/>
            <color indexed="81"/>
            <rFont val="Tahoma"/>
            <family val="2"/>
          </rPr>
          <t xml:space="preserve">S.Social de MAYO CONJUNTA.
</t>
        </r>
        <r>
          <rPr>
            <sz val="9"/>
            <color indexed="81"/>
            <rFont val="Tahoma"/>
            <family val="2"/>
          </rPr>
          <t xml:space="preserve">1.267,36 Eur CONJUNTO según resumen nóminas.
Cargado en Caja rural el 30/06/21.
606,79 Eur de Molino
660,55 Eur de Nixal pndte de transferir a Molino en agosto. </t>
        </r>
        <r>
          <rPr>
            <b/>
            <sz val="9"/>
            <color indexed="81"/>
            <rFont val="Tahoma"/>
            <family val="2"/>
          </rPr>
          <t xml:space="preserve">
</t>
        </r>
      </text>
    </comment>
    <comment ref="AV15" authorId="1" shapeId="0" xr:uid="{FE7B02AE-4788-4629-A489-581DCD240B8B}">
      <text>
        <r>
          <rPr>
            <b/>
            <sz val="9"/>
            <color indexed="81"/>
            <rFont val="Tahoma"/>
            <family val="2"/>
          </rPr>
          <t xml:space="preserve">S.Social de JUNIO CONJUNTA.
</t>
        </r>
        <r>
          <rPr>
            <sz val="9"/>
            <color indexed="81"/>
            <rFont val="Tahoma"/>
            <family val="2"/>
          </rPr>
          <t>1.275,10 Eur CONJUNTO según resumen nóminas.
Cargado en Caja rural el 31/07/21.
663,17 Eur de Molino
611,93 Eur de Nixal pndte de transferir a Molino.</t>
        </r>
        <r>
          <rPr>
            <b/>
            <sz val="9"/>
            <color indexed="81"/>
            <rFont val="Tahoma"/>
            <family val="2"/>
          </rPr>
          <t xml:space="preserve">
</t>
        </r>
      </text>
    </comment>
    <comment ref="AW15" authorId="3" shapeId="0" xr:uid="{54D7256D-927C-4783-B450-879A5F5D5CDC}">
      <text>
        <r>
          <rPr>
            <b/>
            <sz val="9"/>
            <color indexed="81"/>
            <rFont val="Tahoma"/>
            <family val="2"/>
          </rPr>
          <t>S.Social de JULIO CONJUNTA.</t>
        </r>
        <r>
          <rPr>
            <sz val="9"/>
            <color indexed="81"/>
            <rFont val="Tahoma"/>
            <family val="2"/>
          </rPr>
          <t xml:space="preserve">
1.320,25 Eur CONJUNTO según resumen nóminas.
Pendiente de cargo en caja rural. 
708,32 Eur de Molino
611,93 Eur de Nixal pndte de transferir a Molino.</t>
        </r>
        <r>
          <rPr>
            <b/>
            <sz val="9"/>
            <color indexed="81"/>
            <rFont val="Tahoma"/>
            <family val="2"/>
          </rPr>
          <t xml:space="preserve">
--------------------------------------------------
Seguridad Social Nixal de Abril a Julio. </t>
        </r>
        <r>
          <rPr>
            <sz val="9"/>
            <color indexed="81"/>
            <rFont val="Tahoma"/>
            <family val="2"/>
          </rPr>
          <t xml:space="preserve">
S.Social marzo: 1.254,09€ (Alfonso, Rosa y María)</t>
        </r>
        <r>
          <rPr>
            <b/>
            <sz val="9"/>
            <color indexed="81"/>
            <rFont val="Tahoma"/>
            <family val="2"/>
          </rPr>
          <t xml:space="preserve">
</t>
        </r>
        <r>
          <rPr>
            <sz val="9"/>
            <color indexed="81"/>
            <rFont val="Tahoma"/>
            <family val="2"/>
          </rPr>
          <t>S.Social abril: 1.031,70€ (Alfonso, Rosa y María)
S.Social mayo: 660,55€ (Alfonso y maria)</t>
        </r>
        <r>
          <rPr>
            <b/>
            <sz val="9"/>
            <color indexed="81"/>
            <rFont val="Tahoma"/>
            <family val="2"/>
          </rPr>
          <t xml:space="preserve">
</t>
        </r>
        <r>
          <rPr>
            <sz val="9"/>
            <color indexed="81"/>
            <rFont val="Tahoma"/>
            <family val="2"/>
          </rPr>
          <t>S.Social Junio: 611,93€ (Alfonso)
S.social Julio</t>
        </r>
        <r>
          <rPr>
            <b/>
            <sz val="9"/>
            <color indexed="81"/>
            <rFont val="Tahoma"/>
            <family val="2"/>
          </rPr>
          <t xml:space="preserve">: </t>
        </r>
        <r>
          <rPr>
            <sz val="9"/>
            <color indexed="81"/>
            <rFont val="Tahoma"/>
            <family val="2"/>
          </rPr>
          <t>611,93 (Alfonso)
Transferencia de compensacion de gastos realizada el 31/08/21.</t>
        </r>
      </text>
    </comment>
    <comment ref="BB15" authorId="3" shapeId="0" xr:uid="{9DFD4BC2-C4EA-4EBD-AFD5-461D5075FEC2}">
      <text>
        <r>
          <rPr>
            <b/>
            <sz val="9"/>
            <color indexed="81"/>
            <rFont val="Tahoma"/>
            <family val="2"/>
          </rPr>
          <t xml:space="preserve">S.Social de AGOSTO CONJUNTA.
</t>
        </r>
        <r>
          <rPr>
            <sz val="9"/>
            <color indexed="81"/>
            <rFont val="Tahoma"/>
            <family val="2"/>
          </rPr>
          <t>880,42 Eur de Nixal pndte de transferir a Molino.</t>
        </r>
        <r>
          <rPr>
            <b/>
            <sz val="9"/>
            <color indexed="81"/>
            <rFont val="Tahoma"/>
            <family val="2"/>
          </rPr>
          <t xml:space="preserve">
S.Social de SEPTIMBRE CONJUNTA.
</t>
        </r>
        <r>
          <rPr>
            <sz val="9"/>
            <color indexed="81"/>
            <rFont val="Tahoma"/>
            <family val="2"/>
          </rPr>
          <t>962,17 Eur de Nixal pndte de transferir a Molino.</t>
        </r>
        <r>
          <rPr>
            <b/>
            <sz val="9"/>
            <color indexed="81"/>
            <rFont val="Tahoma"/>
            <family val="2"/>
          </rPr>
          <t xml:space="preserve">
S.Social de OCTUBRE CONJUNTA.
</t>
        </r>
        <r>
          <rPr>
            <sz val="9"/>
            <color indexed="81"/>
            <rFont val="Tahoma"/>
            <family val="2"/>
          </rPr>
          <t>951,05 Eur de Nixal pndte de transferir a Molino.
2793,64€: Debe Nixal a MDZ Transferencia Caixa de compensacion de gastos por el total 4.793,42€ realizada el 28/12/21</t>
        </r>
      </text>
    </comment>
    <comment ref="BD15" authorId="3" shapeId="0" xr:uid="{90D2AF1F-C6E8-426E-A03E-4BD2B336E622}">
      <text>
        <r>
          <rPr>
            <sz val="9"/>
            <color indexed="81"/>
            <rFont val="Tahoma"/>
            <family val="2"/>
          </rPr>
          <t>2280,95€: S.Social de Noviembre CONJUNTA.
951,31€ de Nixal pndte de transferir a Molino.
2348,50€: S.Social de diciembre CONJUNTA 
951,05€ de Nixal pndte de transferir a Molino.
------------------------------
1902,36€: Transferencia Caixa de compensacion de gastos por el total 4.185,49€ realizada el 15/02/22</t>
        </r>
      </text>
    </comment>
    <comment ref="BG15" authorId="3" shapeId="0" xr:uid="{321EDFAF-518A-44CE-9BDE-98E4AB0DB55A}">
      <text>
        <r>
          <rPr>
            <sz val="9"/>
            <color indexed="81"/>
            <rFont val="Tahoma"/>
            <family val="2"/>
          </rPr>
          <t xml:space="preserve">
2.223,20€: S.Social de Enero CONJUNTA.
979,54€ de Nixal pndte de transferir a Molino.
------------------------------------------------------------
2.080,53€: S.Social de febrero CONJUNTA 
956,72€ de Nixal pndte de transferir a Molino.
---------------------------------------------------------
1.992,87€ S.Social de MARZO conjunta.
956,72€ de Nixal pndte de transferir a Molino.
-----------------------------------------------------------
1.892,94€: S.Social de ABRIL conjunta.
956,72€ de Nixal pndte de transferir a Molino.
---------------------------------------
3849,70€: Transferencia Caixa de compensacion de gastos por el total 7370,14€ realizada el 24/05/22</t>
        </r>
      </text>
    </comment>
    <comment ref="BJ15" authorId="3" shapeId="0" xr:uid="{603BCD23-59EB-470E-86E0-2E2BA77C1889}">
      <text>
        <r>
          <rPr>
            <b/>
            <sz val="9"/>
            <color indexed="81"/>
            <rFont val="Tahoma"/>
            <family val="2"/>
          </rPr>
          <t xml:space="preserve">S.Social de MAYO conjunta.
</t>
        </r>
        <r>
          <rPr>
            <sz val="9"/>
            <color indexed="81"/>
            <rFont val="Tahoma"/>
            <family val="2"/>
          </rPr>
          <t xml:space="preserve">2.106,10€: S.Social de Mayo conjunta.
956,72€ de Nixal pndte de transferir a Molino.
--------------------------------------
</t>
        </r>
        <r>
          <rPr>
            <b/>
            <sz val="9"/>
            <color indexed="81"/>
            <rFont val="Tahoma"/>
            <family val="2"/>
          </rPr>
          <t>S.Social de JUNIO conjunta.</t>
        </r>
        <r>
          <rPr>
            <sz val="9"/>
            <color indexed="81"/>
            <rFont val="Tahoma"/>
            <family val="2"/>
          </rPr>
          <t xml:space="preserve">
1.885,89€: S.Social de Junio conjunta.
956,72 Eur de Nixal pndte de transferir a Molino.
----------------------------------------
</t>
        </r>
        <r>
          <rPr>
            <b/>
            <sz val="9"/>
            <color indexed="81"/>
            <rFont val="Tahoma"/>
            <family val="2"/>
          </rPr>
          <t>S.Social de JULIO conjunta.</t>
        </r>
        <r>
          <rPr>
            <sz val="9"/>
            <color indexed="81"/>
            <rFont val="Tahoma"/>
            <family val="2"/>
          </rPr>
          <t xml:space="preserve">
2.269,37€: S.Social de Junio conjunta.
956,72 Eur de Nixal pndte de transferir a Molino.
2.870,16€: Transferencia Caixa de compensacion de gastos por el total 71,62€ realizada el 31/08/22.
</t>
        </r>
      </text>
    </comment>
    <comment ref="BN15" authorId="0" shapeId="0" xr:uid="{CA291915-8623-4A53-8024-51A941D16725}">
      <text>
        <r>
          <rPr>
            <b/>
            <sz val="9"/>
            <color indexed="81"/>
            <rFont val="Tahoma"/>
            <family val="2"/>
          </rPr>
          <t>S.Social de AGOSTO conjunta.</t>
        </r>
        <r>
          <rPr>
            <sz val="9"/>
            <color indexed="81"/>
            <rFont val="Tahoma"/>
            <family val="2"/>
          </rPr>
          <t xml:space="preserve">
2.314,29€: S. Social agosto conjunta
956,72€ de Nixal pndte de transferir a Molino.
</t>
        </r>
        <r>
          <rPr>
            <b/>
            <sz val="9"/>
            <color indexed="81"/>
            <rFont val="Tahoma"/>
            <family val="2"/>
          </rPr>
          <t>------------------------------------------------
S.Social de SEPTIEMBRE conjunta.</t>
        </r>
        <r>
          <rPr>
            <sz val="9"/>
            <color indexed="81"/>
            <rFont val="Tahoma"/>
            <family val="2"/>
          </rPr>
          <t xml:space="preserve">
2.389,25€: S. Social sept conjunta
956,72€ de Nixal pndte de transferir a Molino.
----------------------------------------------------
1913,44€: Transferencia Caixa de compensacion de gastos por el total 7106,56€ realizada el 04/11/22.</t>
        </r>
      </text>
    </comment>
    <comment ref="BO15" authorId="3" shapeId="0" xr:uid="{10AAEA9C-7768-4533-955E-8ED7EEEEE68D}">
      <text>
        <r>
          <rPr>
            <b/>
            <sz val="9"/>
            <color indexed="81"/>
            <rFont val="Tahoma"/>
            <family val="2"/>
          </rPr>
          <t xml:space="preserve">S.Social de Octubre conjunta.
</t>
        </r>
        <r>
          <rPr>
            <sz val="9"/>
            <color indexed="81"/>
            <rFont val="Tahoma"/>
            <family val="2"/>
          </rPr>
          <t>2.393,65€: S. Social oct conjunta
956,72€ de Nixal pndte de transferir a Molino.</t>
        </r>
        <r>
          <rPr>
            <b/>
            <sz val="9"/>
            <color indexed="81"/>
            <rFont val="Tahoma"/>
            <family val="2"/>
          </rPr>
          <t xml:space="preserve">
-----------------------------------</t>
        </r>
        <r>
          <rPr>
            <sz val="9"/>
            <color indexed="81"/>
            <rFont val="Tahoma"/>
            <family val="2"/>
          </rPr>
          <t xml:space="preserve">
</t>
        </r>
        <r>
          <rPr>
            <b/>
            <sz val="9"/>
            <color indexed="81"/>
            <rFont val="Tahoma"/>
            <family val="2"/>
          </rPr>
          <t>S.Social de Noviembre conjunta.</t>
        </r>
        <r>
          <rPr>
            <sz val="9"/>
            <color indexed="81"/>
            <rFont val="Tahoma"/>
            <family val="2"/>
          </rPr>
          <t xml:space="preserve">
2.406,02€: S. Social nov conjunta
956,72€ de Nixal pndte de transferir a Molino.
-----------------------------------
1913,44€: Transferencia Caixa de compensacion de gastos por el total 24291,85€ realizada el 21/12/22.</t>
        </r>
      </text>
    </comment>
    <comment ref="BQ15" authorId="3" shapeId="0" xr:uid="{1DD7F9E4-3BE4-4DD3-9BFA-93B5202A664F}">
      <text>
        <r>
          <rPr>
            <b/>
            <sz val="9"/>
            <color indexed="81"/>
            <rFont val="Tahoma"/>
            <family val="2"/>
          </rPr>
          <t xml:space="preserve">S.Social de Diciembre conjunta.
</t>
        </r>
        <r>
          <rPr>
            <sz val="9"/>
            <color indexed="81"/>
            <rFont val="Tahoma"/>
            <family val="2"/>
          </rPr>
          <t xml:space="preserve">2.406,03€: S. Social dic conjunta
956,72€ de Nixal pndte de transferir a Molino.
-------------------------------------
</t>
        </r>
        <r>
          <rPr>
            <b/>
            <sz val="9"/>
            <color indexed="81"/>
            <rFont val="Tahoma"/>
            <family val="2"/>
          </rPr>
          <t>S.Social de Enero conjunta.</t>
        </r>
        <r>
          <rPr>
            <sz val="9"/>
            <color indexed="81"/>
            <rFont val="Tahoma"/>
            <family val="2"/>
          </rPr>
          <t xml:space="preserve">
2491,38€: S. Social ene conjunta
1018,43€ de Nixal pndte de transferir a Molino.
----------------------------------
1975,16€: Transferencia Caixa de compensacion de gastos por el total 6345,37€ realizada el 23/02/23.</t>
        </r>
      </text>
    </comment>
    <comment ref="BV15" authorId="0" shapeId="0" xr:uid="{E0F5B3D9-4EF5-43EE-97D6-6DB3CE6B0E39}">
      <text>
        <r>
          <rPr>
            <b/>
            <sz val="9"/>
            <color indexed="81"/>
            <rFont val="Tahoma"/>
            <family val="2"/>
          </rPr>
          <t>S.Social de Febrero conjunta.</t>
        </r>
        <r>
          <rPr>
            <sz val="9"/>
            <color indexed="81"/>
            <rFont val="Tahoma"/>
            <family val="2"/>
          </rPr>
          <t xml:space="preserve">
3.256,57€: S. Social febrero conjunta
1018,43€ de Nixal pndte de transferir a Molino.
--------------------------------
</t>
        </r>
        <r>
          <rPr>
            <b/>
            <sz val="9"/>
            <color indexed="81"/>
            <rFont val="Tahoma"/>
            <family val="2"/>
          </rPr>
          <t>S.Social de MARZO conjunta.</t>
        </r>
        <r>
          <rPr>
            <sz val="9"/>
            <color indexed="81"/>
            <rFont val="Tahoma"/>
            <family val="2"/>
          </rPr>
          <t xml:space="preserve">
3.282,23€: S. Social marzo conjunta.
1.018,43 Eur de Nixal pndte de transferir a Molino.
-----------------------------------
</t>
        </r>
        <r>
          <rPr>
            <b/>
            <sz val="9"/>
            <color indexed="81"/>
            <rFont val="Tahoma"/>
            <family val="2"/>
          </rPr>
          <t>S.Social de ABRIL conjunta.</t>
        </r>
        <r>
          <rPr>
            <sz val="9"/>
            <color indexed="81"/>
            <rFont val="Tahoma"/>
            <family val="2"/>
          </rPr>
          <t xml:space="preserve">
3.234,10€: S. Social abril conjunta.
1.225,27 Eur de Nixal pndte de transferir a Molino.
------------------------------------</t>
        </r>
        <r>
          <rPr>
            <b/>
            <sz val="9"/>
            <color indexed="81"/>
            <rFont val="Tahoma"/>
            <family val="2"/>
          </rPr>
          <t>S.Social de MAYO conjunta.</t>
        </r>
        <r>
          <rPr>
            <sz val="9"/>
            <color indexed="81"/>
            <rFont val="Tahoma"/>
            <family val="2"/>
          </rPr>
          <t xml:space="preserve">
3.244,37€: S. Social mayo conjunta.
1.213,49 Eur de Nixal pendiente de transferir a Molino.
---------------------------------
4.475,62€: Transferencia Caixa de compensacion de gastos por el total 23.322,22€ desglosado en:  
5.000€: Cargado en Caixa el 14/07/23.
3.000€: Cargado en Caixa el 19/07/23.
6.000€: Cargado en Caixa el 19/07/23
9.322,22€: Cargado en Caixa el 26/07/23</t>
        </r>
      </text>
    </comment>
    <comment ref="BW15" authorId="3" shapeId="0" xr:uid="{A5563839-C023-4DC9-84B3-52BE00622768}">
      <text>
        <r>
          <rPr>
            <b/>
            <sz val="9"/>
            <color indexed="81"/>
            <rFont val="Tahoma"/>
            <family val="2"/>
          </rPr>
          <t xml:space="preserve">S.Social de JUNIO conjunta.
</t>
        </r>
        <r>
          <rPr>
            <sz val="9"/>
            <color indexed="81"/>
            <rFont val="Tahoma"/>
            <family val="2"/>
          </rPr>
          <t>2.813,32€: S. Social junio conjunta.
1.213,49 Eur de Nixal pendiente de transferir a Molino.</t>
        </r>
        <r>
          <rPr>
            <b/>
            <sz val="9"/>
            <color indexed="81"/>
            <rFont val="Tahoma"/>
            <family val="2"/>
          </rPr>
          <t xml:space="preserve">
</t>
        </r>
        <r>
          <rPr>
            <sz val="9"/>
            <color indexed="81"/>
            <rFont val="Tahoma"/>
            <family val="2"/>
          </rPr>
          <t xml:space="preserve">
</t>
        </r>
        <r>
          <rPr>
            <b/>
            <sz val="9"/>
            <color indexed="81"/>
            <rFont val="Tahoma"/>
            <family val="2"/>
          </rPr>
          <t>S.Social de JULIO conjunta.</t>
        </r>
        <r>
          <rPr>
            <sz val="9"/>
            <color indexed="81"/>
            <rFont val="Tahoma"/>
            <family val="2"/>
          </rPr>
          <t xml:space="preserve">
2.813,31 Eur CONJUNTO según resumen nóminas.
1.213,49 Eur de Nixal pendiente de transferir a Molino.
2426,98€: Compensacion de gastos por el total 18.830,46€ desglosado en:
1.000€: prestamo nixal el 16/08/23.
8.930€: Prestamo nixal-molino el 25/08/23.
3.000€: Prestamo nixal-molino el 25/08/23.
5.900,46€: Prestamo nixal-molino el 29/08/23 por el total 6.000€.</t>
        </r>
      </text>
    </comment>
    <comment ref="BY15" authorId="3" shapeId="0" xr:uid="{C118FC18-9335-4309-BBB8-889B688AD42A}">
      <text>
        <r>
          <rPr>
            <b/>
            <sz val="9"/>
            <color indexed="81"/>
            <rFont val="Tahoma"/>
            <family val="2"/>
          </rPr>
          <t xml:space="preserve">Seguridad Social Agosto. 
</t>
        </r>
        <r>
          <rPr>
            <sz val="9"/>
            <color indexed="81"/>
            <rFont val="Tahoma"/>
            <family val="2"/>
          </rPr>
          <t xml:space="preserve">Falta resumen de nominas y no podemos comprobarlo. 
Cargado: 29/09/23 y 30/09/23.
Seguros sociales: Alfonso, Rosa, Maria y Mariano. </t>
        </r>
      </text>
    </comment>
    <comment ref="BZ15" authorId="3" shapeId="0" xr:uid="{0D5C7940-1905-4053-BBD6-954D980FB61A}">
      <text>
        <r>
          <rPr>
            <b/>
            <sz val="9"/>
            <color indexed="81"/>
            <rFont val="Tahoma"/>
            <family val="2"/>
          </rPr>
          <t xml:space="preserve">Seguridad Social Septiembre. 
</t>
        </r>
        <r>
          <rPr>
            <sz val="9"/>
            <color indexed="81"/>
            <rFont val="Tahoma"/>
            <family val="2"/>
          </rPr>
          <t>Ok importe en resumen de nominas: 2.146,55€
Cargado: 31/10/23.
Seguros sociales: Alfonso, Rosa, Maria y Mariano</t>
        </r>
      </text>
    </comment>
    <comment ref="CA15" authorId="3" shapeId="0" xr:uid="{4F081508-CDA1-48DD-AC94-FECBA3CC00FF}">
      <text>
        <r>
          <rPr>
            <sz val="9"/>
            <color indexed="81"/>
            <rFont val="Tahoma"/>
            <family val="2"/>
          </rPr>
          <t>26,97€: Cuota SS diferencia SMI enero y feb 2023
Transf. Caixa realizada el 15/11/23
15,13€: Cuota SS diferencia SMI enero y feb 2023
Transf. Caixa realizada el 15/11/23</t>
        </r>
        <r>
          <rPr>
            <b/>
            <sz val="9"/>
            <color indexed="81"/>
            <rFont val="Tahoma"/>
            <family val="2"/>
          </rPr>
          <t xml:space="preserve">
------------------------------
Seguridad Social Octubre. 
</t>
        </r>
        <r>
          <rPr>
            <sz val="9"/>
            <color indexed="81"/>
            <rFont val="Tahoma"/>
            <family val="2"/>
          </rPr>
          <t>Ok importe en resumen de nominas: 1.805,24€
Cargado: 30/11/23.
Seguros sociales: Alfonso, Rosa, Maria.</t>
        </r>
      </text>
    </comment>
    <comment ref="CB15" authorId="3" shapeId="0" xr:uid="{15F62AE7-88BD-4027-9BCC-16D632E07063}">
      <text>
        <r>
          <rPr>
            <b/>
            <sz val="9"/>
            <color indexed="81"/>
            <rFont val="Tahoma"/>
            <family val="2"/>
          </rPr>
          <t xml:space="preserve">Seguridad Social Noviembre. 
</t>
        </r>
        <r>
          <rPr>
            <sz val="9"/>
            <color indexed="81"/>
            <rFont val="Tahoma"/>
            <family val="2"/>
          </rPr>
          <t>Comprobar importe en resumen de nominas cuando lo recibamos: 1.828,50€ OK correcto
Cargado: 29/12/23.
Seguros sociales: Alfonso, Rosa, Maria.
Incluye 23,27€ de S. Social de Federico</t>
        </r>
      </text>
    </comment>
    <comment ref="CC15" authorId="3" shapeId="0" xr:uid="{BCC615B4-813C-4777-A56D-836709B68A51}">
      <text>
        <r>
          <rPr>
            <b/>
            <sz val="9"/>
            <color indexed="81"/>
            <rFont val="Tahoma"/>
            <family val="2"/>
          </rPr>
          <t xml:space="preserve">Seguridad Social Diciembre. 
</t>
        </r>
        <r>
          <rPr>
            <sz val="9"/>
            <color indexed="81"/>
            <rFont val="Tahoma"/>
            <family val="2"/>
          </rPr>
          <t>Importe en resumen de nominas: 2.154,37€ 
Cargado: 31/01/24
Seguros sociales: Alfonso, Rosa, Maria.
Incluye 349,13€ de S. Social de Federico</t>
        </r>
      </text>
    </comment>
    <comment ref="CD15" authorId="3" shapeId="0" xr:uid="{823C1E51-6530-45CF-A889-799632BEE9E4}">
      <text>
        <r>
          <rPr>
            <b/>
            <sz val="9"/>
            <color indexed="81"/>
            <rFont val="Tahoma"/>
            <family val="2"/>
          </rPr>
          <t xml:space="preserve">Seguridad Social Enero. 
</t>
        </r>
        <r>
          <rPr>
            <sz val="9"/>
            <color indexed="81"/>
            <rFont val="Tahoma"/>
            <family val="2"/>
          </rPr>
          <t>Importe en resumen de nominas: 2.209,94€ 
Pndte cargo: 29/02/24
Cargado Caixa: 29/02/24 
Seguros sociales: Alfonso, Rosa, Maria.
Incluye 377,24€ de S. Social de Federico</t>
        </r>
      </text>
    </comment>
    <comment ref="CE15" authorId="3" shapeId="0" xr:uid="{EC86B2B8-C209-4103-91D8-10BE7AD2D9D3}">
      <text>
        <r>
          <rPr>
            <b/>
            <sz val="9"/>
            <color indexed="81"/>
            <rFont val="Tahoma"/>
            <family val="2"/>
          </rPr>
          <t xml:space="preserve">Seguridad Social Febrero. 
</t>
        </r>
        <r>
          <rPr>
            <sz val="9"/>
            <color indexed="81"/>
            <rFont val="Tahoma"/>
            <family val="2"/>
          </rPr>
          <t>Importe en resumen de nominas: 3.469,41€ 
Pndte cargo: 31/03/24
Cargado Caixa: 27 y 28/03/24 
1.848,73€: Seguros sociales: Alfonso, Rosa, Maria 
1.243,44€: peones Refeorestación
Incluye 377,24€ de S. Social de Federico</t>
        </r>
      </text>
    </comment>
    <comment ref="CF15" authorId="3" shapeId="0" xr:uid="{60D2BC3B-4699-43B7-BAFC-C58EC813F26D}">
      <text>
        <r>
          <rPr>
            <b/>
            <sz val="9"/>
            <color indexed="81"/>
            <rFont val="Tahoma"/>
            <family val="2"/>
          </rPr>
          <t xml:space="preserve">Seguridad Social Marzo. 
</t>
        </r>
        <r>
          <rPr>
            <sz val="9"/>
            <color indexed="81"/>
            <rFont val="Tahoma"/>
            <family val="2"/>
          </rPr>
          <t>Importe en resumen de nominas: 3.603,43€ 
Pndte cargo: 30/04/24
Cargado Caixa:
1.849,39€: Seguros sociales: Alfonso, Rosa, Maria 
1.401,96€: peones Reforestación
Incluye 352,08€ de S. Social de Federico</t>
        </r>
      </text>
    </comment>
    <comment ref="CG15" authorId="3" shapeId="0" xr:uid="{E2841B06-2D80-4E91-869C-3129ED149652}">
      <text>
        <r>
          <rPr>
            <b/>
            <sz val="9"/>
            <color indexed="81"/>
            <rFont val="Tahoma"/>
            <family val="2"/>
          </rPr>
          <t xml:space="preserve">Seguridad Social Abril. 
</t>
        </r>
        <r>
          <rPr>
            <sz val="9"/>
            <color indexed="81"/>
            <rFont val="Tahoma"/>
            <family val="2"/>
          </rPr>
          <t xml:space="preserve">Importe en resumen de nominas: 3.726,62€ 
Pndte cargo: 30/05/24
3.727,21€: Cargado Caixa: 31/05/24
1.849,39€: Seguros sociales: Alfonso, Rosa, Maria 
1.877,23€: peones Reforestación
</t>
        </r>
      </text>
    </comment>
    <comment ref="CH15" authorId="3" shapeId="0" xr:uid="{76B5F70D-4480-40B9-A683-62F75553069F}">
      <text>
        <r>
          <rPr>
            <b/>
            <sz val="9"/>
            <color indexed="81"/>
            <rFont val="Tahoma"/>
            <family val="2"/>
          </rPr>
          <t xml:space="preserve">Seguridad Social Mayo. 
</t>
        </r>
        <r>
          <rPr>
            <sz val="9"/>
            <color indexed="81"/>
            <rFont val="Tahoma"/>
            <family val="2"/>
          </rPr>
          <t xml:space="preserve">Importe en resumen de nominas: 2.485,93€ 
Pndte cargo: 30/06/24
2.485,93€: Cargado Caixa: 
1.849,39€: Seguros sociales: Alfonso, Rosa, Maria 
636,54€: peones Reforestación
</t>
        </r>
      </text>
    </comment>
    <comment ref="CI15" authorId="3" shapeId="0" xr:uid="{A98CFDB9-D199-4627-90A3-2A877D60E0EA}">
      <text>
        <r>
          <rPr>
            <b/>
            <sz val="9"/>
            <color indexed="81"/>
            <rFont val="Tahoma"/>
            <family val="2"/>
          </rPr>
          <t xml:space="preserve">Seguridad Social Junio. 
</t>
        </r>
        <r>
          <rPr>
            <sz val="9"/>
            <color indexed="81"/>
            <rFont val="Tahoma"/>
            <family val="2"/>
          </rPr>
          <t>Importe en resumen de nominas: 1.849,39€ 
Pndte cargo: 31/07/24
1.849,39€: Seguros sociales: Alfonso, Rosa, Maria 
1.849,39€: Cargado Caixa: 31/07/24.</t>
        </r>
      </text>
    </comment>
    <comment ref="CJ15" authorId="3" shapeId="0" xr:uid="{1A7FB31D-DE31-4729-BE51-8611A626C28B}">
      <text>
        <r>
          <rPr>
            <b/>
            <sz val="9"/>
            <color indexed="81"/>
            <rFont val="Tahoma"/>
            <family val="2"/>
          </rPr>
          <t xml:space="preserve">Seguridad Social Julio. 
</t>
        </r>
        <r>
          <rPr>
            <sz val="9"/>
            <color indexed="81"/>
            <rFont val="Tahoma"/>
            <family val="2"/>
          </rPr>
          <t>Importe en resumen de nominas: 1.849,39€ 
Pndte cargo: 30/08/24
1.849,39€: Seguros sociales: Alfonso, Rosa, Maria 
1.849,39€: Cargado Caixa: 30/08/24.</t>
        </r>
      </text>
    </comment>
    <comment ref="CL15" authorId="3" shapeId="0" xr:uid="{7C91A5B5-E5B3-4A92-9D7F-E99791D85804}">
      <text>
        <r>
          <rPr>
            <b/>
            <sz val="9"/>
            <color indexed="81"/>
            <rFont val="Tahoma"/>
            <family val="2"/>
          </rPr>
          <t xml:space="preserve">Seguridad Social Agosto. 
</t>
        </r>
        <r>
          <rPr>
            <sz val="9"/>
            <color indexed="81"/>
            <rFont val="Tahoma"/>
            <family val="2"/>
          </rPr>
          <t>Importe en resumen de nominas: 1.849,39€ 
Pndte cargo: 30/09/24
1.849,39€: Seguros sociales: Alfonso, Rosa, Maria 
1.849,40€: Cargado Caixa: 30/09/24.</t>
        </r>
      </text>
    </comment>
    <comment ref="CM15" authorId="3" shapeId="0" xr:uid="{AD70C085-3F43-4BB8-B07B-CCF8810C0D2A}">
      <text>
        <r>
          <rPr>
            <b/>
            <sz val="9"/>
            <color indexed="81"/>
            <rFont val="Tahoma"/>
            <family val="2"/>
          </rPr>
          <t xml:space="preserve">Seguridad Social Septiembre. 
</t>
        </r>
        <r>
          <rPr>
            <sz val="9"/>
            <color indexed="81"/>
            <rFont val="Tahoma"/>
            <family val="2"/>
          </rPr>
          <t>Importe en resumen de nominas: 1.849,39€ 
Pndte cargo: 31/10/24
1.849,39€: Seguros sociales: Alfonso, Rosa, Maria 
1.849,40€: Cargado Caixa: 31/10/24</t>
        </r>
      </text>
    </comment>
    <comment ref="CN15" authorId="3" shapeId="0" xr:uid="{7FFCA72A-1C71-44CD-A0C7-A4EE905BB549}">
      <text>
        <r>
          <rPr>
            <b/>
            <sz val="9"/>
            <color indexed="81"/>
            <rFont val="Tahoma"/>
            <family val="2"/>
          </rPr>
          <t xml:space="preserve">Seguridad Social Octubre. 
</t>
        </r>
        <r>
          <rPr>
            <sz val="9"/>
            <color indexed="81"/>
            <rFont val="Tahoma"/>
            <family val="2"/>
          </rPr>
          <t>Importe en resumen de nominas: 1.849,39€ 
Pndte cargo: 30/11/24
1.849,39€: Seguros sociales: Alfonso, Rosa, Maria 
1.849,40€: Cargado Caixa: 29/11/24</t>
        </r>
      </text>
    </comment>
    <comment ref="CO15" authorId="3" shapeId="0" xr:uid="{B66C64FD-215F-46C5-97D3-BC05BE220223}">
      <text>
        <r>
          <rPr>
            <b/>
            <sz val="9"/>
            <color indexed="81"/>
            <rFont val="Tahoma"/>
            <family val="2"/>
          </rPr>
          <t xml:space="preserve">Seguridad Social Noviembre. 
</t>
        </r>
        <r>
          <rPr>
            <sz val="9"/>
            <color indexed="81"/>
            <rFont val="Tahoma"/>
            <family val="2"/>
          </rPr>
          <t>Importe en resumen de nominas: 2.766,79€ 
Pndte cargo: 31/12/24
1.849,39€: Seguros sociales: Alfonso, Rosa, Maria 
917,40€: peones Reforestación
2.766,79€: Cargado Caixa: 31/12/24</t>
        </r>
      </text>
    </comment>
    <comment ref="CP15" authorId="3" shapeId="0" xr:uid="{28600E23-9E46-45A8-B3CF-FEF8AF8CC649}">
      <text>
        <r>
          <rPr>
            <b/>
            <sz val="9"/>
            <color indexed="81"/>
            <rFont val="Tahoma"/>
            <family val="2"/>
          </rPr>
          <t xml:space="preserve">Seguridad Social Diciembre. 
</t>
        </r>
        <r>
          <rPr>
            <sz val="9"/>
            <color indexed="81"/>
            <rFont val="Tahoma"/>
            <family val="2"/>
          </rPr>
          <t>Importe en resumen de nominas: 2.876,78€ 
Pndte cargo: 31/01/25
1.849,39€: Seguros sociales: Alfonso, Rosa, Maria 
1.027,39€: peones Reforestación
2.876,78€: Cargado Caixa: 31/01/24
------------------------------------
8,33€: Cuota SS diferencia SMI feb 2024
Transf. Caixa realizada el 16/01/25</t>
        </r>
      </text>
    </comment>
    <comment ref="CQ15" authorId="3" shapeId="0" xr:uid="{89ACAF74-FA5A-4B71-A113-E5BCE1425F15}">
      <text>
        <r>
          <rPr>
            <b/>
            <sz val="9"/>
            <color indexed="81"/>
            <rFont val="Tahoma"/>
            <family val="2"/>
          </rPr>
          <t xml:space="preserve">Seguridad Social Enero. 
</t>
        </r>
        <r>
          <rPr>
            <sz val="9"/>
            <color indexed="81"/>
            <rFont val="Tahoma"/>
            <family val="2"/>
          </rPr>
          <t>Importe en resumen de nominas: 2.174,29€ 
Pndte cargo: 28/02/25
1.965,76€: Seguros sociales: Alfonso, Rosa, Maria 
208,53€: peones Reforestación
2.174,29€: Cargado Caixa: 28/02/25</t>
        </r>
      </text>
    </comment>
    <comment ref="CR15" authorId="3" shapeId="0" xr:uid="{2D8774F2-00E4-48E7-A361-FCF3A9F9C684}">
      <text>
        <r>
          <rPr>
            <b/>
            <sz val="9"/>
            <color indexed="81"/>
            <rFont val="Tahoma"/>
            <family val="2"/>
          </rPr>
          <t xml:space="preserve">Seguridad Social Febrero. 
</t>
        </r>
        <r>
          <rPr>
            <sz val="9"/>
            <color indexed="81"/>
            <rFont val="Tahoma"/>
            <family val="2"/>
          </rPr>
          <t>Importe en resumen de nominas: 1.965,76€ 
Pndte cargo: 31/03/25
1.965,76€: Seguros sociales: Alfonso, Rosa, Maria 
1.965,76€: Cargado Caixa: 31/03/25</t>
        </r>
      </text>
    </comment>
    <comment ref="CS15" authorId="3" shapeId="0" xr:uid="{19D335A0-78E5-452A-AD87-5CFA2CA9BBFA}">
      <text>
        <r>
          <rPr>
            <b/>
            <sz val="9"/>
            <color indexed="81"/>
            <rFont val="Tahoma"/>
            <family val="2"/>
          </rPr>
          <t xml:space="preserve">Seguridad Social Marzo. 
</t>
        </r>
        <r>
          <rPr>
            <sz val="9"/>
            <color indexed="81"/>
            <rFont val="Tahoma"/>
            <family val="2"/>
          </rPr>
          <t>Importe en resumen de nominas: 1.965,76€ 
Pndte cargo: 30/04/25
1.965,76€: Seguros sociales: Alfonso, Rosa, Maria 
1.965,76€: Cargado Caixa: 30/04/25</t>
        </r>
      </text>
    </comment>
    <comment ref="CT15" authorId="3" shapeId="0" xr:uid="{AE313311-D5A0-42F3-A0B3-6810826720B8}">
      <text>
        <r>
          <rPr>
            <b/>
            <sz val="9"/>
            <color indexed="81"/>
            <rFont val="Tahoma"/>
            <family val="2"/>
          </rPr>
          <t xml:space="preserve">Seguridad Social Abril. 
</t>
        </r>
        <r>
          <rPr>
            <sz val="9"/>
            <color indexed="81"/>
            <rFont val="Tahoma"/>
            <family val="2"/>
          </rPr>
          <t>Importe en resumen de nominas: 1.965,76€ 
Pndte cargo: 31/05/25
1.965,76€: Seguros sociales: Alfonso, Rosa, Maria 
1.965,76€: Cargado Caixa: 30/05/25</t>
        </r>
      </text>
    </comment>
    <comment ref="CU15" authorId="3" shapeId="0" xr:uid="{F1E10D4B-C54A-4E66-857A-DA90C0B352DE}">
      <text>
        <r>
          <rPr>
            <b/>
            <sz val="9"/>
            <color indexed="81"/>
            <rFont val="Tahoma"/>
            <family val="2"/>
          </rPr>
          <t xml:space="preserve">Seguridad Social Mayo. 
</t>
        </r>
        <r>
          <rPr>
            <sz val="9"/>
            <color indexed="81"/>
            <rFont val="Tahoma"/>
            <family val="2"/>
          </rPr>
          <t>Importe en resumen de nominas: 1.965,80€ 
Pndte cargo: 30/06/25
1.965,80€: Seguros sociales: Alfonso, Rosa, Maria 
1.965,82€: Cargado Caixa: 30/06/25</t>
        </r>
      </text>
    </comment>
    <comment ref="CV15" authorId="3" shapeId="0" xr:uid="{3AAAF469-CA39-44E8-9297-AA0A6F817A21}">
      <text>
        <r>
          <rPr>
            <b/>
            <sz val="9"/>
            <color indexed="81"/>
            <rFont val="Tahoma"/>
            <family val="2"/>
          </rPr>
          <t xml:space="preserve">Seguridad Social Junio. 
</t>
        </r>
        <r>
          <rPr>
            <sz val="9"/>
            <color indexed="81"/>
            <rFont val="Tahoma"/>
            <family val="2"/>
          </rPr>
          <t>Importe en resumen de nominas: 2.284,24€ 
Pndte cargo: 31/07/25
2.284,24€: Seguros sociales: Alfonso, Rosa, Maria y Elena 
2.284,24€: Cargado Caixa: 31/07/25</t>
        </r>
      </text>
    </comment>
    <comment ref="CW15" authorId="3" shapeId="0" xr:uid="{D8189131-5D59-4406-A82E-78DF3DB190D2}">
      <text>
        <r>
          <rPr>
            <b/>
            <sz val="9"/>
            <color indexed="81"/>
            <rFont val="Tahoma"/>
            <family val="2"/>
          </rPr>
          <t xml:space="preserve">Seguridad Social Julio. 
</t>
        </r>
        <r>
          <rPr>
            <sz val="9"/>
            <color indexed="81"/>
            <rFont val="Tahoma"/>
            <family val="2"/>
          </rPr>
          <t>Importe en resumen de nominas: 1.965,80€ 
Pndte cargo: 31/08/25
1.965,80€: Seguros sociales: Alfonso, Rosa, Maria 
1.965,82€: Cargado Caixa: 29/08/25</t>
        </r>
      </text>
    </comment>
    <comment ref="CY15" authorId="3" shapeId="0" xr:uid="{BB70B58A-89E3-4D95-8FDA-C758B81A5F28}">
      <text>
        <r>
          <rPr>
            <b/>
            <sz val="9"/>
            <color indexed="81"/>
            <rFont val="Tahoma"/>
            <family val="2"/>
          </rPr>
          <t xml:space="preserve">Seguridad Social Agosto. 
</t>
        </r>
        <r>
          <rPr>
            <sz val="9"/>
            <color indexed="81"/>
            <rFont val="Tahoma"/>
            <family val="2"/>
          </rPr>
          <t>Importe en resumen de nominas: 1.965,80€ 
Pndte cargo: 30/09/25
1.965,80€: Seguros sociales: Alfonso, Rosa, Maria 
1.965,82€: Cargado Caixa: 30/09/25</t>
        </r>
      </text>
    </comment>
    <comment ref="CZ15" authorId="3" shapeId="0" xr:uid="{26B37ACA-575E-42F4-B4C6-12B2779B4CE1}">
      <text>
        <r>
          <rPr>
            <b/>
            <sz val="9"/>
            <color indexed="81"/>
            <rFont val="Tahoma"/>
            <family val="2"/>
          </rPr>
          <t xml:space="preserve">Seguridad Social Septiembre. 
</t>
        </r>
        <r>
          <rPr>
            <sz val="9"/>
            <color indexed="81"/>
            <rFont val="Tahoma"/>
            <family val="2"/>
          </rPr>
          <t>Importe en resumen de nominas: 1.965,80€ 
Pndte cargo: 31/10/25
1.965,80€: Seguros sociales: Alfonso, Rosa, Maria 
1.965,82€: Cargado Caixa: 31/10/25</t>
        </r>
      </text>
    </comment>
    <comment ref="DA15" authorId="3" shapeId="0" xr:uid="{4754EC75-61EE-4C8E-8FBA-3293F1B62061}">
      <text>
        <r>
          <rPr>
            <b/>
            <sz val="9"/>
            <color indexed="81"/>
            <rFont val="Tahoma"/>
            <family val="2"/>
          </rPr>
          <t xml:space="preserve">Seguridad Social Octubre. 
</t>
        </r>
        <r>
          <rPr>
            <sz val="9"/>
            <color indexed="81"/>
            <rFont val="Tahoma"/>
            <family val="2"/>
          </rPr>
          <t>Importe en resumen de nominas: 1.965,80€ 
Pndte cargo: 30/11/25
1.965,80€: Seguros sociales: Alfonso, Rosa, Maria 
1.965,82€: Cargado Caixa: 28/11/25</t>
        </r>
      </text>
    </comment>
    <comment ref="DB15" authorId="3" shapeId="0" xr:uid="{32358C0F-DC3F-4473-9E0B-FF5C2954B253}">
      <text>
        <r>
          <rPr>
            <b/>
            <sz val="9"/>
            <color indexed="81"/>
            <rFont val="Tahoma"/>
            <family val="2"/>
          </rPr>
          <t xml:space="preserve">Seguridad Social Noviembre. 
</t>
        </r>
        <r>
          <rPr>
            <sz val="9"/>
            <color indexed="81"/>
            <rFont val="Tahoma"/>
            <family val="2"/>
          </rPr>
          <t>Importe en resumen de nominas: 1.965,80€ 
Pndte cargo: 31/12/25
1.965,80€: Seguros sociales: Alfonso, Rosa, Maria 
1.965,82€: Cargado Caixa: 31/12/25</t>
        </r>
      </text>
    </comment>
    <comment ref="DC15" authorId="3" shapeId="0" xr:uid="{1A69F12E-BFC1-4066-A366-B02762937687}">
      <text>
        <r>
          <rPr>
            <b/>
            <sz val="9"/>
            <color indexed="81"/>
            <rFont val="Tahoma"/>
            <family val="2"/>
          </rPr>
          <t xml:space="preserve">Seguridad Social Diciembre. 
</t>
        </r>
        <r>
          <rPr>
            <sz val="9"/>
            <color indexed="81"/>
            <rFont val="Tahoma"/>
            <family val="2"/>
          </rPr>
          <t>Importe en resumen de nominas: 1.965,80€ 
Pndte cargo: 31/01/25
1.965,80€: Seguros sociales: Alfonso, Rosa, Maria 
1.965,80€: Cargado Caixa: 30/01/26
-----------------------------------
13,40€: Cuota SS de Foskito, por la diferencia de cotización del SMI de enero 2025
Transf. Caixa realizada el 15/01/26
-13,40€ Pndte devolución por parte de Foskito, OK ALF 15/01/26
Abonado Caixa 3116: 15/01/26</t>
        </r>
      </text>
    </comment>
    <comment ref="DD15" authorId="3" shapeId="0" xr:uid="{0F916A92-C836-418E-AC9A-4E603F8B2214}">
      <text>
        <r>
          <rPr>
            <b/>
            <sz val="9"/>
            <color indexed="81"/>
            <rFont val="Tahoma"/>
            <family val="2"/>
          </rPr>
          <t xml:space="preserve">Seguridad Social Enero. 
</t>
        </r>
        <r>
          <rPr>
            <sz val="9"/>
            <color indexed="81"/>
            <rFont val="Tahoma"/>
            <family val="2"/>
          </rPr>
          <t>Importe en resumen de nominas: 1.993,21€ 
Pndte cargo: 27/02/26
1.993,21€: Seguros sociales: Alfonso, Rosa, Maria 
1.993,21€: Cargado Caixa: 27/02/26</t>
        </r>
        <r>
          <rPr>
            <b/>
            <sz val="9"/>
            <color indexed="81"/>
            <rFont val="Tahoma"/>
            <family val="2"/>
          </rPr>
          <t xml:space="preserve">
-----------------------------------
2.587,08€: Cuota SS diferencia Alberto 2024
</t>
        </r>
        <r>
          <rPr>
            <sz val="9"/>
            <color indexed="81"/>
            <rFont val="Tahoma"/>
            <family val="2"/>
          </rPr>
          <t>Transf. Caixa realizada el 24/02/26</t>
        </r>
      </text>
    </comment>
    <comment ref="DE15" authorId="3" shapeId="0" xr:uid="{A16E3590-7A9F-496A-AE37-820DE1BCCEDF}">
      <text>
        <r>
          <rPr>
            <b/>
            <sz val="9"/>
            <color indexed="81"/>
            <rFont val="Tahoma"/>
            <family val="2"/>
          </rPr>
          <t xml:space="preserve">Seguridad Social Febrero. 
</t>
        </r>
        <r>
          <rPr>
            <sz val="9"/>
            <color indexed="81"/>
            <rFont val="Tahoma"/>
            <family val="2"/>
          </rPr>
          <t>Importe en resumen de nominas: 1.993,21€ 
Pndte cargo: 31/03/26
1.993,21€: Seguros sociales: Alfonso, Rosa, Maria 
1.993,21€: Cargado Caixa: 31/03/26</t>
        </r>
        <r>
          <rPr>
            <b/>
            <sz val="9"/>
            <color indexed="81"/>
            <rFont val="Tahoma"/>
            <family val="2"/>
          </rPr>
          <t xml:space="preserve">
-----------------------------------
</t>
        </r>
      </text>
    </comment>
    <comment ref="DF15" authorId="3" shapeId="0" xr:uid="{3BB371EF-4942-4FD5-A776-6FCD0BD75B66}">
      <text>
        <r>
          <rPr>
            <b/>
            <sz val="9"/>
            <color indexed="81"/>
            <rFont val="Tahoma"/>
            <family val="2"/>
          </rPr>
          <t xml:space="preserve">Seguridad Social Marzo. 
</t>
        </r>
        <r>
          <rPr>
            <sz val="9"/>
            <color indexed="81"/>
            <rFont val="Tahoma"/>
            <family val="2"/>
          </rPr>
          <t>Importe en resumen de nominas: 1.993,21€ 
Pndte cargo: 30/04/26
1.993,21€: Seguros sociales: Alfonso, Rosa, Maria 
1.993,21€: Cargado Caixa: 30/04/26</t>
        </r>
        <r>
          <rPr>
            <b/>
            <sz val="9"/>
            <color indexed="81"/>
            <rFont val="Tahoma"/>
            <family val="2"/>
          </rPr>
          <t xml:space="preserve">
-----------------------------------
</t>
        </r>
      </text>
    </comment>
    <comment ref="DG15" authorId="3" shapeId="0" xr:uid="{B23FBBB5-0461-4911-9E61-0331FD272AF0}">
      <text>
        <r>
          <rPr>
            <b/>
            <sz val="9"/>
            <color indexed="81"/>
            <rFont val="Tahoma"/>
            <family val="2"/>
          </rPr>
          <t xml:space="preserve">Seguridad Social Abril. 
</t>
        </r>
        <r>
          <rPr>
            <sz val="9"/>
            <color indexed="81"/>
            <rFont val="Tahoma"/>
            <family val="2"/>
          </rPr>
          <t xml:space="preserve">Importe en resumen de nominas: 3.026,70€ 
Pndte cargo: 31/05/26
3.026,70€: Seguros sociales: Alfonso, Rosa, Maria 
3.026,70€: Cargado Caixa: 29/05/26 </t>
        </r>
        <r>
          <rPr>
            <b/>
            <sz val="9"/>
            <color indexed="81"/>
            <rFont val="Tahoma"/>
            <family val="2"/>
          </rPr>
          <t xml:space="preserve">
-----------------------------------
</t>
        </r>
      </text>
    </comment>
    <comment ref="DH15" authorId="3" shapeId="0" xr:uid="{F075B6E3-8082-48DB-82D4-5553EF21AE95}">
      <text>
        <r>
          <rPr>
            <b/>
            <sz val="9"/>
            <color indexed="81"/>
            <rFont val="Tahoma"/>
            <family val="2"/>
          </rPr>
          <t xml:space="preserve">Seguridad Social Mayo. 
</t>
        </r>
        <r>
          <rPr>
            <sz val="9"/>
            <color indexed="81"/>
            <rFont val="Tahoma"/>
            <family val="2"/>
          </rPr>
          <t xml:space="preserve">Importe en resumen de nominas: 2.251,58€ 
Pndte cargo: 30/06/26
2.251,58€: Seguros sociales: Alfonso, Rosa, Maria 
2.251,58€: Cargado Caixa: </t>
        </r>
        <r>
          <rPr>
            <b/>
            <sz val="9"/>
            <color indexed="81"/>
            <rFont val="Tahoma"/>
            <family val="2"/>
          </rPr>
          <t xml:space="preserve">
-----------------------------------
</t>
        </r>
      </text>
    </comment>
    <comment ref="DI15" authorId="3" shapeId="0" xr:uid="{DEA7FA99-4CA4-41F9-98DF-21D6B121826D}">
      <text>
        <r>
          <rPr>
            <b/>
            <sz val="9"/>
            <color indexed="81"/>
            <rFont val="Tahoma"/>
            <family val="2"/>
          </rPr>
          <t xml:space="preserve">S.Social mes anterior. 
1805 Eur Aprox de Alfonso, Rosa y María.
</t>
        </r>
      </text>
    </comment>
    <comment ref="DJ15" authorId="3" shapeId="0" xr:uid="{9C85FB78-663E-4275-8278-3DA887A1B93D}">
      <text>
        <r>
          <rPr>
            <b/>
            <sz val="9"/>
            <color indexed="81"/>
            <rFont val="Tahoma"/>
            <family val="2"/>
          </rPr>
          <t xml:space="preserve">S.Social mes anterior. 
1805 Eur Aprox de Alfonso, Rosa y María.
</t>
        </r>
      </text>
    </comment>
    <comment ref="DL15" authorId="3" shapeId="0" xr:uid="{5882D0B3-27D7-4BB9-BC43-B35465897773}">
      <text>
        <r>
          <rPr>
            <b/>
            <sz val="9"/>
            <color indexed="81"/>
            <rFont val="Tahoma"/>
            <family val="2"/>
          </rPr>
          <t xml:space="preserve">S.Social mes anterior. 
1805 Eur Aprox de Alfonso, Rosa y María.
</t>
        </r>
      </text>
    </comment>
    <comment ref="DM15" authorId="3" shapeId="0" xr:uid="{AB395735-18B0-44AA-99C7-D89B0DC622F0}">
      <text>
        <r>
          <rPr>
            <b/>
            <sz val="9"/>
            <color indexed="81"/>
            <rFont val="Tahoma"/>
            <family val="2"/>
          </rPr>
          <t xml:space="preserve">S.Social mes anterior. 
1805 Eur Aprox de Alfonso, Rosa y María.
</t>
        </r>
      </text>
    </comment>
    <comment ref="DN15" authorId="3" shapeId="0" xr:uid="{73D4A225-FF5D-4C35-9657-CB017E677516}">
      <text>
        <r>
          <rPr>
            <b/>
            <sz val="9"/>
            <color indexed="81"/>
            <rFont val="Tahoma"/>
            <family val="2"/>
          </rPr>
          <t xml:space="preserve">S.Social mes anterior. 
1805 Eur Aprox de Alfonso, Rosa y María.
</t>
        </r>
      </text>
    </comment>
    <comment ref="DO15" authorId="3" shapeId="0" xr:uid="{BF6FC116-24E0-4E2E-8DCB-5FA5A5CB148E}">
      <text>
        <r>
          <rPr>
            <b/>
            <sz val="9"/>
            <color indexed="81"/>
            <rFont val="Tahoma"/>
            <family val="2"/>
          </rPr>
          <t xml:space="preserve">S.Social mes anterior. 
1805 Eur Aprox de Alfonso, Rosa y María.
</t>
        </r>
      </text>
    </comment>
    <comment ref="DP15" authorId="3" shapeId="0" xr:uid="{E3FCC2E3-E35E-4C67-9B77-379036C9008A}">
      <text>
        <r>
          <rPr>
            <b/>
            <sz val="9"/>
            <color indexed="81"/>
            <rFont val="Tahoma"/>
            <family val="2"/>
          </rPr>
          <t xml:space="preserve">S.Social mes anterior. 
1805 Eur Aprox de Alfonso, Rosa y María.
</t>
        </r>
      </text>
    </comment>
    <comment ref="DQ15" authorId="3" shapeId="0" xr:uid="{2AE2D644-C3F4-4869-992B-1C1F3CF2F3B1}">
      <text>
        <r>
          <rPr>
            <b/>
            <sz val="9"/>
            <color indexed="81"/>
            <rFont val="Tahoma"/>
            <family val="2"/>
          </rPr>
          <t xml:space="preserve">S.Social mes anterior. 
1805 Eur Aprox de Alfonso, Rosa y María.
</t>
        </r>
      </text>
    </comment>
    <comment ref="DR15" authorId="3" shapeId="0" xr:uid="{23938F48-94EA-40DA-B6D7-715BB42CF8C0}">
      <text>
        <r>
          <rPr>
            <b/>
            <sz val="9"/>
            <color indexed="81"/>
            <rFont val="Tahoma"/>
            <family val="2"/>
          </rPr>
          <t xml:space="preserve">S.Social mes anterior. 
1805 Eur Aprox de Alfonso, Rosa y María.
</t>
        </r>
      </text>
    </comment>
    <comment ref="DS15" authorId="3" shapeId="0" xr:uid="{AEA3AFE9-52D8-4F31-BB56-94A754353CF0}">
      <text>
        <r>
          <rPr>
            <b/>
            <sz val="9"/>
            <color indexed="81"/>
            <rFont val="Tahoma"/>
            <family val="2"/>
          </rPr>
          <t xml:space="preserve">S.Social mes anterior. 
1805 Eur Aprox de Alfonso, Rosa y María.
</t>
        </r>
      </text>
    </comment>
    <comment ref="DT15" authorId="3" shapeId="0" xr:uid="{95C62456-7FB3-409F-B60C-9CA561875BFB}">
      <text>
        <r>
          <rPr>
            <b/>
            <sz val="9"/>
            <color indexed="81"/>
            <rFont val="Tahoma"/>
            <family val="2"/>
          </rPr>
          <t xml:space="preserve">S.Social mes anterior. 
1805 Eur Aprox de Alfonso, Rosa y María.
</t>
        </r>
      </text>
    </comment>
    <comment ref="DU15" authorId="3" shapeId="0" xr:uid="{98C72A99-688A-4EBA-BB05-5D86FD4E6D00}">
      <text>
        <r>
          <rPr>
            <b/>
            <sz val="9"/>
            <color indexed="81"/>
            <rFont val="Tahoma"/>
            <family val="2"/>
          </rPr>
          <t xml:space="preserve">S.Social mes anterior. 
1805 Eur Aprox de Alfonso, Rosa y María.
</t>
        </r>
      </text>
    </comment>
    <comment ref="DV15" authorId="3" shapeId="0" xr:uid="{2586C5E5-C61F-4510-94A7-60B6A889FED3}">
      <text>
        <r>
          <rPr>
            <b/>
            <sz val="9"/>
            <color indexed="81"/>
            <rFont val="Tahoma"/>
            <family val="2"/>
          </rPr>
          <t xml:space="preserve">S.Social mes anterior. 
1805 Eur Aprox de Alfonso, Rosa y María.
</t>
        </r>
      </text>
    </comment>
    <comment ref="DW15" authorId="3" shapeId="0" xr:uid="{08C52091-230A-4065-8663-E085EA72037A}">
      <text>
        <r>
          <rPr>
            <b/>
            <sz val="9"/>
            <color indexed="81"/>
            <rFont val="Tahoma"/>
            <family val="2"/>
          </rPr>
          <t xml:space="preserve">S.Social mes anterior. 
1805 Eur Aprox de Alfonso, Rosa y María.
</t>
        </r>
      </text>
    </comment>
    <comment ref="B16" authorId="3" shapeId="0" xr:uid="{C5F93BED-7695-421A-97F5-6D8CEFCD935F}">
      <text>
        <r>
          <rPr>
            <b/>
            <sz val="9"/>
            <color indexed="81"/>
            <rFont val="Tahoma"/>
            <family val="2"/>
          </rPr>
          <t xml:space="preserve">2021
</t>
        </r>
        <r>
          <rPr>
            <sz val="9"/>
            <color indexed="81"/>
            <rFont val="Tahoma"/>
            <family val="2"/>
          </rPr>
          <t>Sinver 313,67 + iva mensuales.
Imputamos medio año a molino y medio a nixal</t>
        </r>
      </text>
    </comment>
    <comment ref="W16" authorId="3" shapeId="0" xr:uid="{2AEEA651-9257-4BDE-957C-D2D85D9F889E}">
      <text>
        <r>
          <rPr>
            <b/>
            <sz val="8"/>
            <color indexed="81"/>
            <rFont val="Tahoma"/>
            <family val="2"/>
          </rPr>
          <t>alfonso:</t>
        </r>
        <r>
          <rPr>
            <sz val="8"/>
            <color indexed="81"/>
            <rFont val="Tahoma"/>
            <family val="2"/>
          </rPr>
          <t xml:space="preserve">
363 fra sinver de informe financiero. Fra de agosto y pagada en agosto.
224,66 Gra servicios julio Sinver, pasada en Julio y pagada en Agosto, por eso esta aquí.</t>
        </r>
      </text>
    </comment>
    <comment ref="X16" authorId="3" shapeId="0" xr:uid="{09AB3201-175D-4BAD-A916-E39C2F7766CF}">
      <text>
        <r>
          <rPr>
            <b/>
            <sz val="8"/>
            <color indexed="81"/>
            <rFont val="Tahoma"/>
            <family val="2"/>
          </rPr>
          <t>alfonso:</t>
        </r>
        <r>
          <rPr>
            <sz val="8"/>
            <color indexed="81"/>
            <rFont val="Tahoma"/>
            <family val="2"/>
          </rPr>
          <t xml:space="preserve">
Fra mensual Sinver servicios agosto. Pasada en agosto y pagada en sept, por eso esta aquí. Lleva 29,04 de factura de FNMT pagado a través de Sinver. 
Fra Sinver de 242 por presentación cuentas anueles, tb pasada a sinver en agosto y pagada en septiembre..
</t>
        </r>
      </text>
    </comment>
    <comment ref="Y16" authorId="3" shapeId="0" xr:uid="{4B1480C8-2FF4-4C35-86A9-741425968177}">
      <text>
        <r>
          <rPr>
            <b/>
            <sz val="8"/>
            <color indexed="81"/>
            <rFont val="Tahoma"/>
            <family val="2"/>
          </rPr>
          <t>224,66 Fra Sinver servicios septiembre. Pasada mes anterior y pagada en mes.
242 de creativa por presentación de cuentas anuales</t>
        </r>
      </text>
    </comment>
    <comment ref="Z16" authorId="3" shapeId="0" xr:uid="{CB7FDE38-3ED4-4327-99F7-B0DDEC874FBD}">
      <text>
        <r>
          <rPr>
            <b/>
            <sz val="8"/>
            <color indexed="81"/>
            <rFont val="Tahoma"/>
            <family val="2"/>
          </rPr>
          <t>alfonso:</t>
        </r>
        <r>
          <rPr>
            <sz val="8"/>
            <color indexed="81"/>
            <rFont val="Tahoma"/>
            <family val="2"/>
          </rPr>
          <t xml:space="preserve">
2504,7+ (600 + IVA) DE GESTION ADMISNITRATIVA A BUS 
199,67x1,21 fra de SINVER. La han incrementado en 14+IVA
</t>
        </r>
      </text>
    </comment>
    <comment ref="AA16" authorId="0" shapeId="0" xr:uid="{8C8E0E00-6CB7-4AD7-96B1-0203C130489B}">
      <text>
        <r>
          <rPr>
            <b/>
            <sz val="9"/>
            <color indexed="81"/>
            <rFont val="Tahoma"/>
            <family val="2"/>
          </rPr>
          <t>Rosa:</t>
        </r>
        <r>
          <rPr>
            <sz val="9"/>
            <color indexed="81"/>
            <rFont val="Tahoma"/>
            <family val="2"/>
          </rPr>
          <t xml:space="preserve">
199,67x1,21 fra de SINVER. La han incrementado en 14+IVA</t>
        </r>
      </text>
    </comment>
    <comment ref="AC16" authorId="3" shapeId="0" xr:uid="{823A9F6B-AEA0-40A0-A2F0-EDB719930B05}">
      <text>
        <r>
          <rPr>
            <b/>
            <sz val="8"/>
            <color indexed="81"/>
            <rFont val="Tahoma"/>
            <family val="2"/>
          </rPr>
          <t>alfonso:</t>
        </r>
        <r>
          <rPr>
            <sz val="8"/>
            <color indexed="81"/>
            <rFont val="Tahoma"/>
            <family val="2"/>
          </rPr>
          <t xml:space="preserve">
199,67x1,21 fra de SINVER. </t>
        </r>
      </text>
    </comment>
    <comment ref="AD16" authorId="3" shapeId="0" xr:uid="{3886527C-DF24-43C8-A785-9A44C89EA5BD}">
      <text>
        <r>
          <rPr>
            <b/>
            <sz val="8"/>
            <color indexed="81"/>
            <rFont val="Tahoma"/>
            <family val="2"/>
          </rPr>
          <t>alfonso:</t>
        </r>
        <r>
          <rPr>
            <sz val="8"/>
            <color indexed="81"/>
            <rFont val="Tahoma"/>
            <family val="2"/>
          </rPr>
          <t xml:space="preserve">
600 + IVA DE GESTION ADMISNITRATIVA A BUS 
199,67x1,21 fra de SINVER. 
+ 104,16 E Solicitud código LEI
480x1,21 fra de Creativa. </t>
        </r>
      </text>
    </comment>
    <comment ref="AE16" authorId="3" shapeId="0" xr:uid="{C41AA3BA-5F71-4BDA-861B-679CDE7370B9}">
      <text>
        <r>
          <rPr>
            <b/>
            <sz val="8"/>
            <color indexed="81"/>
            <rFont val="Tahoma"/>
            <family val="2"/>
          </rPr>
          <t>alfonso:</t>
        </r>
        <r>
          <rPr>
            <sz val="8"/>
            <color indexed="81"/>
            <rFont val="Tahoma"/>
            <family val="2"/>
          </rPr>
          <t xml:space="preserve">
199,67x1,21 fra de SINVER 
+ 100 *1,21E honorarios gestión escrituras compraventa</t>
        </r>
      </text>
    </comment>
    <comment ref="AF16" authorId="3" shapeId="0" xr:uid="{BCD6DC18-78E9-4B48-8379-F9C13F8FD7A1}">
      <text>
        <r>
          <rPr>
            <b/>
            <sz val="8"/>
            <color indexed="81"/>
            <rFont val="Tahoma"/>
            <family val="2"/>
          </rPr>
          <t>alfonso:</t>
        </r>
        <r>
          <rPr>
            <sz val="8"/>
            <color indexed="81"/>
            <rFont val="Tahoma"/>
            <family val="2"/>
          </rPr>
          <t xml:space="preserve">
199,67x1,21 fra de SINVER. 
1579/2 +iva DE GESTION ADMISNITRATIVA A BUS </t>
        </r>
      </text>
    </comment>
    <comment ref="AG16" authorId="3" shapeId="0" xr:uid="{CD1A1892-D63F-4A62-A329-550CC0E4E895}">
      <text>
        <r>
          <rPr>
            <b/>
            <sz val="8"/>
            <color indexed="81"/>
            <rFont val="Tahoma"/>
            <family val="2"/>
          </rPr>
          <t>alfonso:</t>
        </r>
        <r>
          <rPr>
            <sz val="8"/>
            <color indexed="81"/>
            <rFont val="Tahoma"/>
            <family val="2"/>
          </rPr>
          <t xml:space="preserve">
600 + IVA DE GESTION ADMISNITRATIVA A BUS 
(199,67+6,58) x1,21 fra de SINVER. </t>
        </r>
      </text>
    </comment>
    <comment ref="AH16" authorId="3" shapeId="0" xr:uid="{EDA32EBF-A324-49E7-9D73-830C0FB5F1E4}">
      <text>
        <r>
          <rPr>
            <b/>
            <sz val="8"/>
            <color indexed="81"/>
            <rFont val="Tahoma"/>
            <family val="2"/>
          </rPr>
          <t>alfonso:</t>
        </r>
        <r>
          <rPr>
            <sz val="8"/>
            <color indexed="81"/>
            <rFont val="Tahoma"/>
            <family val="2"/>
          </rPr>
          <t xml:space="preserve">
199,67x1,21 fra de SINVER. </t>
        </r>
      </text>
    </comment>
    <comment ref="AI16" authorId="3" shapeId="0" xr:uid="{4D785A9B-1F4E-412E-B78A-C5B4EF5D23ED}">
      <text>
        <r>
          <rPr>
            <b/>
            <sz val="8"/>
            <color indexed="81"/>
            <rFont val="Tahoma"/>
            <family val="2"/>
          </rPr>
          <t>alfonso:</t>
        </r>
        <r>
          <rPr>
            <sz val="8"/>
            <color indexed="81"/>
            <rFont val="Tahoma"/>
            <family val="2"/>
          </rPr>
          <t xml:space="preserve">
199,67x1,21 fra de SINVER. 
50x1,21 fra de Creativa. </t>
        </r>
      </text>
    </comment>
    <comment ref="AJ16" authorId="3" shapeId="0" xr:uid="{6175049E-7B4D-4057-9EC7-8C5B0E6B8CF1}">
      <text>
        <r>
          <rPr>
            <b/>
            <sz val="8"/>
            <color indexed="81"/>
            <rFont val="Tahoma"/>
            <family val="2"/>
          </rPr>
          <t>alfonso:</t>
        </r>
        <r>
          <rPr>
            <sz val="8"/>
            <color indexed="81"/>
            <rFont val="Tahoma"/>
            <family val="2"/>
          </rPr>
          <t xml:space="preserve">
600 + IVA DE GESTION ADMISNITRATIVA A BUS. NO </t>
        </r>
        <r>
          <rPr>
            <b/>
            <sz val="8"/>
            <color indexed="81"/>
            <rFont val="Tahoma"/>
            <family val="2"/>
          </rPr>
          <t>PASAR MAS FACTURAS A BUS EN ADELANTE HASTA NUEVO AVISO</t>
        </r>
        <r>
          <rPr>
            <sz val="8"/>
            <color indexed="81"/>
            <rFont val="Tahoma"/>
            <family val="2"/>
          </rPr>
          <t xml:space="preserve">
199,67x1,21 fra de SINVER.
9,56x1,21 solicitud información mercantil 
</t>
        </r>
      </text>
    </comment>
    <comment ref="AL16" authorId="3" shapeId="0" xr:uid="{E5DA9799-C0CF-4D95-B2C1-6B847B0827F1}">
      <text>
        <r>
          <rPr>
            <b/>
            <sz val="8"/>
            <color indexed="81"/>
            <rFont val="Tahoma"/>
            <family val="2"/>
          </rPr>
          <t>alfonso:</t>
        </r>
        <r>
          <rPr>
            <sz val="8"/>
            <color indexed="81"/>
            <rFont val="Tahoma"/>
            <family val="2"/>
          </rPr>
          <t xml:space="preserve">
199,67x1,21 fra de SINVER. 
</t>
        </r>
      </text>
    </comment>
    <comment ref="AM16" authorId="3" shapeId="0" xr:uid="{528B67C5-BB4E-4D14-99DA-EE88BFC46925}">
      <text>
        <r>
          <rPr>
            <b/>
            <sz val="8"/>
            <color indexed="81"/>
            <rFont val="Tahoma"/>
            <family val="2"/>
          </rPr>
          <t>alfonso:</t>
        </r>
        <r>
          <rPr>
            <sz val="8"/>
            <color indexed="81"/>
            <rFont val="Tahoma"/>
            <family val="2"/>
          </rPr>
          <t xml:space="preserve">
199,67x1,21 fra de SINVER. 
+48,97 E: Presentación CC.AA en Registro Mercantil</t>
        </r>
      </text>
    </comment>
    <comment ref="AN16" authorId="3" shapeId="0" xr:uid="{49F93A46-4200-4EB9-BA58-4094544E0544}">
      <text>
        <r>
          <rPr>
            <b/>
            <sz val="8"/>
            <color indexed="81"/>
            <rFont val="Tahoma"/>
            <family val="2"/>
          </rPr>
          <t>alfonso:</t>
        </r>
        <r>
          <rPr>
            <sz val="8"/>
            <color indexed="81"/>
            <rFont val="Tahoma"/>
            <family val="2"/>
          </rPr>
          <t xml:space="preserve">
199,67+14 (gestión fiscal y contable) ) x1,21 fra de SINVER. 
</t>
        </r>
      </text>
    </comment>
    <comment ref="AO16" authorId="3" shapeId="0" xr:uid="{EEBD2719-5445-42DB-8610-D7AE5CBF1184}">
      <text>
        <r>
          <rPr>
            <b/>
            <sz val="8"/>
            <color indexed="81"/>
            <rFont val="Tahoma"/>
            <family val="2"/>
          </rPr>
          <t>alfonso:</t>
        </r>
        <r>
          <rPr>
            <sz val="8"/>
            <color indexed="81"/>
            <rFont val="Tahoma"/>
            <family val="2"/>
          </rPr>
          <t xml:space="preserve">
199,67+14 (gestión fiscal y contable) ) x1,21 fra de SINVER. 
</t>
        </r>
      </text>
    </comment>
    <comment ref="AQ16" authorId="3" shapeId="0" xr:uid="{8A0E4A67-373D-4AD7-BBB1-13DBCECA38B7}">
      <text>
        <r>
          <rPr>
            <b/>
            <sz val="9"/>
            <color indexed="81"/>
            <rFont val="Tahoma"/>
            <family val="2"/>
          </rPr>
          <t>alfonso:</t>
        </r>
        <r>
          <rPr>
            <sz val="9"/>
            <color indexed="81"/>
            <rFont val="Tahoma"/>
            <family val="2"/>
          </rPr>
          <t xml:space="preserve">
300 por carga extra fusión (sobre todo contable)
-------------------------------
Fra: 938/20 (31/12/20) (recibida el 04/02/21):
379,54 E: 313,67 ((gestión fiscal y contable)  x1,21 fra de SINVER. 
Fra: 77/21 (31/01/21) (recibida el 04/02/21):
379,54 E: 313,67 (gestión fiscal y contable)  x1,21 fra de SINVER. 
+300  * 1,21 por carga extra fusión (sobre todo contable)
+ 29,04 E: Gestión certificado digital FNMT
Fra: 9200747109 (28/12/20)
1151,12 E: Cargado Caixa: 02/02/21
</t>
        </r>
      </text>
    </comment>
    <comment ref="AR16" authorId="0" shapeId="0" xr:uid="{06092F79-C379-4C28-9E0D-09DABADF8F5F}">
      <text>
        <r>
          <rPr>
            <sz val="9"/>
            <color indexed="81"/>
            <rFont val="Tahoma"/>
            <family val="2"/>
          </rPr>
          <t xml:space="preserve">Fra Codigo Lei del 12/02/21
104,16 E: Código LEI
15/02/21: Ok ALF lo incluirán en fra.
---------------------------------------------
Fra: 163/21 (28/02/21) 
379,54 E: 313,67 (gestión fiscal y contable) x1,21 fra de SINVER. 
Incluye 104,16 (codigo lei).
483,70€ Cargado el 01/03/21 en caixa.  </t>
        </r>
      </text>
    </comment>
    <comment ref="AS16" authorId="0" shapeId="0" xr:uid="{85AB2C41-A9F3-4287-9698-1BF41003BCDB}">
      <text>
        <r>
          <rPr>
            <sz val="9"/>
            <color indexed="81"/>
            <rFont val="Tahoma"/>
            <family val="2"/>
          </rPr>
          <t xml:space="preserve">Fra: 232/21 (31/03/21) 
379,54 E: 313,67(gestión fiscal y contable) x1,21 fra de SINVER. 
Cargado: 01/04/21
</t>
        </r>
      </text>
    </comment>
    <comment ref="AT16" authorId="1" shapeId="0" xr:uid="{EC551447-5DD5-4A84-B582-7DCB101D9FFF}">
      <text>
        <r>
          <rPr>
            <sz val="9"/>
            <color indexed="81"/>
            <rFont val="Tahoma"/>
            <family val="2"/>
          </rPr>
          <t>Fra: 327/21 (30/04/21) 
379,54 E: 313,67 (gestión fiscal y contable)  x1,21 fra de SINVER. 
Cargado: 01/05/21</t>
        </r>
      </text>
    </comment>
    <comment ref="AU16" authorId="1" shapeId="0" xr:uid="{3A8C4004-E6B2-45C1-97EA-1F4A2E469982}">
      <text>
        <r>
          <rPr>
            <sz val="9"/>
            <color indexed="81"/>
            <rFont val="Tahoma"/>
            <family val="2"/>
          </rPr>
          <t>Fra: 410/21 (31/05/21) 
379,54 E: 313,67 (gestión fiscal y contable)  x1,21 fra de SINVER. 
Cargado: 01/06/21.</t>
        </r>
      </text>
    </comment>
    <comment ref="AV16" authorId="1" shapeId="0" xr:uid="{95BA5507-A910-4324-9232-BE3682F92F74}">
      <text>
        <r>
          <rPr>
            <sz val="9"/>
            <color indexed="81"/>
            <rFont val="Tahoma"/>
            <family val="2"/>
          </rPr>
          <t>Fra: 410/21 (30/06/21) 
430,54
Cargado: 01/07/21.</t>
        </r>
      </text>
    </comment>
    <comment ref="AW16" authorId="1" shapeId="0" xr:uid="{7D819755-51CE-4210-A606-12C5A8DC083B}">
      <text>
        <r>
          <rPr>
            <sz val="9"/>
            <color indexed="81"/>
            <rFont val="Tahoma"/>
            <family val="2"/>
          </rPr>
          <t>Fra 580/21 del 31/07/21. 
386,78€ (incluye importe de la fra del RM del 30/06/21).
Cargado: 02/08/21.
-------------------------------------------
1.576,40€: Gasto de Sinver de Mayo a Agosto corresponde pagarlo a Molino. 
Transferencia de compensacion de gastos realizada el 31/08/21.
--------------------------
102,85+102,85+248,05+102,85= 556,60€: gasto de Creativa de Mayo a Agosto corresponde pagar a Nixal.
Transferencia de compensacion de gastos realizada el 31/08/21.</t>
        </r>
      </text>
    </comment>
    <comment ref="AY16" authorId="1" shapeId="0" xr:uid="{8BBE1E47-7AF8-4E52-968B-0A8F5892B95D}">
      <text>
        <r>
          <rPr>
            <sz val="9"/>
            <color indexed="81"/>
            <rFont val="Tahoma"/>
            <family val="2"/>
          </rPr>
          <t>Fra: 663/21 (31/08/21) 
379,54 E: 313,67 (gestión fiscal y contable) x1,21 fra de SINVER. 
Cargado: 01/09/21.</t>
        </r>
      </text>
    </comment>
    <comment ref="AZ16" authorId="1" shapeId="0" xr:uid="{91FBC8EF-5F12-49EE-BF02-111EC8B3F7AB}">
      <text>
        <r>
          <rPr>
            <sz val="9"/>
            <color indexed="81"/>
            <rFont val="Tahoma"/>
            <family val="2"/>
          </rPr>
          <t>Fra: 736/21 (30/09/21) 
379,54 E: 313,67 (gestión laboral) x1,21 fra de SINVER. 
Cargado: 01/10/21.
Fra: 758/21 (30/09/21)
270,23€: 223,33 (de diferencia por subida de tarifa) x1,21 fra de SINVER. 
Cargado: 15/10/21.
Nota 23/02/22: El importe correcto es de 437€+ IVA= 528,77€ pndte devolución de 121€ de la fra de sept</t>
        </r>
      </text>
    </comment>
    <comment ref="BA16" authorId="1" shapeId="0" xr:uid="{42AC7B67-50E4-41FC-82DE-C8AB9FD1F662}">
      <text>
        <r>
          <rPr>
            <sz val="9"/>
            <color indexed="81"/>
            <rFont val="Tahoma"/>
            <family val="2"/>
          </rPr>
          <t>Fra: 834/21 (31/10/21) 
649,77 E: 537 (gestión fiscal y contable) x1,21 fra de SINVER. 
Cargado: 01/11/21.
Pndte de que Alfonso acuerde el importe de los honorarios con Sinver
Nota 23/02/22: El importe correcto es de 437€+ IVA= 528,77€ pndte devolución de 121€ de la fra de sept</t>
        </r>
      </text>
    </comment>
    <comment ref="BD16" authorId="1" shapeId="0" xr:uid="{EC8B33F5-2011-4EE7-98D2-1784217FFAD9}">
      <text>
        <r>
          <rPr>
            <sz val="9"/>
            <color indexed="81"/>
            <rFont val="Tahoma"/>
            <family val="2"/>
          </rPr>
          <t xml:space="preserve">Fra: 116/22 (03/01/22) 
1057,54€: 874€ (gestión fiscal, contable, tributaria y mercantil de noviembre y diciembre) x1,21 fra de SINVER. 
Cargado: 18/02/22
----------------------------------------------
Fra: 117/22 (31/01/22) 
528,77€: 437€ (gestión fiscal, contable, tributaria y mercantil de enero) x1,21 fra de SINVER. 
Cargado: 18/02/22
</t>
        </r>
      </text>
    </comment>
    <comment ref="BE16" authorId="0" shapeId="0" xr:uid="{0930B602-8727-4485-9196-3697D65C6F44}">
      <text>
        <r>
          <rPr>
            <sz val="9"/>
            <color indexed="81"/>
            <rFont val="Tahoma"/>
            <family val="2"/>
          </rPr>
          <t xml:space="preserve">Nota 23/02/22: El importe correcto es de 437€+ IVA= 528,77€ pndte devolución de 121€*2=242€ de las fras de sept y oct 
8,73€: Depósito CCAA
67,86€: Solicitud Código LEI
363,36€: Cargado Caixa: 02/03/22
</t>
        </r>
      </text>
    </comment>
    <comment ref="BF16" authorId="1" shapeId="0" xr:uid="{CD874DB8-65B4-4D34-A523-3CDD9A7A6AC1}">
      <text>
        <r>
          <rPr>
            <sz val="9"/>
            <color indexed="81"/>
            <rFont val="Tahoma"/>
            <family val="2"/>
          </rPr>
          <t>Fra: 260/22 (31/03/22) 
528,77€: 437 (gestión fiscal y contable) x1,21 fra de SINVER. 
Cargado: 01/04/22.</t>
        </r>
      </text>
    </comment>
    <comment ref="BG16" authorId="1" shapeId="0" xr:uid="{47BCD3C3-1AF8-46B7-A957-1D21B73C2093}">
      <text>
        <r>
          <rPr>
            <sz val="9"/>
            <color indexed="81"/>
            <rFont val="Tahoma"/>
            <family val="2"/>
          </rPr>
          <t>Fra: 369/22 (30/04/22) 
528,77€: 437 (gestión fiscal y contable) x1,21 fra de SINVER.
+57,91€: Depósito CC.AA 
Cargado: 02/05/22.</t>
        </r>
      </text>
    </comment>
    <comment ref="BH16" authorId="1" shapeId="0" xr:uid="{2FCEBE88-BBF7-40B2-B655-CCEBF58CC956}">
      <text>
        <r>
          <rPr>
            <sz val="9"/>
            <color indexed="81"/>
            <rFont val="Tahoma"/>
            <family val="2"/>
          </rPr>
          <t>Fra: 459/22 (31/05/22) 
528,77€: 437 (gestión fiscal y contable) x1,21 fra de SINVER.
Cargado: 01/06/22.</t>
        </r>
      </text>
    </comment>
    <comment ref="BI16" authorId="1" shapeId="0" xr:uid="{4CD26CDA-1AA5-4A16-B4B8-A7DAC298B59C}">
      <text>
        <r>
          <rPr>
            <sz val="9"/>
            <color indexed="81"/>
            <rFont val="Tahoma"/>
            <family val="2"/>
          </rPr>
          <t>Fra: 536/22 (30/06/22) 
925,59€: 437 (gestión fiscal y contable) x1,21 fra de SINVER.
+300€+21%IVA= Declaración Intrastat abril y mayo
+27,95€+21% IVA= Certificado RM
Cargado: 01/07/22.</t>
        </r>
      </text>
    </comment>
    <comment ref="BJ16" authorId="1" shapeId="0" xr:uid="{4044AAE0-14C1-4C3C-80D6-B4F70DF75077}">
      <text>
        <r>
          <rPr>
            <sz val="9"/>
            <color indexed="81"/>
            <rFont val="Tahoma"/>
            <family val="2"/>
          </rPr>
          <t>Fra: 634/22 (31/07/22) 
649,779€: 437 (gestión fiscal y contable) x1,21 fra de SINVER.
+100€+21%IVA= Declaración Intrastat junio
Cargado: 01/08/22.</t>
        </r>
      </text>
    </comment>
    <comment ref="BL16" authorId="1" shapeId="0" xr:uid="{E1A05887-76C9-4B3E-BE9D-057DF5CAD76B}">
      <text>
        <r>
          <rPr>
            <sz val="9"/>
            <color indexed="81"/>
            <rFont val="Tahoma"/>
            <family val="2"/>
          </rPr>
          <t>Fra: 720/22 (31/08/22) 
(gestión fiscal y contable) +21%IVA=528,77€
Cargado: 01/09/22.</t>
        </r>
      </text>
    </comment>
    <comment ref="BM16" authorId="1" shapeId="0" xr:uid="{23BCCC85-657D-4B2D-8C3E-C2E8E1523EA5}">
      <text>
        <r>
          <rPr>
            <sz val="9"/>
            <color indexed="81"/>
            <rFont val="Tahoma"/>
            <family val="2"/>
          </rPr>
          <t>Fra: 797/22 (30/09/22) 
(gestión fiscal y contable) +21%IVA=528,77€
Cargado: 03/10/22.</t>
        </r>
      </text>
    </comment>
    <comment ref="BN16" authorId="1" shapeId="0" xr:uid="{E8EDB92B-6064-44FB-BA68-84C0FD2C04E8}">
      <text>
        <r>
          <rPr>
            <sz val="9"/>
            <color indexed="81"/>
            <rFont val="Tahoma"/>
            <family val="2"/>
          </rPr>
          <t>Fra: 906/22 (31/10/22) 
(gestión fiscal y contable) +21%IVA=528,77€
Cargado: 01/11/22.</t>
        </r>
      </text>
    </comment>
    <comment ref="BO16" authorId="1" shapeId="0" xr:uid="{85582D02-7305-4082-80FF-01710C657F4F}">
      <text>
        <r>
          <rPr>
            <sz val="9"/>
            <color indexed="81"/>
            <rFont val="Tahoma"/>
            <family val="2"/>
          </rPr>
          <t>Fra: 997/22 (30/11/22) 
(gestión fiscal y contable) +21%IVA=528,77€
Cargado: 01/12/22.</t>
        </r>
      </text>
    </comment>
    <comment ref="BP16" authorId="0" shapeId="0" xr:uid="{FB22F5A3-716C-4594-AC7B-71A4EAEE3C95}">
      <text>
        <r>
          <rPr>
            <sz val="9"/>
            <color indexed="81"/>
            <rFont val="Tahoma"/>
            <family val="2"/>
          </rPr>
          <t xml:space="preserve">Fra: 1082/22 (31/12/22) 
(gestión fiscal y contable) +21%IVA=528,77€
+ 29,04 E: Gestión certificado digital FNMT
Fra: 9200747109 (28/12/20)
Cargado: 02/01/23.
</t>
        </r>
      </text>
    </comment>
    <comment ref="BQ16" authorId="0" shapeId="0" xr:uid="{8FB7DE8B-E0EF-497A-8BFE-76CD4E2C4D4A}">
      <text>
        <r>
          <rPr>
            <sz val="9"/>
            <color indexed="81"/>
            <rFont val="Tahoma"/>
            <family val="2"/>
          </rPr>
          <t xml:space="preserve">Fra: 86/23 (31/01/23) 
(gestión fiscal y contable) 
+30€: Solicitud Código LEI
+21%IVA=565,07€
+ 67,86 E: Renovación Código LEI
Fra: 2023/6754 (23/01/23)
632,93€: Cargado: 01/02/23.
</t>
        </r>
      </text>
    </comment>
    <comment ref="BR16" authorId="0" shapeId="0" xr:uid="{8E83FD05-2FB4-4B83-ABC8-FDC863B65E03}">
      <text>
        <r>
          <rPr>
            <sz val="9"/>
            <color indexed="81"/>
            <rFont val="Tahoma"/>
            <family val="2"/>
          </rPr>
          <t xml:space="preserve">Fra: 190/23 (28/02/23) 
(gestión fiscal y contable) 
+21%IVA=558,91€
558,91€: Cargado: 01/03/23.
</t>
        </r>
      </text>
    </comment>
    <comment ref="BS16" authorId="0" shapeId="0" xr:uid="{ADBFFC9C-89A7-45DD-B5A6-B19655B2D428}">
      <text>
        <r>
          <rPr>
            <sz val="9"/>
            <color indexed="81"/>
            <rFont val="Tahoma"/>
            <family val="2"/>
          </rPr>
          <t xml:space="preserve">Fra: 277/23 (31/03/23) 
(gestión fiscal y contable) 
+21%IVA=558,91€
558,91€: Cargado: 01/04/23
</t>
        </r>
      </text>
    </comment>
    <comment ref="BT16" authorId="0" shapeId="0" xr:uid="{4722718D-7B40-43DD-8A7A-5BD23F1036B2}">
      <text>
        <r>
          <rPr>
            <sz val="9"/>
            <color indexed="81"/>
            <rFont val="Tahoma"/>
            <family val="2"/>
          </rPr>
          <t xml:space="preserve">Fra: 383/23 (30/04/23) 
(gestión fiscal y contable) 
+21%IVA=558,91€
+ Gasto mensajeria: 14,99+IVA
+ CCAA: 60,09€
637,14€: Cargado: 02/05/23
</t>
        </r>
      </text>
    </comment>
    <comment ref="BU16" authorId="0" shapeId="0" xr:uid="{E150AE1B-FAED-477F-966E-5119C8195574}">
      <text>
        <r>
          <rPr>
            <sz val="9"/>
            <color indexed="81"/>
            <rFont val="Tahoma"/>
            <family val="2"/>
          </rPr>
          <t xml:space="preserve">Fra: 476/23 (31/05/23) 
(gestión fiscal y contable) 
+21%IVA=558,91€
+ Certificado RM: 27,95€+IVA
592,73€: Cargado: 01/06/23
</t>
        </r>
      </text>
    </comment>
    <comment ref="BV16" authorId="0" shapeId="0" xr:uid="{38E9BB44-A993-4570-9254-073D76D79571}">
      <text>
        <r>
          <rPr>
            <sz val="9"/>
            <color indexed="81"/>
            <rFont val="Tahoma"/>
            <family val="2"/>
          </rPr>
          <t xml:space="preserve">Fra: 562/23 (30/06/23) 
(gestión fiscal y contable) 
+21%IVA=558,91€
+ Presentación modelo 600 compraventa parcela en Valverde: 200€+IVA
800,91€: Cargado: 03/07/23
</t>
        </r>
      </text>
    </comment>
    <comment ref="BW16" authorId="0" shapeId="0" xr:uid="{E579AFDB-35B3-4706-9F8F-EE4BD0971D9F}">
      <text>
        <r>
          <rPr>
            <sz val="9"/>
            <color indexed="81"/>
            <rFont val="Tahoma"/>
            <family val="2"/>
          </rPr>
          <t xml:space="preserve">Fra: 670/23 (31/07/23) 
(gestión fiscal y contable) 
+21%IVA=558,91€
+ Suplidos Registro de la Propiedad de Valverde: 199,80€
758,71€: Cargado: 01/08/23
</t>
        </r>
      </text>
    </comment>
    <comment ref="BY16" authorId="0" shapeId="0" xr:uid="{4046E843-192E-4CAF-9B30-09702D2DF113}">
      <text>
        <r>
          <rPr>
            <sz val="9"/>
            <color indexed="81"/>
            <rFont val="Tahoma"/>
            <family val="2"/>
          </rPr>
          <t xml:space="preserve">Fra: 763/23 (31/08/23) 
(gestión fiscal y contable) 
+21%IVA=558,91€
+ Solicitud Certificado de Vigencia y Cargos: 27,95€+ IVA
592,73€: Cargado: 01/09/23
</t>
        </r>
      </text>
    </comment>
    <comment ref="BZ16" authorId="1" shapeId="0" xr:uid="{88C31779-4046-43A6-BE52-1ECF31555CED}">
      <text>
        <r>
          <rPr>
            <sz val="9"/>
            <color indexed="81"/>
            <rFont val="Tahoma"/>
            <family val="2"/>
          </rPr>
          <t>Fra Sinver del 30/09/23.
Gestion: 558,91€.
Cargado: 02/10/23</t>
        </r>
      </text>
    </comment>
    <comment ref="CA16" authorId="1" shapeId="0" xr:uid="{41764A87-004D-4D71-BDDA-1964E76D4B51}">
      <text>
        <r>
          <rPr>
            <sz val="9"/>
            <color indexed="81"/>
            <rFont val="Tahoma"/>
            <family val="2"/>
          </rPr>
          <t>Fra Sinver del 31/10/23.
Gestion: 558,91€.
Cargado: 01/11/23</t>
        </r>
      </text>
    </comment>
    <comment ref="CB16" authorId="1" shapeId="0" xr:uid="{28C2E2A5-A431-4773-A526-1DF42218CA87}">
      <text>
        <r>
          <rPr>
            <sz val="9"/>
            <color indexed="81"/>
            <rFont val="Tahoma"/>
            <family val="2"/>
          </rPr>
          <t>Fra Sinver del 30/11/23.
Gestion: 558,91€.
Cargado: 01/12/23</t>
        </r>
      </text>
    </comment>
    <comment ref="CC16" authorId="1" shapeId="0" xr:uid="{EEE4033A-A004-4A22-9FB8-1B48186898A1}">
      <text>
        <r>
          <rPr>
            <sz val="9"/>
            <color indexed="81"/>
            <rFont val="Tahoma"/>
            <family val="2"/>
          </rPr>
          <t>Fra Sinver del 31/12/23.
Gestion: 558,91€.
Cargado:</t>
        </r>
      </text>
    </comment>
    <comment ref="CD16" authorId="1" shapeId="0" xr:uid="{A8B1525E-6E55-4480-97A1-FCD9A1FFEF08}">
      <text>
        <r>
          <rPr>
            <sz val="9"/>
            <color indexed="81"/>
            <rFont val="Tahoma"/>
            <family val="2"/>
          </rPr>
          <t>Fra Sinver del 31/01/24.
Gestion: 558,91€.+36,30€ LEI= 595,21€
Cargado: 02/02/24</t>
        </r>
      </text>
    </comment>
    <comment ref="CE16" authorId="1" shapeId="0" xr:uid="{B836CB8D-D1BC-4E77-BFFF-D5E6DCBCA9A5}">
      <text>
        <r>
          <rPr>
            <sz val="9"/>
            <color indexed="81"/>
            <rFont val="Tahoma"/>
            <family val="2"/>
          </rPr>
          <t>Fra Sinver del 29/02/24.
Gestion: 576,25€+67,86€ LEI= 644,11€
Cargado: 01/03/24</t>
        </r>
      </text>
    </comment>
    <comment ref="CF16" authorId="1" shapeId="0" xr:uid="{649AC2A3-6C47-48EF-AC4F-859CD5C692E4}">
      <text>
        <r>
          <rPr>
            <sz val="9"/>
            <color indexed="81"/>
            <rFont val="Tahoma"/>
            <family val="2"/>
          </rPr>
          <t>Fra Sinver del 31/03/24.
Gestion: 576,25€
Cargado: 02/04/24</t>
        </r>
      </text>
    </comment>
    <comment ref="CG16" authorId="1" shapeId="0" xr:uid="{BFA3F169-E95A-4362-B5D5-68E2C83A58FB}">
      <text>
        <r>
          <rPr>
            <sz val="9"/>
            <color indexed="81"/>
            <rFont val="Tahoma"/>
            <family val="2"/>
          </rPr>
          <t>Fra Sinver del 30/04/24.
Gestion: 576,25€
Cargado: 02/05/24</t>
        </r>
      </text>
    </comment>
    <comment ref="CH16" authorId="1" shapeId="0" xr:uid="{08A7BFD5-3556-4B44-9616-0C1339BED3E4}">
      <text>
        <r>
          <rPr>
            <sz val="9"/>
            <color indexed="81"/>
            <rFont val="Tahoma"/>
            <family val="2"/>
          </rPr>
          <t>Fra Sinver del 31/05/24.
Gestion: 576,25€
Cargado: 01/06/24</t>
        </r>
      </text>
    </comment>
    <comment ref="CI16" authorId="1" shapeId="0" xr:uid="{9D307880-7AED-45A9-BF71-633F65745126}">
      <text>
        <r>
          <rPr>
            <sz val="9"/>
            <color indexed="81"/>
            <rFont val="Tahoma"/>
            <family val="2"/>
          </rPr>
          <t>Fra Sinver del 30/06/24.
Gestion: 576,25€
Cargado: 01/07/24
--------------------------------
Fra Sinver del 31/07/24.
Gestion: 576,25€
600€+IVA= 726€: Presentación CCAA Pierna Seca y Agro Energia
Cargado: 29/07/24</t>
        </r>
      </text>
    </comment>
    <comment ref="CL16" authorId="1" shapeId="0" xr:uid="{E9DF66BE-DEEC-470C-88DA-B3F50C9A4FDC}">
      <text>
        <r>
          <rPr>
            <sz val="9"/>
            <color indexed="81"/>
            <rFont val="Tahoma"/>
            <family val="2"/>
          </rPr>
          <t xml:space="preserve">Fra Sinver del 31/08/24.
Gestion: 576,25€
Cargado: 02/09/24
--------------------------------
</t>
        </r>
      </text>
    </comment>
    <comment ref="CM16" authorId="0" shapeId="0" xr:uid="{0C13699A-F20A-4B8E-8033-0BDA2297AC37}">
      <text>
        <r>
          <rPr>
            <sz val="9"/>
            <color indexed="81"/>
            <rFont val="Tahoma"/>
            <family val="2"/>
          </rPr>
          <t xml:space="preserve">Fra: 955/24 (30/09/24) 
(gestión fiscal y contable) 
+21%IVA=558,91€
+ Gestión RM, presentación CCAA 2023 y gastos del RM por presentación CCAA: 2,60*1,21 IVA+68,50€
647,90€: Cargado: 01/10/24
</t>
        </r>
      </text>
    </comment>
    <comment ref="CN16" authorId="1" shapeId="0" xr:uid="{ECB54923-47C0-46E2-BE1C-1851BF3EB6FB}">
      <text>
        <r>
          <rPr>
            <sz val="9"/>
            <color indexed="81"/>
            <rFont val="Tahoma"/>
            <family val="2"/>
          </rPr>
          <t xml:space="preserve">Fra Sinver del 31/10/24.
Gestion: 576,25€
Cargado: 04/11/24
--------------------------------
</t>
        </r>
      </text>
    </comment>
    <comment ref="CO16" authorId="0" shapeId="0" xr:uid="{A3012BD0-0411-4ECD-AF74-8974E0381D01}">
      <text>
        <r>
          <rPr>
            <sz val="9"/>
            <color indexed="81"/>
            <rFont val="Tahoma"/>
            <family val="2"/>
          </rPr>
          <t xml:space="preserve">Fra: 1169/24 (30/11/24) 
(gestión fiscal y contable) +21%IVA=576,25€
+ 29,04 E: Gestión certificado digital FNMT
Fra: 8241123604 (06/11/24)
605,29€: Cargado: 02/12/24.
</t>
        </r>
      </text>
    </comment>
    <comment ref="CP16" authorId="0" shapeId="0" xr:uid="{4CA9610F-D52F-4A5F-A56A-B3468296B594}">
      <text>
        <r>
          <rPr>
            <sz val="9"/>
            <color indexed="81"/>
            <rFont val="Tahoma"/>
            <family val="2"/>
          </rPr>
          <t xml:space="preserve">Fra Sinver del 31/12/24.
Gestion: 576,25€
Cargado: 02/01/25
--------------------------------
Fra: F004-25 (14/01/25):
Ppto: P001-25 (08/01/25)
Tasación 1.200€+21%IVA=1.452€
Info Alberto 08/01/25: Pagar ya el 50%
726€: Transferencia realizada el 09/01/25.
726€: Pndte realizar transferencia al finalizar, OK Alberto 16/01/25
726€: Transferencia realizada el 28/01/25.
</t>
        </r>
      </text>
    </comment>
    <comment ref="CQ16" authorId="0" shapeId="0" xr:uid="{7A3075B8-D00D-4B58-85B6-135A6B01007E}">
      <text>
        <r>
          <rPr>
            <sz val="9"/>
            <color indexed="81"/>
            <rFont val="Tahoma"/>
            <family val="2"/>
          </rPr>
          <t xml:space="preserve">Fra Sinver del 31/01/25
Gestion: 576,25€
Cargado: 03/02/25 
--------------------------------
</t>
        </r>
      </text>
    </comment>
    <comment ref="CR16" authorId="1" shapeId="0" xr:uid="{9B606AB6-7393-4085-979E-B1B3B6E73FE0}">
      <text>
        <r>
          <rPr>
            <sz val="9"/>
            <color indexed="81"/>
            <rFont val="Tahoma"/>
            <family val="2"/>
          </rPr>
          <t>Fra Sinver del 28/02/25.
Gestion: 592,37€+67,86€ LEI+
300€+21%IVA Declaración Intrastat enero= 1.023,23€
Cargado: 01/03/25</t>
        </r>
      </text>
    </comment>
    <comment ref="CS16" authorId="1" shapeId="0" xr:uid="{90F8B4FB-FF33-4597-B1D8-D7264F82FFFD}">
      <text>
        <r>
          <rPr>
            <sz val="9"/>
            <color indexed="81"/>
            <rFont val="Tahoma"/>
            <family val="2"/>
          </rPr>
          <t>Fra Sinver del 31/03/25.
Gestion: 592,37€
Cargado: 01/04/25</t>
        </r>
      </text>
    </comment>
    <comment ref="CT16" authorId="0" shapeId="0" xr:uid="{FCF205D4-F1F8-4F1F-A15E-9CFB8FAC1B21}">
      <text>
        <r>
          <rPr>
            <b/>
            <sz val="9"/>
            <color indexed="81"/>
            <rFont val="Tahoma"/>
            <family val="2"/>
          </rPr>
          <t xml:space="preserve">Fra: F067-25 (29/04/25):
</t>
        </r>
        <r>
          <rPr>
            <sz val="9"/>
            <color indexed="81"/>
            <rFont val="Tahoma"/>
            <family val="2"/>
          </rPr>
          <t xml:space="preserve">Gastos adicionales para la inscripción de fincas en el registro de la propiedad de la finca de Federico Santana
74,38+21%IVA=90€
Info Alberto 30/04/25: Pagar en próxima remesa
90€: Pndte realizar transferencia 
Transferencia Caixa realizada el 16/05/25
----------------------------------------
</t>
        </r>
        <r>
          <rPr>
            <b/>
            <sz val="9"/>
            <color indexed="81"/>
            <rFont val="Tahoma"/>
            <family val="2"/>
          </rPr>
          <t>Fra Sinver del 30/04/25.</t>
        </r>
        <r>
          <rPr>
            <sz val="9"/>
            <color indexed="81"/>
            <rFont val="Tahoma"/>
            <family val="2"/>
          </rPr>
          <t xml:space="preserve">
Gestion: 592,37€+ 450€+21%IVA Declaración Intrastat marzo= 1.136,87€
Cargado: 01/05/25</t>
        </r>
      </text>
    </comment>
    <comment ref="CU16" authorId="1" shapeId="0" xr:uid="{0F85C6D6-3AF4-45AA-AAFC-CB4D2B1D215D}">
      <text>
        <r>
          <rPr>
            <sz val="9"/>
            <color indexed="81"/>
            <rFont val="Tahoma"/>
            <family val="2"/>
          </rPr>
          <t>Fra Sinver del 31/05/25.
Gestion: 592,37€
Cargado: 02/06/25</t>
        </r>
      </text>
    </comment>
    <comment ref="CV16" authorId="1" shapeId="0" xr:uid="{53EAE004-92F0-4720-B4CD-E069FE865DCA}">
      <text>
        <r>
          <rPr>
            <sz val="9"/>
            <color indexed="81"/>
            <rFont val="Tahoma"/>
            <family val="2"/>
          </rPr>
          <t>Fra Sinver del 30/06/25.
Gestion: 592,37€
Cargado: 01/07/25</t>
        </r>
      </text>
    </comment>
    <comment ref="CW16" authorId="1" shapeId="0" xr:uid="{EEEB9B92-4E99-4AC1-8CF6-9FEF48EFDCF6}">
      <text>
        <r>
          <rPr>
            <sz val="9"/>
            <color indexed="81"/>
            <rFont val="Tahoma"/>
            <family val="2"/>
          </rPr>
          <t>Fra Sinver del 31/07/25.
Gestion: 592,37€
300€+150€+IVA= 544,50€: Presentación CCAA e IS y gestión administrativa
29,04€: Repercusión gasto en la obtención de la Firma Digital- FNMT
70€: Provisión de fondos
1.235,91€: Cargado: 01/08/25</t>
        </r>
      </text>
    </comment>
    <comment ref="CY16" authorId="1" shapeId="0" xr:uid="{7B9FBE8C-912C-46F8-84E4-ADF9D6D01CD7}">
      <text>
        <r>
          <rPr>
            <sz val="9"/>
            <color indexed="81"/>
            <rFont val="Tahoma"/>
            <family val="2"/>
          </rPr>
          <t>Fra Sinver del 28/08/25.
Gestion: 592,37€
Cargado: 01/09/25</t>
        </r>
      </text>
    </comment>
    <comment ref="CZ16" authorId="1" shapeId="0" xr:uid="{8CCCC360-AC52-4B44-A40A-9C478B49906F}">
      <text>
        <r>
          <rPr>
            <sz val="9"/>
            <color indexed="81"/>
            <rFont val="Tahoma"/>
            <family val="2"/>
          </rPr>
          <t>Fra Sinver del 27/09/25.
Gestion: 592,37€
Cargado: 01/10/25
----------------------------------
Fra Sinver del 30/10/25
+21%IVA=592,37€
+ Gestión RM, presentación CCAA 2023 y gastos del RM por presentación CCAA: 2,60+60,01€
655,52€: Cargado: 31/10/25</t>
        </r>
      </text>
    </comment>
    <comment ref="DB16" authorId="1" shapeId="0" xr:uid="{46F2A985-8182-4467-AD15-13AF989D87D7}">
      <text>
        <r>
          <rPr>
            <sz val="9"/>
            <color indexed="81"/>
            <rFont val="Tahoma"/>
            <family val="2"/>
          </rPr>
          <t>Fra Sinver del 27/11/25.
Gestion: 592,37€
Cargado: 01/12/25
----------------------------------
Fra Sinver del 
Gestion: 592,37€
Cargado: 31/12/25</t>
        </r>
      </text>
    </comment>
    <comment ref="DD16" authorId="1" shapeId="0" xr:uid="{FBC57742-62A4-455C-B54E-345DECBA7667}">
      <text>
        <r>
          <rPr>
            <sz val="9"/>
            <color indexed="81"/>
            <rFont val="Tahoma"/>
            <family val="2"/>
          </rPr>
          <t xml:space="preserve">Fra Sinver del 29/01/26.
Gestion: 652,87€ (Incluye Intrastat dic 50€+IVA)
Cargado: 02/02/26
----------------------------------
</t>
        </r>
      </text>
    </comment>
    <comment ref="DE16" authorId="1" shapeId="0" xr:uid="{54F1B591-70BB-461C-9CC4-BDA460A25052}">
      <text>
        <r>
          <rPr>
            <sz val="9"/>
            <color indexed="81"/>
            <rFont val="Tahoma"/>
            <family val="2"/>
          </rPr>
          <t>Fra Sinver del 27/02/26
Gestion: 710,15€
Cargado: 02/03/26
-----------------------------
Fra Sinver del 27/03/26
Gestion: 787,49€
Cargado: 31/03/26</t>
        </r>
      </text>
    </comment>
    <comment ref="DG16" authorId="1" shapeId="0" xr:uid="{A99E709C-148D-4444-B6B6-C07777504A83}">
      <text>
        <r>
          <rPr>
            <sz val="9"/>
            <color indexed="81"/>
            <rFont val="Tahoma"/>
            <family val="2"/>
          </rPr>
          <t xml:space="preserve">Fra Sinver del 29/04/26
Gestion: 726,99€ (Incluye Intrastat marz 100€+IVA)
Cargado: 04/05/26
-----------------------------
</t>
        </r>
      </text>
    </comment>
    <comment ref="B17" authorId="3" shapeId="0" xr:uid="{C639970E-D9C3-4813-9A9E-F6997EF949D7}">
      <text>
        <r>
          <rPr>
            <sz val="9"/>
            <color indexed="81"/>
            <rFont val="Tahoma"/>
            <family val="2"/>
          </rPr>
          <t xml:space="preserve">Contratado con Creativa Nov 2020
45€ por gestion laboral empresa + 8€/mes por empleado = </t>
        </r>
        <r>
          <rPr>
            <b/>
            <sz val="9"/>
            <color indexed="81"/>
            <rFont val="Tahoma"/>
            <family val="2"/>
          </rPr>
          <t xml:space="preserve">85 al mes + IVA 21%
</t>
        </r>
        <r>
          <rPr>
            <sz val="9"/>
            <color indexed="81"/>
            <rFont val="Tahoma"/>
            <family val="2"/>
          </rPr>
          <t xml:space="preserve">
*Facturación cada día 22
*Cobro mediante recibo domiciliado los días 27
</t>
        </r>
      </text>
    </comment>
    <comment ref="T18" authorId="2" shapeId="0" xr:uid="{C53B9480-9260-4D7E-B7A0-3DC49791138E}">
      <text>
        <r>
          <rPr>
            <b/>
            <sz val="9"/>
            <color indexed="81"/>
            <rFont val="Tahoma"/>
            <family val="2"/>
          </rPr>
          <t>Alberto:</t>
        </r>
        <r>
          <rPr>
            <sz val="9"/>
            <color indexed="81"/>
            <rFont val="Tahoma"/>
            <family val="2"/>
          </rPr>
          <t xml:space="preserve">
8470 son los 7 mil de Manuel Alonso por mi defensa en segunda y tercera instancia.</t>
        </r>
      </text>
    </comment>
    <comment ref="AA18" authorId="0" shapeId="0" xr:uid="{2992D8ED-F426-49A9-8E81-4789485736D5}">
      <text>
        <r>
          <rPr>
            <b/>
            <sz val="9"/>
            <color indexed="81"/>
            <rFont val="Tahoma"/>
            <family val="2"/>
          </rPr>
          <t>rosa:</t>
        </r>
        <r>
          <rPr>
            <sz val="9"/>
            <color indexed="81"/>
            <rFont val="Tahoma"/>
            <family val="2"/>
          </rPr>
          <t xml:space="preserve">
363 E: Legalsur</t>
        </r>
      </text>
    </comment>
    <comment ref="AF18" authorId="0" shapeId="0" xr:uid="{5EE1D2EB-A9C2-4450-B147-5A79EFEDCC75}">
      <text>
        <r>
          <rPr>
            <b/>
            <sz val="9"/>
            <color indexed="81"/>
            <rFont val="Tahoma"/>
            <family val="2"/>
          </rPr>
          <t>rosa:
Notarios Del Pozo Vela:</t>
        </r>
        <r>
          <rPr>
            <sz val="9"/>
            <color indexed="81"/>
            <rFont val="Tahoma"/>
            <family val="2"/>
          </rPr>
          <t xml:space="preserve">
377,12€: Fra: 03-20-002281 (07/04/20)
376,34€: Fra: 03-20-002282 (07/04/20)</t>
        </r>
      </text>
    </comment>
    <comment ref="AG18" authorId="0" shapeId="0" xr:uid="{30F5EEA0-ACBF-4DBD-9463-A0A213760688}">
      <text>
        <r>
          <rPr>
            <b/>
            <sz val="9"/>
            <color indexed="81"/>
            <rFont val="Tahoma"/>
            <family val="2"/>
          </rPr>
          <t xml:space="preserve">rosa:
Legalsur:
</t>
        </r>
        <r>
          <rPr>
            <sz val="9"/>
            <color indexed="81"/>
            <rFont val="Tahoma"/>
            <family val="2"/>
          </rPr>
          <t>181,50 E: Fra: 118 (03/04/20)</t>
        </r>
        <r>
          <rPr>
            <b/>
            <sz val="9"/>
            <color indexed="81"/>
            <rFont val="Tahoma"/>
            <family val="2"/>
          </rPr>
          <t xml:space="preserve">
</t>
        </r>
        <r>
          <rPr>
            <sz val="9"/>
            <color indexed="81"/>
            <rFont val="Tahoma"/>
            <family val="2"/>
          </rPr>
          <t xml:space="preserve">
302,50€: Fra: 140 (29/04/20)
363 E: Fra: 177 (25/05/20)
</t>
        </r>
      </text>
    </comment>
    <comment ref="AH18" authorId="0" shapeId="0" xr:uid="{33D41197-D691-43F5-8255-16B0511DC770}">
      <text>
        <r>
          <rPr>
            <b/>
            <sz val="9"/>
            <color indexed="81"/>
            <rFont val="Tahoma"/>
            <family val="2"/>
          </rPr>
          <t xml:space="preserve">rosa:
Legalsur:
</t>
        </r>
        <r>
          <rPr>
            <sz val="9"/>
            <color indexed="81"/>
            <rFont val="Tahoma"/>
            <family val="2"/>
          </rPr>
          <t xml:space="preserve">363 E: Fra: 210 (23/06/20)
</t>
        </r>
      </text>
    </comment>
    <comment ref="AM18" authorId="0" shapeId="0" xr:uid="{3E9C98C7-9751-49FF-8BF3-3D3389020448}">
      <text>
        <r>
          <rPr>
            <b/>
            <sz val="9"/>
            <color indexed="81"/>
            <rFont val="Tahoma"/>
            <family val="2"/>
          </rPr>
          <t xml:space="preserve">rosa:
Legalsur:
</t>
        </r>
        <r>
          <rPr>
            <sz val="9"/>
            <color indexed="81"/>
            <rFont val="Tahoma"/>
            <family val="2"/>
          </rPr>
          <t xml:space="preserve">15,75 E: Pago IVA de la Fra: 146 (25/03/19)
</t>
        </r>
      </text>
    </comment>
    <comment ref="AN18" authorId="0" shapeId="0" xr:uid="{8414E273-909B-4FD3-8079-2EC39C2A60A7}">
      <text>
        <r>
          <rPr>
            <b/>
            <sz val="9"/>
            <color indexed="81"/>
            <rFont val="Tahoma"/>
            <family val="2"/>
          </rPr>
          <t xml:space="preserve">rosa:
Notaría Rioja:
</t>
        </r>
        <r>
          <rPr>
            <sz val="9"/>
            <color indexed="81"/>
            <rFont val="Tahoma"/>
            <family val="2"/>
          </rPr>
          <t xml:space="preserve">1644 E: Provisión de fondos por escritura de fusión y registro Mercantil
Transferencia Caixa realizada: 13/11/20
</t>
        </r>
      </text>
    </comment>
    <comment ref="AO18" authorId="0" shapeId="0" xr:uid="{5904ADAA-1DE0-4C86-9C30-5C73760609BA}">
      <text>
        <r>
          <rPr>
            <b/>
            <sz val="9"/>
            <color indexed="81"/>
            <rFont val="Tahoma"/>
            <family val="2"/>
          </rPr>
          <t xml:space="preserve">
KPMG:
</t>
        </r>
        <r>
          <rPr>
            <sz val="9"/>
            <color indexed="81"/>
            <rFont val="Tahoma"/>
            <family val="2"/>
          </rPr>
          <t xml:space="preserve">4258,68 E: Honorarios por servicios de asesoramiento en operación de fusión + gastos
Fra del 27/11/20
Vcmto: 11/12/20
Transferencia realizada el 04/12/20 
</t>
        </r>
        <r>
          <rPr>
            <b/>
            <sz val="9"/>
            <color indexed="81"/>
            <rFont val="Tahoma"/>
            <family val="2"/>
          </rPr>
          <t xml:space="preserve">
KPMG:</t>
        </r>
        <r>
          <rPr>
            <sz val="9"/>
            <color indexed="81"/>
            <rFont val="Tahoma"/>
            <family val="2"/>
          </rPr>
          <t xml:space="preserve">
4235 E: Honorarios a cuenta por servicios de asesoramiento en operación de fusión
Fra del 30/07/20
Ok ALF para el pago, enviarán nueva fra
Realizar transferencia: 
Info ALF 04/12/20: Esperar a que llegue fra correcta
Tenemos fra del 09/12/20
Vcmto: 23/12/20
Transferencia realizada el 16/12/20 </t>
        </r>
      </text>
    </comment>
    <comment ref="AQ18" authorId="0" shapeId="0" xr:uid="{9FAB47F8-FD87-4322-A061-B8B78915671E}">
      <text>
        <r>
          <rPr>
            <b/>
            <sz val="9"/>
            <color indexed="81"/>
            <rFont val="Tahoma"/>
            <family val="2"/>
          </rPr>
          <t xml:space="preserve">Info Alberto 29/01/21:
</t>
        </r>
        <r>
          <rPr>
            <sz val="9"/>
            <color indexed="81"/>
            <rFont val="Tahoma"/>
            <family val="2"/>
          </rPr>
          <t xml:space="preserve">
Legalsur: Servicios legales NixAl.  </t>
        </r>
        <r>
          <rPr>
            <b/>
            <sz val="9"/>
            <color indexed="81"/>
            <rFont val="Tahoma"/>
            <family val="2"/>
          </rPr>
          <t xml:space="preserve">
</t>
        </r>
        <r>
          <rPr>
            <sz val="9"/>
            <color indexed="81"/>
            <rFont val="Tahoma"/>
            <family val="2"/>
          </rPr>
          <t>1083,46 E: Fra: 44 (29/01/21)
Realizar transferencia: 01/02/21
Transferencia Caixa realizada el 03/02/21
Anotado previsión por 1000 E.
----------------------------------
Notaría Rioja:
Fra Nº: 1283 (10/11/2020) (CIF anterior Nixal):
844,34 E: Gastos de notaría + gestión
Fra Nº: D/2020/13829 (11/12/20) (CIF Nixal correcto):
647,74 E: Registro mercantil
-1644 E: Devolución Provisión de fondos por escritura de fusión y registro Mercantil  pagada el 13/11/20
151,92 E: Talón entregado a ALF el 01/02/21 pndte de ingresar en Caixa
Ingresado en Caixa: 05/02/21
----------------------------------------
Notaría Pablo Gutiérrez-Alviz:
700 E: Provisión de fondos por escritura de constitución de SL otorgada por NIXAL AGRI S.L, con núm. 753/2.021 de protocolo 
Transferencia Caixa realizada: 26/02/21
-----------------------------------------
Notaría Pablo Gutiérrez-Alviz:
525 E: Provisión de fondos por escritura de revocación y otorgamiento de poder otorgada por NIXAL COMMODITIES SL, con núm. 5647/2.020 de protocolo.
Transferencia Caixa realizada: 26/02/21</t>
        </r>
      </text>
    </comment>
    <comment ref="AU18" authorId="1" shapeId="0" xr:uid="{11550B94-F114-4DC4-BF01-EB20A465F651}">
      <text>
        <r>
          <rPr>
            <sz val="9"/>
            <color indexed="81"/>
            <rFont val="Tahoma"/>
            <family val="2"/>
          </rPr>
          <t xml:space="preserve">
810,40 Eur: Tinsa. 
Tenemos prepuesto del 16/06/21 y fra del 25/06/21.
Presupuesto tasacion vivienda. 
Transferencia realizada el 16/06/21.</t>
        </r>
      </text>
    </comment>
    <comment ref="AV18" authorId="1" shapeId="0" xr:uid="{5EEB0278-837C-4050-850B-FD9694095385}">
      <text>
        <r>
          <rPr>
            <sz val="9"/>
            <color indexed="81"/>
            <rFont val="Tahoma"/>
            <family val="2"/>
          </rPr>
          <t>229,90€: Fra de C evalua- Javier casado Sola. 
Fra del 13/07/21.
Transferncia realizada el 14/07/21 desde caixa nixal. 
-----------------------------------------------------------------</t>
        </r>
      </text>
    </comment>
    <comment ref="AW18" authorId="1" shapeId="0" xr:uid="{153A9547-F1AD-4738-BD1A-5D0E365F1B94}">
      <text>
        <r>
          <rPr>
            <sz val="9"/>
            <color indexed="81"/>
            <rFont val="Tahoma"/>
            <family val="2"/>
          </rPr>
          <t xml:space="preserve">484 €: Legal Sur.
Fra del 28/07/21. 
Revisión escrituras compraventa del inmueble. </t>
        </r>
        <r>
          <rPr>
            <b/>
            <sz val="9"/>
            <color indexed="81"/>
            <rFont val="Tahoma"/>
            <family val="2"/>
          </rPr>
          <t xml:space="preserve">
</t>
        </r>
        <r>
          <rPr>
            <sz val="9"/>
            <color indexed="81"/>
            <rFont val="Tahoma"/>
            <family val="2"/>
          </rPr>
          <t>Transferencia realizada el 05/08/21.</t>
        </r>
      </text>
    </comment>
    <comment ref="BB18" authorId="1" shapeId="0" xr:uid="{3F2372BA-8F3E-4560-9A28-069B3AF551DB}">
      <text>
        <r>
          <rPr>
            <b/>
            <sz val="9"/>
            <color indexed="81"/>
            <rFont val="Tahoma"/>
            <family val="2"/>
          </rPr>
          <t xml:space="preserve">Fra Notaria Pablo Gutierrez Alviz.
</t>
        </r>
        <r>
          <rPr>
            <sz val="9"/>
            <color indexed="81"/>
            <rFont val="Tahoma"/>
            <family val="2"/>
          </rPr>
          <t xml:space="preserve">Fra del 22/07/21. 
Compraventa inmueble: 241,88€. 
TRansferencia realizada desde Caixa MDZ el 17/11/21.
241,88€: Traspaso de Nixal a Molino el 23/12/21 ya que esta fra pertenece a Nixal
363€: </t>
        </r>
        <r>
          <rPr>
            <b/>
            <sz val="9"/>
            <color indexed="81"/>
            <rFont val="Tahoma"/>
            <family val="2"/>
          </rPr>
          <t>Legal Sur.</t>
        </r>
        <r>
          <rPr>
            <sz val="9"/>
            <color indexed="81"/>
            <rFont val="Tahoma"/>
            <family val="2"/>
          </rPr>
          <t xml:space="preserve">
Fra del 21/12/21. 
Honorarios por servicios de asesoramiento en relación con préstamo participativo con comunidad de bienes de Hnos Carmona Bosch
Transferencia Caixa realizada el 24/12/21.</t>
        </r>
      </text>
    </comment>
    <comment ref="BC18" authorId="1" shapeId="0" xr:uid="{4D189FEA-3262-4671-8BF4-CEF992394838}">
      <text>
        <r>
          <rPr>
            <sz val="9"/>
            <color indexed="81"/>
            <rFont val="Tahoma"/>
            <family val="2"/>
          </rPr>
          <t xml:space="preserve">302,50€: </t>
        </r>
        <r>
          <rPr>
            <b/>
            <sz val="9"/>
            <color indexed="81"/>
            <rFont val="Tahoma"/>
            <family val="2"/>
          </rPr>
          <t>Legal Sur.</t>
        </r>
        <r>
          <rPr>
            <sz val="9"/>
            <color indexed="81"/>
            <rFont val="Tahoma"/>
            <family val="2"/>
          </rPr>
          <t xml:space="preserve">
Fra del 25/01/22. 
Preparación de adendum al Consultancy Services Agreement entre Nixal y Enviral
Acta y certificados nuevos en relación con adquisición del inmueble en Rep. Argentina.
Transferencia Caixa realizada el 31/01/22
</t>
        </r>
      </text>
    </comment>
    <comment ref="BF18" authorId="1" shapeId="0" xr:uid="{22FDF72C-7451-401B-A3AA-69B8199F9884}">
      <text>
        <r>
          <rPr>
            <sz val="9"/>
            <color indexed="81"/>
            <rFont val="Tahoma"/>
            <family val="2"/>
          </rPr>
          <t xml:space="preserve">242€: </t>
        </r>
        <r>
          <rPr>
            <b/>
            <sz val="9"/>
            <color indexed="81"/>
            <rFont val="Tahoma"/>
            <family val="2"/>
          </rPr>
          <t>Legal Sur.</t>
        </r>
        <r>
          <rPr>
            <sz val="9"/>
            <color indexed="81"/>
            <rFont val="Tahoma"/>
            <family val="2"/>
          </rPr>
          <t xml:space="preserve">
Fra del 25/03/22. 
Honorarios por servicios de revisión de Agency Agreement con Czarnikow Group. 
Pndte transferencia Caixa 
Transferencia Caixa realizada el 01/04/22</t>
        </r>
      </text>
    </comment>
    <comment ref="BG18" authorId="1" shapeId="0" xr:uid="{A4C590B7-ADCE-4C47-9A15-4237DE2BF5E1}">
      <text>
        <r>
          <rPr>
            <sz val="9"/>
            <color indexed="81"/>
            <rFont val="Tahoma"/>
            <family val="2"/>
          </rPr>
          <t>605€: Legal Sur.
Fra del 24/05/22. 
Honorarios por servicios de asesoramiento en relación a: 
Modificaciones al Agency Agreement entre Nixal y Czarnikow.
Borrador inicial de código de conducta y de código de prácticas y medidas anti corrupción. 
Pndte transferencia Caixa 
605€: Transferencia Caixa realizada el 26/05/22.</t>
        </r>
      </text>
    </comment>
    <comment ref="BL18" authorId="0" shapeId="0" xr:uid="{466F12C3-549E-4C59-96C5-B4F9DCE99AF6}">
      <text>
        <r>
          <rPr>
            <b/>
            <sz val="9"/>
            <color indexed="81"/>
            <rFont val="Tahoma"/>
            <family val="2"/>
          </rPr>
          <t xml:space="preserve">
KPMG:
</t>
        </r>
        <r>
          <rPr>
            <sz val="9"/>
            <color indexed="81"/>
            <rFont val="Tahoma"/>
            <family val="2"/>
          </rPr>
          <t xml:space="preserve">1905,75: Análisis fiscal de la cesión parcial del inmueble para su utilización como vivienda
Fra del 26/07/22
Vcmto: 09/08/22 
Enviada por ALF el 15/09/22
Transferencia Caixa realizada el 16/09/22 
</t>
        </r>
        <r>
          <rPr>
            <b/>
            <sz val="9"/>
            <color indexed="81"/>
            <rFont val="Tahoma"/>
            <family val="2"/>
          </rPr>
          <t xml:space="preserve">
</t>
        </r>
      </text>
    </comment>
    <comment ref="BO18" authorId="0" shapeId="0" xr:uid="{85A5AEA1-424E-4BEB-B6D8-7C35BEEE2ADE}">
      <text>
        <r>
          <rPr>
            <b/>
            <sz val="9"/>
            <color indexed="81"/>
            <rFont val="Tahoma"/>
            <family val="2"/>
          </rPr>
          <t xml:space="preserve">
Lamaignere Cargo: (Agente de Aduanas)
</t>
        </r>
        <r>
          <rPr>
            <sz val="9"/>
            <color indexed="81"/>
            <rFont val="Tahoma"/>
            <family val="2"/>
          </rPr>
          <t xml:space="preserve">160,93: Cesión Documentos FEDEX
Tramitación Sanidad y Aduanas
Fra del 22/12/22
Transferencia Caixa realizada el 22/12/22 
</t>
        </r>
        <r>
          <rPr>
            <b/>
            <sz val="9"/>
            <color indexed="81"/>
            <rFont val="Tahoma"/>
            <family val="2"/>
          </rPr>
          <t xml:space="preserve">
</t>
        </r>
      </text>
    </comment>
    <comment ref="BP18" authorId="1" shapeId="0" xr:uid="{CF41E1D4-81F9-4952-8A30-0CC43241EAD4}">
      <text>
        <r>
          <rPr>
            <sz val="9"/>
            <color indexed="81"/>
            <rFont val="Tahoma"/>
            <family val="2"/>
          </rPr>
          <t>1427,13€: LegalSur.
Fra del 30/01/23. 
Honorarios por servicios de asesoramiento en relación a: 
Escrituras
Pndte transferencia Caixa 
1427,13€: Transferencia Caixa realizada el 31/01/23</t>
        </r>
      </text>
    </comment>
    <comment ref="BQ18" authorId="1" shapeId="0" xr:uid="{76FE570E-4E7F-4B45-A746-D0582B47FDC5}">
      <text>
        <r>
          <rPr>
            <sz val="9"/>
            <color indexed="81"/>
            <rFont val="Tahoma"/>
            <family val="2"/>
          </rPr>
          <t>145,89€: Aranguren y Guajardo-Fajardo CB.
Fra: A / 00448 del 30/01/23. 
Honorarios y Suplidos Nixal
145,89€: Transferencia Caixa realizada el 24/02/23
-------------------------------------
268,78€: Aranguren y Guajardo-Fajardo CB.
Fra: P / 00460 del 15/07/22. 
Honorarios y Suplidos contrato Arrendamiento financiero
268,78€: Transferencia Caixa realizada el 24/02/23
------------------------------------
501,89€: Aranguren y Guajardo-Fajardo CB.
Fra: P / 00825 del 05/12/22. 
Honorarios y Suplidos Préstamos, créditos y descuentos con afianzamiento
501,89€: Transferencia Caixa realizada el 24/02/23</t>
        </r>
      </text>
    </comment>
    <comment ref="BR18" authorId="1" shapeId="0" xr:uid="{3A789D76-6034-4099-ADD4-8A2B0C934E53}">
      <text>
        <r>
          <rPr>
            <sz val="9"/>
            <color indexed="81"/>
            <rFont val="Tahoma"/>
            <family val="2"/>
          </rPr>
          <t>307,91€: Aranguren y Guajardo-Fajardo CB.
Fra: P / 00249 del 27/03/2023. 
Honorarios y Suplidos Préstamos, créditos y descuentos con afianzamiento
307,91€: Transferencia Caixa realizada el 30/03/23</t>
        </r>
      </text>
    </comment>
    <comment ref="BZ18" authorId="1" shapeId="0" xr:uid="{187767BB-EBD2-416A-BFE9-854B89E8719B}">
      <text>
        <r>
          <rPr>
            <b/>
            <sz val="9"/>
            <color indexed="81"/>
            <rFont val="Tahoma"/>
            <family val="2"/>
          </rPr>
          <t xml:space="preserve">Fra Notario Aranguren del 03/07/23.
</t>
        </r>
        <r>
          <rPr>
            <sz val="9"/>
            <color indexed="81"/>
            <rFont val="Tahoma"/>
            <family val="2"/>
          </rPr>
          <t xml:space="preserve">Servicios: 135,59€. 
Transferencia realizada el 27/10/23.
--------------------------------
Fra Notario Arturo Otero López-Cubero del 27/09/23.
Servicios: 307,56€. 
Pagado VISA Alberto: 27/09/23 
-------------------
Fra Notario Arturo Otero López-Cubero del 27/09/23.
Servicios: 310,09€. 
Pagado VISA Alberto: 27/09/23
-----------------------
Fra Notario Arturo Otero López-Cubero del 27/09/23.
Servicios: 307,56€. 
Pagado VISA Alberto: 27/09/23 </t>
        </r>
      </text>
    </comment>
    <comment ref="CA18" authorId="0" shapeId="0" xr:uid="{0D84C213-714D-4822-BECA-4847E709402B}">
      <text>
        <r>
          <rPr>
            <b/>
            <sz val="9"/>
            <color indexed="81"/>
            <rFont val="Tahoma"/>
            <family val="2"/>
          </rPr>
          <t>478,86€: Cargo liquidación Notarios 
Cargado Bankinter: 10/11/23</t>
        </r>
        <r>
          <rPr>
            <sz val="9"/>
            <color indexed="81"/>
            <rFont val="Tahoma"/>
            <family val="2"/>
          </rPr>
          <t xml:space="preserve">
Pndte solicitar docu al banco </t>
        </r>
      </text>
    </comment>
    <comment ref="CH18" authorId="1" shapeId="0" xr:uid="{0BCBCC7D-134A-4CD4-95DD-753AA651FAC5}">
      <text>
        <r>
          <rPr>
            <b/>
            <sz val="9"/>
            <color indexed="81"/>
            <rFont val="Tahoma"/>
            <family val="2"/>
          </rPr>
          <t xml:space="preserve">Fra Notario Aranguren del 26/06/24.
</t>
        </r>
        <r>
          <rPr>
            <sz val="9"/>
            <color indexed="81"/>
            <rFont val="Tahoma"/>
            <family val="2"/>
          </rPr>
          <t xml:space="preserve">Apostilla: 43,93€. 
Transferencia Caixa realizada el 28/06/24
--------------------------------
</t>
        </r>
      </text>
    </comment>
    <comment ref="CI18" authorId="1" shapeId="0" xr:uid="{ACB9D9AE-1B76-4D95-A737-B234E30E72EC}">
      <text>
        <r>
          <rPr>
            <b/>
            <sz val="9"/>
            <color indexed="81"/>
            <rFont val="Tahoma"/>
            <family val="2"/>
          </rPr>
          <t>514,57€: Fco Javier López Cano.</t>
        </r>
        <r>
          <rPr>
            <sz val="9"/>
            <color indexed="81"/>
            <rFont val="Tahoma"/>
            <family val="2"/>
          </rPr>
          <t xml:space="preserve">
Fra del 05/12/23. 
Intervención notarial de póliza de 150k Eur prestados por Alberto a NixAl.
514,57€: Transf. Caixa realizada el 15/03/24
VENCIMIENTO EL 10/07/24.
Cargado: 10/07/24
---------------------------------------
</t>
        </r>
      </text>
    </comment>
    <comment ref="CJ18" authorId="1" shapeId="0" xr:uid="{7359BAC1-11D0-47F8-9A82-C14D748BC8F0}">
      <text>
        <r>
          <rPr>
            <b/>
            <sz val="9"/>
            <color indexed="81"/>
            <rFont val="Tahoma"/>
            <family val="2"/>
          </rPr>
          <t>121€: LegalSur.</t>
        </r>
        <r>
          <rPr>
            <sz val="9"/>
            <color indexed="81"/>
            <rFont val="Tahoma"/>
            <family val="2"/>
          </rPr>
          <t xml:space="preserve">
Fra del 25/10/23. 
Honorarios por servicios de asesoramiento en relación a: 
Revisión de determinados documentos enviados por Bankinter 
121€: Transferencia Caixa realizada el 05/04/24
VENCIMIENTO EL 02/08/24.
Cargado: 02/08/24
-----------------------------------------
</t>
        </r>
      </text>
    </comment>
    <comment ref="CL18" authorId="1" shapeId="0" xr:uid="{DD7D9B53-F00F-409F-ABD1-9AA7D55B3F72}">
      <text>
        <r>
          <rPr>
            <sz val="9"/>
            <color indexed="81"/>
            <rFont val="Tahoma"/>
            <family val="2"/>
          </rPr>
          <t>Fra Notario Arturo Otero López-Cubero 01-24-013880 del 26/09/24.
Servicios: 307,56€. 
Pagado VISA Alberto: 26/09/24
Cargado Caixa: 
-------------------
Fra Notario Arturo Otero López-Cubero 01-24-013882 del 26/09/24.
Servicios: 307,56€. 
Pagado VISA Alberto: 26/09/24 
Cargado Caixa:</t>
        </r>
      </text>
    </comment>
    <comment ref="CO18" authorId="1" shapeId="0" xr:uid="{34B75B3C-E700-4831-AE4E-06746EB0015B}">
      <text>
        <r>
          <rPr>
            <b/>
            <sz val="9"/>
            <color indexed="81"/>
            <rFont val="Tahoma"/>
            <family val="2"/>
          </rPr>
          <t xml:space="preserve">Fra Notario Aranguren del 28/11/24.
</t>
        </r>
        <r>
          <rPr>
            <sz val="9"/>
            <color indexed="81"/>
            <rFont val="Tahoma"/>
            <family val="2"/>
          </rPr>
          <t xml:space="preserve">Servicios: 526,91€. 
Transferencia pendiente de realizar en diciembre
Transf. Caixa realizada el 18/12/24
--------------------------------
</t>
        </r>
      </text>
    </comment>
    <comment ref="CP18" authorId="1" shapeId="0" xr:uid="{3B4AA1B3-88D1-4F6F-B18A-4B23346EDD41}">
      <text>
        <r>
          <rPr>
            <b/>
            <sz val="9"/>
            <color indexed="81"/>
            <rFont val="Tahoma"/>
            <family val="2"/>
          </rPr>
          <t xml:space="preserve">Fra Notario Aranguren del 02/12/24.
</t>
        </r>
        <r>
          <rPr>
            <sz val="9"/>
            <color indexed="81"/>
            <rFont val="Tahoma"/>
            <family val="2"/>
          </rPr>
          <t xml:space="preserve">Servicios: 443,47€. 
Transferencia pendiente de realizar en enero (recibida 15/01/25)
Transf. Caixa realizada el 28/01/25
--------------------------------
</t>
        </r>
      </text>
    </comment>
    <comment ref="CR18" authorId="1" shapeId="0" xr:uid="{5F98CFC9-96F9-4DD6-993D-34CD5996B652}">
      <text>
        <r>
          <rPr>
            <b/>
            <sz val="9"/>
            <color indexed="81"/>
            <rFont val="Tahoma"/>
            <family val="2"/>
          </rPr>
          <t>193,60€: LegalSur.</t>
        </r>
        <r>
          <rPr>
            <sz val="9"/>
            <color indexed="81"/>
            <rFont val="Tahoma"/>
            <family val="2"/>
          </rPr>
          <t xml:space="preserve">
Fra del 25/02/25. 
Honorarios por servicios de asesoramiento en relación a: 
Consultas notificaciones Junta, Trafigura y Kolmar
193,60€: Transferencia Caixa realizada el 04/03/25
-----------------------------------------
</t>
        </r>
        <r>
          <rPr>
            <b/>
            <sz val="9"/>
            <color indexed="81"/>
            <rFont val="Tahoma"/>
            <family val="2"/>
          </rPr>
          <t>423,50€: LegalSur.</t>
        </r>
        <r>
          <rPr>
            <sz val="9"/>
            <color indexed="81"/>
            <rFont val="Tahoma"/>
            <family val="2"/>
          </rPr>
          <t xml:space="preserve">
Fra del 24/03/25. 
Honorarios por servicios de asesoramiento en relación a: 
Borrador de acta y certificado de decisión de Nixal Commodities, S.L., socio único, de Disolución y liquidación de la filial Pierna Seca, SLU, y modificaciones
423,50€: Transferencia Caixa realizada el 27/03/25</t>
        </r>
      </text>
    </comment>
    <comment ref="CS18" authorId="1" shapeId="0" xr:uid="{23743480-9778-4FDE-857A-48350067FFAC}">
      <text>
        <r>
          <rPr>
            <b/>
            <sz val="9"/>
            <color indexed="81"/>
            <rFont val="Tahoma"/>
            <family val="2"/>
          </rPr>
          <t xml:space="preserve">Fra proforma Pierna Seca Notario Aranguren del 28/03/25.
</t>
        </r>
        <r>
          <rPr>
            <sz val="9"/>
            <color indexed="81"/>
            <rFont val="Tahoma"/>
            <family val="2"/>
          </rPr>
          <t xml:space="preserve">Servicios: 278,49€. 
Transf. Caixa realizada el 24/04/25
--------------------------------
</t>
        </r>
      </text>
    </comment>
    <comment ref="CU18" authorId="1" shapeId="0" xr:uid="{D713C54E-283A-4A6C-9E18-5A3917F952F1}">
      <text>
        <r>
          <rPr>
            <b/>
            <sz val="9"/>
            <color indexed="81"/>
            <rFont val="Tahoma"/>
            <family val="2"/>
          </rPr>
          <t>437,34€: Fco Javier López Cano.</t>
        </r>
        <r>
          <rPr>
            <sz val="9"/>
            <color indexed="81"/>
            <rFont val="Tahoma"/>
            <family val="2"/>
          </rPr>
          <t xml:space="preserve">
Fra del 26/05/25. 
Préstamos de 150k Eur de Caixa a 5 años
437,34€: Transf. Caixa realizada el 18/06/25
---------------------------------------
</t>
        </r>
        <r>
          <rPr>
            <b/>
            <sz val="9"/>
            <color indexed="81"/>
            <rFont val="Tahoma"/>
            <family val="2"/>
          </rPr>
          <t>1.210€: LegalSur.</t>
        </r>
        <r>
          <rPr>
            <sz val="9"/>
            <color indexed="81"/>
            <rFont val="Tahoma"/>
            <family val="2"/>
          </rPr>
          <t xml:space="preserve">
Fra del 20/06/25. 
Honorarios pactados por recurso de suplicación frente a sentencia de Juzgado de lo Social nº 5 en
reclamación de bonus de D. Alberto Carmona
1.210€: Realizar Transferencia Caixa 
OK ALB 20/06/25
1210€: Transf. Caixa realizada el 26/06/25
-------------------------------------------
355,38€: Cargo liquidación Notarios </t>
        </r>
        <r>
          <rPr>
            <b/>
            <sz val="9"/>
            <color indexed="81"/>
            <rFont val="Tahoma"/>
            <family val="2"/>
          </rPr>
          <t xml:space="preserve">
Fra Notario Aranguren del 08/04/25.
</t>
        </r>
        <r>
          <rPr>
            <sz val="9"/>
            <color indexed="81"/>
            <rFont val="Tahoma"/>
            <family val="2"/>
          </rPr>
          <t>Préstamo Bankinter 90.000€: 298,89€.</t>
        </r>
        <r>
          <rPr>
            <b/>
            <sz val="9"/>
            <color indexed="81"/>
            <rFont val="Tahoma"/>
            <family val="2"/>
          </rPr>
          <t xml:space="preserve">
Fra Notario Isabel Estape del 16/04/25.
</t>
        </r>
        <r>
          <rPr>
            <sz val="9"/>
            <color indexed="81"/>
            <rFont val="Tahoma"/>
            <family val="2"/>
          </rPr>
          <t xml:space="preserve">Préstamo Bankinter 90.000€: 56,49€.
355,38€: Cargado Bankinter: 02/06/25
</t>
        </r>
      </text>
    </comment>
    <comment ref="CW18" authorId="1" shapeId="0" xr:uid="{A0C930B9-45EC-4A80-82D1-C8C79FD0C5FF}">
      <text>
        <r>
          <rPr>
            <b/>
            <sz val="9"/>
            <color indexed="81"/>
            <rFont val="Tahoma"/>
            <family val="2"/>
          </rPr>
          <t>423,78€: Fco Javier López Cano.</t>
        </r>
        <r>
          <rPr>
            <sz val="9"/>
            <color indexed="81"/>
            <rFont val="Tahoma"/>
            <family val="2"/>
          </rPr>
          <t xml:space="preserve">
Fra del 31/07/25. 
Préstamos de 134,25k Eur de Caixa a 1 año
423,78€: Transf. Caixa realizada el 04/08/25 
---------------------------------------
</t>
        </r>
        <r>
          <rPr>
            <b/>
            <sz val="9"/>
            <color indexed="81"/>
            <rFont val="Tahoma"/>
            <family val="2"/>
          </rPr>
          <t>509,12€: Fra Notario Aranguren del 15/07/25</t>
        </r>
        <r>
          <rPr>
            <sz val="9"/>
            <color indexed="81"/>
            <rFont val="Tahoma"/>
            <family val="2"/>
          </rPr>
          <t xml:space="preserve">.
Préstamo Caja Rural a 18 meses 101.124€: 
509,12€: Transf. Caixa realizada el 26/08/25 
----------------------------------
</t>
        </r>
        <r>
          <rPr>
            <b/>
            <sz val="9"/>
            <color indexed="81"/>
            <rFont val="Tahoma"/>
            <family val="2"/>
          </rPr>
          <t>96,80€: LegalSur.</t>
        </r>
        <r>
          <rPr>
            <sz val="9"/>
            <color indexed="81"/>
            <rFont val="Tahoma"/>
            <family val="2"/>
          </rPr>
          <t xml:space="preserve">
Fra del 25/08/25. 
Borrador inicial de respuesta a reclamación de Federico Santa Ana
96,80€: Realizar Transferencia Caixa 
OK ALB 
96,80€: Transf. Caixa realizada el 29/08/25</t>
        </r>
      </text>
    </comment>
    <comment ref="CZ18" authorId="1" shapeId="0" xr:uid="{050A4664-0DE6-4BE1-81AB-0D64496961E7}">
      <text>
        <r>
          <rPr>
            <b/>
            <sz val="9"/>
            <color indexed="81"/>
            <rFont val="Tahoma"/>
            <family val="2"/>
          </rPr>
          <t>181,50€: LegalSur.</t>
        </r>
        <r>
          <rPr>
            <sz val="9"/>
            <color indexed="81"/>
            <rFont val="Tahoma"/>
            <family val="2"/>
          </rPr>
          <t xml:space="preserve">
Fra del 01/10/25. 
Honorarios por asesoramiento jurídico Actas Juntas Generales de 28/02/25 NC y NA
181,50€: Realizar Transferencia Caixa 
OK ALB 01/10/25
181,50€: Transf. Caixa realizada el 15/10/25</t>
        </r>
      </text>
    </comment>
    <comment ref="DC18" authorId="1" shapeId="0" xr:uid="{7A808073-7AE3-4488-BF39-C698689E09B3}">
      <text>
        <r>
          <rPr>
            <b/>
            <sz val="9"/>
            <color indexed="81"/>
            <rFont val="Tahoma"/>
            <family val="2"/>
          </rPr>
          <t>89,69€: Fra Notario Aranguren del 09/01/26</t>
        </r>
        <r>
          <rPr>
            <sz val="9"/>
            <color indexed="81"/>
            <rFont val="Tahoma"/>
            <family val="2"/>
          </rPr>
          <t>.
Poder para pleitos 
89,69€: Transf. Caixa realizada el 27/01/26</t>
        </r>
      </text>
    </comment>
    <comment ref="DD18" authorId="1" shapeId="0" xr:uid="{751917D4-128B-4F7C-8522-9DA288E443EE}">
      <text>
        <r>
          <rPr>
            <b/>
            <sz val="9"/>
            <color indexed="81"/>
            <rFont val="Tahoma"/>
            <family val="2"/>
          </rPr>
          <t>455,57€: Fco Javier López Cano.</t>
        </r>
        <r>
          <rPr>
            <sz val="9"/>
            <color indexed="81"/>
            <rFont val="Tahoma"/>
            <family val="2"/>
          </rPr>
          <t xml:space="preserve">
Fra del 03/10/25. 
Préstamo de 150k Eur de Caixa 455,57€: Transf. Caixa realizada el 24/02/26 
---------------------------------------
</t>
        </r>
        <r>
          <rPr>
            <b/>
            <sz val="9"/>
            <color indexed="81"/>
            <rFont val="Tahoma"/>
            <family val="2"/>
          </rPr>
          <t>358,42€: Fco Javier López Cano</t>
        </r>
        <r>
          <rPr>
            <sz val="9"/>
            <color indexed="81"/>
            <rFont val="Tahoma"/>
            <family val="2"/>
          </rPr>
          <t xml:space="preserve">.
Fra del 03/10/25. 
Renovacion póliza 100k eur con Caixa
358,42€: Transf. Caixa realizada el 24/02/26
----------------------------------
</t>
        </r>
        <r>
          <rPr>
            <b/>
            <sz val="9"/>
            <color indexed="81"/>
            <rFont val="Tahoma"/>
            <family val="2"/>
          </rPr>
          <t>242€: LegalSur.</t>
        </r>
        <r>
          <rPr>
            <sz val="9"/>
            <color indexed="81"/>
            <rFont val="Tahoma"/>
            <family val="2"/>
          </rPr>
          <t xml:space="preserve">
Fra del 05/02/26. 
Personación y comparecencia en acto de conciliación promovido por Viveros Forestales La Dehesa
242€: Realizar Transferencia Caixa 
OK ALB 
242€: Transf. Caixa realizada el 24/06/26</t>
        </r>
      </text>
    </comment>
    <comment ref="DE18" authorId="1" shapeId="0" xr:uid="{B5893E27-5859-408C-9D10-957840A83C8D}">
      <text>
        <r>
          <rPr>
            <b/>
            <sz val="9"/>
            <color indexed="81"/>
            <rFont val="Tahoma"/>
            <family val="2"/>
          </rPr>
          <t>181,50€: LegalSur.</t>
        </r>
        <r>
          <rPr>
            <sz val="9"/>
            <color indexed="81"/>
            <rFont val="Tahoma"/>
            <family val="2"/>
          </rPr>
          <t xml:space="preserve">
Fra del 26/03/26. 
Honorarios por asesoramiento jurídico en relación con redacción de actas de administradores solidarios de 30 de noviembre de 2025 y Junta General Ordinaria y Universal de 28/02/26 de Nixal
Commodities, S.L
181,50€: Realizar Transferencia Caixa 
OK ALB 
181,50€: Transf. Caixa realizada el 31/03/26
-------------------------------------------
7.526,98€: Provisión fondos compra vivienda Iceberg
Cargado Bankinter: 30/03/26
-------------------------------------------</t>
        </r>
      </text>
    </comment>
    <comment ref="DH18" authorId="1" shapeId="0" xr:uid="{29A2C46D-0AE0-461A-8DC3-7525900A8283}">
      <text>
        <r>
          <rPr>
            <b/>
            <sz val="9"/>
            <color indexed="81"/>
            <rFont val="Tahoma"/>
            <family val="2"/>
          </rPr>
          <t>127,51€: LegalSur.</t>
        </r>
        <r>
          <rPr>
            <sz val="9"/>
            <color indexed="81"/>
            <rFont val="Tahoma"/>
            <family val="2"/>
          </rPr>
          <t xml:space="preserve">
Fra del 01/06/26. 
Servicios legales para revocación de poderes.
127,51€: Realizar Transferencia Caixa 
OK ALB 
127,51€: Transf. Caixa realizada el 
-------------------------------------------
</t>
        </r>
      </text>
    </comment>
    <comment ref="B19" authorId="3" shapeId="0" xr:uid="{3B7040FA-27EA-4E06-8D9D-656BC13EF403}">
      <text>
        <r>
          <rPr>
            <b/>
            <sz val="9"/>
            <color indexed="81"/>
            <rFont val="Tahoma"/>
            <family val="2"/>
          </rPr>
          <t>alfonso:</t>
        </r>
        <r>
          <rPr>
            <sz val="9"/>
            <color indexed="81"/>
            <rFont val="Tahoma"/>
            <family val="2"/>
          </rPr>
          <t xml:space="preserve">
Certificado de sostenibilidad para comercializar con Alcohol sostenible.</t>
        </r>
      </text>
    </comment>
    <comment ref="AT19" authorId="3" shapeId="0" xr:uid="{D71274D8-905D-46AF-B6DC-147F0BBD6C3B}">
      <text>
        <r>
          <rPr>
            <b/>
            <sz val="9"/>
            <color indexed="81"/>
            <rFont val="Tahoma"/>
            <family val="2"/>
          </rPr>
          <t>alfonso:</t>
        </r>
        <r>
          <rPr>
            <sz val="9"/>
            <color indexed="81"/>
            <rFont val="Tahoma"/>
            <family val="2"/>
          </rPr>
          <t xml:space="preserve">
1800 + iva para formación del equipo
Fra C 21000286 (12/05/21) : 2178 EUR
Transferencia realizada el 12/05/21.</t>
        </r>
      </text>
    </comment>
    <comment ref="AU19" authorId="3" shapeId="0" xr:uid="{C37C2B6D-9847-40A3-AF80-6CD182A2DE3B}">
      <text>
        <r>
          <rPr>
            <b/>
            <sz val="9"/>
            <color indexed="81"/>
            <rFont val="Tahoma"/>
            <family val="2"/>
          </rPr>
          <t>Prevision alfonso:</t>
        </r>
        <r>
          <rPr>
            <sz val="9"/>
            <color indexed="81"/>
            <rFont val="Tahoma"/>
            <family val="2"/>
          </rPr>
          <t xml:space="preserve">
2800 + iva de auditoría inicial más otra a los 6 meses (solo el primer año)
----------------------------------
Control Union
2783 Eur: Fra del 08/06/21.
Auditoria. 
Transferncia realizada el 08/06/21.</t>
        </r>
      </text>
    </comment>
    <comment ref="BB19" authorId="3" shapeId="0" xr:uid="{50F96C2C-655E-4078-BA85-D70137F9FD5F}">
      <text>
        <r>
          <rPr>
            <sz val="9"/>
            <color indexed="81"/>
            <rFont val="Tahoma"/>
            <family val="2"/>
          </rPr>
          <t>Control Union
500+IVA 21%= 605€: Fra del 14/12/21.
Auditoria semestral 2021. 
Realizar Transferencia: Antes del 13/01/22
Transferencia Caixa realizada el 30/12/21</t>
        </r>
      </text>
    </comment>
    <comment ref="BG19" authorId="3" shapeId="0" xr:uid="{D6B22700-6868-406D-B2DE-8AD1F2F5EAED}">
      <text>
        <r>
          <rPr>
            <b/>
            <sz val="9"/>
            <color indexed="81"/>
            <rFont val="Tahoma"/>
            <family val="2"/>
          </rPr>
          <t>alfonso:</t>
        </r>
        <r>
          <rPr>
            <sz val="9"/>
            <color indexed="81"/>
            <rFont val="Tahoma"/>
            <family val="2"/>
          </rPr>
          <t xml:space="preserve">
auditoría anual 1500+iva
---------------------------------
Control Union
2783€: Fra del 22/05/22
Auditoria. 
Vncmto: Transferencia a 30 días, antes del 21/06/22
Transferencia Caixa realizada el 26/05/22.</t>
        </r>
      </text>
    </comment>
    <comment ref="CD19" authorId="3" shapeId="0" xr:uid="{E1130F9B-8DC1-4DED-B611-70B933D10A29}">
      <text>
        <r>
          <rPr>
            <b/>
            <sz val="9"/>
            <color indexed="81"/>
            <rFont val="Tahoma"/>
            <family val="2"/>
          </rPr>
          <t>alfonso:</t>
        </r>
        <r>
          <rPr>
            <sz val="9"/>
            <color indexed="81"/>
            <rFont val="Tahoma"/>
            <family val="2"/>
          </rPr>
          <t xml:space="preserve">
auditoría anual 1500+iva
+400€ Management Fees
+400€ Fees ISCC
----------------------
Control Union
2783€: Fra del 23/05/23
Auditoria. 
Vncmto: Preguntado si es transferencia a 30 días igual que el año pasado
RE Alberto: Esperar a 30 días ya que le mandan sólo a él la RE
02 y 15/06/23: Reclamado pago a Alberto
06/07/23: OK Alberto pagar el 17/07/23, confirmar antes de pagar con Alberto
Info Alberto 14/09/23: Pago previsto: 1º semana de octubre
2783 E: Transferencia realizada el 13/10/23.
VENCIMIENTO EL 07/02/24.
Cargado Caixa: 07/02/24</t>
        </r>
      </text>
    </comment>
    <comment ref="CM19" authorId="3" shapeId="0" xr:uid="{53A48557-5C7B-4B45-8330-F35ACC31A111}">
      <text>
        <r>
          <rPr>
            <b/>
            <sz val="9"/>
            <color indexed="81"/>
            <rFont val="Tahoma"/>
            <family val="2"/>
          </rPr>
          <t>alfonso:</t>
        </r>
        <r>
          <rPr>
            <sz val="9"/>
            <color indexed="81"/>
            <rFont val="Tahoma"/>
            <family val="2"/>
          </rPr>
          <t xml:space="preserve">
auditoría anual 1500+iva
+400€ Management Fees
+400€ Fees ISCC
----------------------
Control Union
2783€: Fra del 13/05/24
Auditoria. 
Vncmto: A 30 días, antes del 12/06/24, OK Alberto 20/05
2783 E: Transferencia realizada el 13/06/24.
VENCIMIENTO EL 11/10/24.
Cargado Caixa: 11/10/24</t>
        </r>
      </text>
    </comment>
    <comment ref="CO19" authorId="3" shapeId="0" xr:uid="{BFF17916-3D21-4F15-BACB-6BE2F8C690AA}">
      <text>
        <r>
          <rPr>
            <sz val="9"/>
            <color indexed="81"/>
            <rFont val="Tahoma"/>
            <family val="2"/>
          </rPr>
          <t>ISCC
250€: Invoice G22459-37663 08/08/2024: Quantity 
Vncmto: A 14 días, OK Alberto 08/08/24
250€: Transferencia realizada el 03/09/24.
VENCIMIENTO EL 31/12/24.
Cargado Caixa: 31/12/24</t>
        </r>
      </text>
    </comment>
    <comment ref="CU19" authorId="3" shapeId="0" xr:uid="{BF90D429-D0E5-43FB-86F8-AE5B7FF8A87D}">
      <text>
        <r>
          <rPr>
            <b/>
            <sz val="9"/>
            <color indexed="81"/>
            <rFont val="Tahoma"/>
            <family val="2"/>
          </rPr>
          <t>alfonso:</t>
        </r>
        <r>
          <rPr>
            <sz val="9"/>
            <color indexed="81"/>
            <rFont val="Tahoma"/>
            <family val="2"/>
          </rPr>
          <t xml:space="preserve">
auditoría anual 1500+iva
+400€ Management Fees
+400€ Fees ISCC
----------------------
Control Union
2783€: Fra del 14/05/25
Auditoria. 
Vncmto: A 30 días, antes del 13/06/25, OK Alberto 15/05
2783 E: Realizar transferencia 
Transf. Caixa realizada el 13/06/25
----------------------------
ISCC
250€: Invoice G33615-37663 06/06/2025: Quantity 
Vncmto: A 14 días, OK Alberto 09/06/25
VENCIMIENTO EL 20/06/25.
250€: Transferencia Caixa realizada el 20/06/25</t>
        </r>
      </text>
    </comment>
    <comment ref="DF19" authorId="3" shapeId="0" xr:uid="{1AE32F8E-0032-4F74-B26F-5BA85A388ACC}">
      <text>
        <r>
          <rPr>
            <sz val="9"/>
            <color indexed="81"/>
            <rFont val="Tahoma"/>
            <family val="2"/>
          </rPr>
          <t xml:space="preserve">Previsión por 2.783€
Control Union
3.025€: Fra del 06/04/26
Auditoria. 
Vncmto: A 30 días, antes del 06/05/26, OK Alberto 06/04
3.025 E: Realizar transferencia 
Transf. Caixa realizada el 29/04/26
----------------------------
</t>
        </r>
      </text>
    </comment>
    <comment ref="DH19" authorId="3" shapeId="0" xr:uid="{32A3791E-82ED-43B9-8FDF-0AB1B8B3F29E}">
      <text>
        <r>
          <rPr>
            <b/>
            <sz val="9"/>
            <color indexed="81"/>
            <rFont val="Tahoma"/>
            <family val="2"/>
          </rPr>
          <t>alfonso:</t>
        </r>
        <r>
          <rPr>
            <sz val="9"/>
            <color indexed="81"/>
            <rFont val="Tahoma"/>
            <family val="2"/>
          </rPr>
          <t xml:space="preserve">
auditoría anual 1500+iva
+400€ Management Fees
+400€ Fees ISCC
</t>
        </r>
        <r>
          <rPr>
            <b/>
            <sz val="9"/>
            <color indexed="81"/>
            <rFont val="Tahoma"/>
            <family val="2"/>
          </rPr>
          <t xml:space="preserve">
Control Union
3.206,50€: Fra del 12/05/26</t>
        </r>
        <r>
          <rPr>
            <sz val="9"/>
            <color indexed="81"/>
            <rFont val="Tahoma"/>
            <family val="2"/>
          </rPr>
          <t xml:space="preserve">
Auditoria. 
Incrementan las Fees ISCC de 400€ a 750€
Vncmto: A 30 días, antes del 11/06/26, OK Alberto 
3.206,50€: Realizar transferencia 
Transf. Caixa realizada el 10/06/26
----------------------------
</t>
        </r>
      </text>
    </comment>
    <comment ref="AM20" authorId="0" shapeId="0" xr:uid="{8D253E44-47A5-45A7-82F1-1824480AB07B}">
      <text>
        <r>
          <rPr>
            <b/>
            <sz val="9"/>
            <color indexed="81"/>
            <rFont val="Tahoma"/>
            <family val="2"/>
          </rPr>
          <t>rosa:</t>
        </r>
        <r>
          <rPr>
            <sz val="9"/>
            <color indexed="81"/>
            <rFont val="Tahoma"/>
            <family val="2"/>
          </rPr>
          <t xml:space="preserve">
ICE 3544 USD/año
Pagado a través de Ebury el 14/10/20 (DEL SALDO EN CUENTA DE EBURY EN DOLARES)</t>
        </r>
      </text>
    </comment>
    <comment ref="AZ20" authorId="0" shapeId="0" xr:uid="{ED52FD91-1D48-4C91-B032-372AA921973D}">
      <text>
        <r>
          <rPr>
            <sz val="9"/>
            <color indexed="81"/>
            <rFont val="Tahoma"/>
            <family val="2"/>
          </rPr>
          <t>ICE 3738 USD/año
Pagado a través de VFX el 25/10/21
Tc: 1,1606</t>
        </r>
      </text>
    </comment>
    <comment ref="BM20" authorId="0" shapeId="0" xr:uid="{A080D969-B89F-4746-B6E2-705244D30291}">
      <text>
        <r>
          <rPr>
            <sz val="9"/>
            <color indexed="81"/>
            <rFont val="Tahoma"/>
            <family val="2"/>
          </rPr>
          <t>ICE 3924 USD/año
Pagar a través de VFX el 25/10/22
Transferencia realizada desde VFX USD el 26/10/22
Tc: 0,9960</t>
        </r>
      </text>
    </comment>
    <comment ref="CA20" authorId="3" shapeId="0" xr:uid="{015DBC3E-42C5-426D-9F80-EE06FB013B6C}">
      <text>
        <r>
          <rPr>
            <b/>
            <sz val="9"/>
            <color indexed="81"/>
            <rFont val="Tahoma"/>
            <family val="2"/>
          </rPr>
          <t>alfonso:</t>
        </r>
        <r>
          <rPr>
            <sz val="9"/>
            <color indexed="81"/>
            <rFont val="Tahoma"/>
            <family val="2"/>
          </rPr>
          <t xml:space="preserve">
ICE previsión 4000
Fra ICE (06/10/23): 4179 USD/año
Vcmto: 05/11/23
Ok Alberto pagar a través de VFX a vcmto
Transf. Realizada Cta VFX: 02/11/23
Tc: 1,0815</t>
        </r>
      </text>
    </comment>
    <comment ref="CO20" authorId="3" shapeId="0" xr:uid="{72314686-9534-4E1D-BDE8-C9374DC086DD}">
      <text>
        <r>
          <rPr>
            <b/>
            <sz val="9"/>
            <color indexed="81"/>
            <rFont val="Tahoma"/>
            <family val="2"/>
          </rPr>
          <t>alfonso:</t>
        </r>
        <r>
          <rPr>
            <sz val="9"/>
            <color indexed="81"/>
            <rFont val="Tahoma"/>
            <family val="2"/>
          </rPr>
          <t xml:space="preserve">
ICE previsión 4000
Fra ICE (04/12/24): 4020 USD/año
Vcmto: 03/01/25
Ok Alberto pagar a través de VFX a vcmto
Transferencia VFX USD realizada el 18/12/24
Tc: 1,0537</t>
        </r>
      </text>
    </comment>
    <comment ref="DC20" authorId="3" shapeId="0" xr:uid="{C0901F99-D52D-4E89-A38C-55390F77D1FA}">
      <text>
        <r>
          <rPr>
            <b/>
            <sz val="9"/>
            <color indexed="81"/>
            <rFont val="Tahoma"/>
            <family val="2"/>
          </rPr>
          <t>alfonso:</t>
        </r>
        <r>
          <rPr>
            <sz val="9"/>
            <color indexed="81"/>
            <rFont val="Tahoma"/>
            <family val="2"/>
          </rPr>
          <t xml:space="preserve">
ICE previsión 4000
Fra ICE (09/12/25): 4261 USD/año
Vcmto: 08/01/26
16/12/25: OK ALB pagar un par de días antes de vcmto, el 02/01/26
Transferencia VFX USD realizada el 02/01/25
Tc: 1,0516</t>
        </r>
      </text>
    </comment>
    <comment ref="DM20" authorId="3" shapeId="0" xr:uid="{605E66B9-E577-4F67-B473-4CC8E23EDE9B}">
      <text>
        <r>
          <rPr>
            <b/>
            <sz val="9"/>
            <color indexed="81"/>
            <rFont val="Tahoma"/>
            <family val="2"/>
          </rPr>
          <t>alfonso:</t>
        </r>
        <r>
          <rPr>
            <sz val="9"/>
            <color indexed="81"/>
            <rFont val="Tahoma"/>
            <family val="2"/>
          </rPr>
          <t xml:space="preserve">
ICE previsión 4000</t>
        </r>
      </text>
    </comment>
    <comment ref="Q21" authorId="2" shapeId="0" xr:uid="{C2738F1E-7E60-4F7A-B815-FB9820DF6C74}">
      <text>
        <r>
          <rPr>
            <b/>
            <sz val="9"/>
            <color indexed="81"/>
            <rFont val="Tahoma"/>
            <family val="2"/>
          </rPr>
          <t>Alberto:</t>
        </r>
        <r>
          <rPr>
            <sz val="9"/>
            <color indexed="81"/>
            <rFont val="Tahoma"/>
            <family val="2"/>
          </rPr>
          <t xml:space="preserve">
SCI</t>
        </r>
      </text>
    </comment>
    <comment ref="X21" authorId="4" shapeId="0" xr:uid="{B13D396F-3AAE-4712-85E3-66264CB58CD1}">
      <text>
        <r>
          <rPr>
            <b/>
            <sz val="9"/>
            <color indexed="81"/>
            <rFont val="Tahoma"/>
            <family val="2"/>
          </rPr>
          <t>Alberto Carmona:</t>
        </r>
        <r>
          <rPr>
            <sz val="9"/>
            <color indexed="81"/>
            <rFont val="Tahoma"/>
            <family val="2"/>
          </rPr>
          <t xml:space="preserve">
OPIS (4260-610) USD = 3432,03 (exacto entrado en banco)
+TRS 1200 USD/año / 1,1= 1090,91
 (fras enviadas a sinver con agosto y pagada por alberto. Pago realizado a Alberto en sept y pasado con conta de sept.)</t>
        </r>
      </text>
    </comment>
    <comment ref="AA21" authorId="0" shapeId="0" xr:uid="{3C35A928-596C-4833-8D1E-BD28409B7561}">
      <text>
        <r>
          <rPr>
            <b/>
            <sz val="9"/>
            <color indexed="81"/>
            <rFont val="Tahoma"/>
            <family val="2"/>
          </rPr>
          <t>rosa:</t>
        </r>
        <r>
          <rPr>
            <sz val="9"/>
            <color indexed="81"/>
            <rFont val="Tahoma"/>
            <family val="2"/>
          </rPr>
          <t xml:space="preserve">
SCI Pago Fra a través de E-Bury el 17/12/19</t>
        </r>
      </text>
    </comment>
    <comment ref="AH21" authorId="4" shapeId="0" xr:uid="{63386072-B473-46F2-8BD8-820521A5EF01}">
      <text>
        <r>
          <rPr>
            <b/>
            <sz val="9"/>
            <color indexed="81"/>
            <rFont val="Tahoma"/>
            <family val="2"/>
          </rPr>
          <t>Alberto Carmona:</t>
        </r>
        <r>
          <rPr>
            <sz val="9"/>
            <color indexed="81"/>
            <rFont val="Tahoma"/>
            <family val="2"/>
          </rPr>
          <t xml:space="preserve">
TRS 1200 USD/año
Pagado a través de Ebury el 04/06/20 (DEL SALDO EN CUENTA DE EBURY EN DOLARES)</t>
        </r>
      </text>
    </comment>
    <comment ref="AL21" authorId="4" shapeId="0" xr:uid="{EDB50C48-94F5-46D8-9DCE-6A2F47FA18B3}">
      <text>
        <r>
          <rPr>
            <b/>
            <sz val="9"/>
            <color indexed="81"/>
            <rFont val="Tahoma"/>
            <family val="2"/>
          </rPr>
          <t>Alberto Carmona:</t>
        </r>
        <r>
          <rPr>
            <sz val="9"/>
            <color indexed="81"/>
            <rFont val="Tahoma"/>
            <family val="2"/>
          </rPr>
          <t xml:space="preserve">
Opis estimado: 3500 USD
OPIS 3650 USD/año
Pagado a través de Ebury el 17/09/20 (DEL SALDO EN CUENTA DE EBURY EN DOLARES)
1280 USD: SCI Informe adicional
Pago Fra a través de Ebury el 17/09/20 (DEL SALDO EN CUENTA DE EBURY EN DOLARES 350 USD y 930 USD comprado a Ebury desde Caixa= 794,64 E)</t>
        </r>
      </text>
    </comment>
    <comment ref="AO21" authorId="0" shapeId="0" xr:uid="{354FE61E-8704-4D17-A9E2-84C13B96DE41}">
      <text>
        <r>
          <rPr>
            <b/>
            <sz val="9"/>
            <color indexed="81"/>
            <rFont val="Tahoma"/>
            <family val="2"/>
          </rPr>
          <t>rosa:</t>
        </r>
        <r>
          <rPr>
            <sz val="9"/>
            <color indexed="81"/>
            <rFont val="Tahoma"/>
            <family val="2"/>
          </rPr>
          <t xml:space="preserve">
SCI Pago Fra a través de Caixa el 04/12/20
1552,15€ (1830 USD/1,21180015+42€)
-Devolución del 50% de la comisión por transferencia a SCI: -13,50 E.
-Devolución de la comisión por SWIFT de la transferencia a SCI: -15 E.</t>
        </r>
      </text>
    </comment>
    <comment ref="AQ21" authorId="4" shapeId="0" xr:uid="{E159F127-D97E-43CB-8874-0F5D0B953272}">
      <text>
        <r>
          <rPr>
            <b/>
            <sz val="9"/>
            <color indexed="81"/>
            <rFont val="Tahoma"/>
            <family val="2"/>
          </rPr>
          <t>Info Alberto Carmona 12/01/21:</t>
        </r>
        <r>
          <rPr>
            <sz val="9"/>
            <color indexed="81"/>
            <rFont val="Tahoma"/>
            <family val="2"/>
          </rPr>
          <t xml:space="preserve">
FO Licht: Suscripciones para febrero 8000 USD
Invoice No: 91272395 (13/01/21)
Pealizar pago: Antes del 12/02/21
6000 USD: Transf. Caixa Cta USD realizada el 03/02/21
+ 36 USD Comisión por transferencia (0,60%).
+18,03 USD: Comisión por SWIFT 
2000 USD: Transf. Caixa Cta Euros realizada el 03/02/21
1717,42 E: (2000 USD/1,1748+15)
-18,03 USD: Devolución Comisión por SWIFT 
Abonado Caixa USD: 09/02/21
-21 USD: Devolución Comisión 
Abonado Caixa USD: 09/02/21
</t>
        </r>
      </text>
    </comment>
    <comment ref="AU21" authorId="3" shapeId="0" xr:uid="{DB44EEBB-F84D-42B3-9B77-0AB850CA1660}">
      <text>
        <r>
          <rPr>
            <b/>
            <sz val="9"/>
            <color indexed="81"/>
            <rFont val="Tahoma"/>
            <family val="2"/>
          </rPr>
          <t>Previsión alfonso:</t>
        </r>
        <r>
          <rPr>
            <sz val="9"/>
            <color indexed="81"/>
            <rFont val="Tahoma"/>
            <family val="2"/>
          </rPr>
          <t xml:space="preserve">
1200 USD TRS
--------------------------
TRS Tropicx Capital
Fra del 01/06/21 : 1.200 USD. 
Transferencia realizada desde caixa USD el 02/06/21. 
</t>
        </r>
      </text>
    </comment>
    <comment ref="AV21" authorId="1" shapeId="0" xr:uid="{2BAC7B1B-BB3B-47BA-8EA9-77E563DFA7FE}">
      <text>
        <r>
          <rPr>
            <sz val="9"/>
            <color indexed="81"/>
            <rFont val="Tahoma"/>
            <family val="2"/>
          </rPr>
          <t xml:space="preserve">3.650 USD: Fra OPIS del 09/07/21.
Transferencia realizada el 13/07/21 mediante VFX. </t>
        </r>
      </text>
    </comment>
    <comment ref="AY21" authorId="1" shapeId="0" xr:uid="{274AD5A8-5FB8-4812-BAEC-1BFCB4BE39D0}">
      <text>
        <r>
          <rPr>
            <sz val="9"/>
            <color indexed="81"/>
            <rFont val="Tahoma"/>
            <family val="2"/>
          </rPr>
          <t>SCI Pago Fra a través de VFX el 23/09/21.
Markt intel: 3.410 USD
Tc: 1,1767</t>
        </r>
      </text>
    </comment>
    <comment ref="BD21" authorId="3" shapeId="0" xr:uid="{A4715F0E-244C-4909-B8FE-AA83010E87A5}">
      <text>
        <r>
          <rPr>
            <b/>
            <sz val="9"/>
            <color indexed="81"/>
            <rFont val="Tahoma"/>
            <family val="2"/>
          </rPr>
          <t>alfonso:</t>
        </r>
        <r>
          <rPr>
            <sz val="9"/>
            <color indexed="81"/>
            <rFont val="Tahoma"/>
            <family val="2"/>
          </rPr>
          <t xml:space="preserve">
FO Licht: Suscripciones para febrero 8000 USD
Invoice No: 91547818 (13/01/22)
Pealizar pago: Antes del 12/02/22
Transferencia realizada desde VFX el 08/02/22
Tc: 1,1385</t>
        </r>
      </text>
    </comment>
    <comment ref="BE21" authorId="3" shapeId="0" xr:uid="{D8CCC674-E191-4B90-8F8D-E742E4D8CBD7}">
      <text>
        <r>
          <rPr>
            <sz val="9"/>
            <color indexed="81"/>
            <rFont val="Tahoma"/>
            <family val="2"/>
          </rPr>
          <t xml:space="preserve">ISO: Suscripciones 2022 -International Sugar Organization 
Invoice No: 2022-484 (10/03/22)
Ok Alberto realizar pago
Transferencia Caixa realizada el 24/03/22
</t>
        </r>
      </text>
    </comment>
    <comment ref="BH21" authorId="3" shapeId="0" xr:uid="{97492E83-6C58-4D2B-A56B-A4066D7BF05E}">
      <text>
        <r>
          <rPr>
            <b/>
            <sz val="9"/>
            <color indexed="81"/>
            <rFont val="Tahoma"/>
            <family val="2"/>
          </rPr>
          <t>Previsión alfonso:</t>
        </r>
        <r>
          <rPr>
            <sz val="9"/>
            <color indexed="81"/>
            <rFont val="Tahoma"/>
            <family val="2"/>
          </rPr>
          <t xml:space="preserve">
1200 USD TRS
--------------------------
TRS Tropicx Capital
Fra del 31/05/22 : 1.230 USD. 
Transferencia realizada desde VFX en USD el 02/06/22. 
Transferencia realizada desde VFX el 06/06/22
Tc: 1,0880
</t>
        </r>
      </text>
    </comment>
    <comment ref="BI21" authorId="1" shapeId="0" xr:uid="{2C91DFA1-7FA8-458B-803A-4C6AB6DFC48F}">
      <text>
        <r>
          <rPr>
            <sz val="9"/>
            <color indexed="81"/>
            <rFont val="Tahoma"/>
            <family val="2"/>
          </rPr>
          <t>3.650 USD OPIS 2021
----------------------------- 
16/03/22: Los datos de facturación y bancarios han cambiado, comprobar cuando llegue fra que está correcta.
3.780 USD: Fra OPIS del 28/06/22.
Vcmto: 28/07/22
Transferencia realizada desde VFX en USD el 21/07/22
Tc: 1,0192</t>
        </r>
      </text>
    </comment>
    <comment ref="BN21" authorId="3" shapeId="0" xr:uid="{5A758476-B3C3-4927-AE1C-BE65DD71EA00}">
      <text>
        <r>
          <rPr>
            <b/>
            <sz val="9"/>
            <color indexed="81"/>
            <rFont val="Tahoma"/>
            <family val="2"/>
          </rPr>
          <t>alfonso:</t>
        </r>
        <r>
          <rPr>
            <sz val="9"/>
            <color indexed="81"/>
            <rFont val="Tahoma"/>
            <family val="2"/>
          </rPr>
          <t xml:space="preserve">
SCI: Previsión 1830 USD
---------------------------
SCI 
Markt intel: 3.410 USD
Fra del 03/11/22
3410 USD: Pago Fra a través de VFX el 04/11/22.
Tc: 0,9907
</t>
        </r>
      </text>
    </comment>
    <comment ref="BO21" authorId="3" shapeId="0" xr:uid="{C785D9A0-02EC-42C7-A1A6-30CBABFFB881}">
      <text>
        <r>
          <rPr>
            <sz val="9"/>
            <color indexed="81"/>
            <rFont val="Tahoma"/>
            <family val="2"/>
          </rPr>
          <t>ISO: Suscripciones 2023 -International Sugar Organization 
Invoice No: 2023-484 (14/12/22)
Ok Alberto realizar pago
Transferencia VFX en € realizada el 19/12/22</t>
        </r>
      </text>
    </comment>
    <comment ref="BR21" authorId="3" shapeId="0" xr:uid="{2135D42F-1BDE-4F72-BE53-B297E5CE70E9}">
      <text>
        <r>
          <rPr>
            <b/>
            <sz val="9"/>
            <color indexed="81"/>
            <rFont val="Tahoma"/>
            <family val="2"/>
          </rPr>
          <t>alfonso:</t>
        </r>
        <r>
          <rPr>
            <sz val="9"/>
            <color indexed="81"/>
            <rFont val="Tahoma"/>
            <family val="2"/>
          </rPr>
          <t xml:space="preserve">
FO Licht: Suscripciones para febrero 8720 USD
Invoice No: 91825961 (21/02/23)
Realizar pago: Antes del 23/03/23
Transferencia realizada desde VFX en USD el 15/03/23
Tc: 1,0760</t>
        </r>
      </text>
    </comment>
    <comment ref="BU21" authorId="1" shapeId="0" xr:uid="{BFD48B49-1AC5-4F1F-9C2D-69307194F834}">
      <text>
        <r>
          <rPr>
            <sz val="9"/>
            <color indexed="81"/>
            <rFont val="Tahoma"/>
            <family val="2"/>
          </rPr>
          <t>Previsión en junio de 3.780 USD OPIS 
Llega fra en junio por 7.200 USD, reclamado importe por Alberto
Info Alberto 09/10/23: No bajan el importe</t>
        </r>
      </text>
    </comment>
    <comment ref="BY21" authorId="1" shapeId="0" xr:uid="{33FC77B6-F34D-49FD-83B5-E5FD6D76DBFB}">
      <text>
        <r>
          <rPr>
            <sz val="9"/>
            <color indexed="81"/>
            <rFont val="Tahoma"/>
            <family val="2"/>
          </rPr>
          <t>Previsión alfonso:
1200 USD TRS Tropic Capital
TRS Tropical Research Services
Fra del 29/05/23: 1.230 USD. 
Realizar Transferencia desde VFX en USD antes del 28/06/23
27/06/23: Info Alberto: Esperar a que nos la reclamen
08/08/23: Solicitada fra con VAT correcto, recibida
Ok Alberto: pagar en 2 semanas
Transferencia realizada desde VFX USD el 01/09/23
Tc: 1,2451
---------------------------------
ISO: Sugar Yearbook 2023 (Softcopy):
Invoice No: 2024-484 (19/09/23)
Ok Alberto realizar pago
Transferencia Cta VFX € realizada el 20/09/23</t>
        </r>
      </text>
    </comment>
    <comment ref="BZ21" authorId="3" shapeId="0" xr:uid="{FF2E76DE-D26A-49A2-8BAF-363B3CBF5FE6}">
      <text>
        <r>
          <rPr>
            <b/>
            <sz val="9"/>
            <color indexed="81"/>
            <rFont val="Tahoma"/>
            <family val="2"/>
          </rPr>
          <t>alfonso:</t>
        </r>
        <r>
          <rPr>
            <sz val="9"/>
            <color indexed="81"/>
            <rFont val="Tahoma"/>
            <family val="2"/>
          </rPr>
          <t xml:space="preserve">
SCI: Previsión Markt intel: 3.410 USD
18/10/23: No renovamos pq el precio sería de 34.100 USD</t>
        </r>
      </text>
    </comment>
    <comment ref="CF21" authorId="3" shapeId="0" xr:uid="{FE8BA8EC-36DE-48C2-9CF6-CF9FE68CB0B6}">
      <text>
        <r>
          <rPr>
            <sz val="9"/>
            <color indexed="81"/>
            <rFont val="Tahoma"/>
            <family val="2"/>
          </rPr>
          <t>Info Alberto 24/01/24: Suscripción ARA Storage por 17.892 USD
Esto lo vamos a repercutir a cuatro clientes a partes iguales de 4496 Eur cada uno (Vertex, Bioagra, Panonnia y Verbio)
Invoice No: 10110000610 (25/03/24):
17.892 USD: Vcmto: 24/04/24
26/03/24: OK Alberto realizar el pago cuando paguen los clientes
Transf. VFX USD realizada el 26/04/24
Tc: 1,0734</t>
        </r>
      </text>
    </comment>
    <comment ref="CH21" authorId="3" shapeId="0" xr:uid="{4AE71799-41B0-453D-9F20-E7C231CC1C07}">
      <text>
        <r>
          <rPr>
            <sz val="9"/>
            <color indexed="81"/>
            <rFont val="Tahoma"/>
            <family val="2"/>
          </rPr>
          <t xml:space="preserve">FO Licht previsión suscripción 8720 USD
15/01/23: Llega fra por 10.464$, un 20% más que la fra del año pasado
Reclamada por Alberto
Vcmto: Antes del 12/02/24
25/06/24: Cancelada suscripción
---------------------------
</t>
        </r>
      </text>
    </comment>
    <comment ref="CO21" authorId="1" shapeId="0" xr:uid="{4F8B919C-D629-4225-B282-99F2D2E0CEF7}">
      <text>
        <r>
          <rPr>
            <sz val="9"/>
            <color indexed="81"/>
            <rFont val="Tahoma"/>
            <family val="2"/>
          </rPr>
          <t>McDougall Global View LLC:
3.000 USD: Subscription 01/12/24 to 30/11/25
Invoice No: 01 (18/12/24)
Ok Alberto realizar pago
Transferencia Cta VFX USD realizada el 19/12/24
Tc: 1,0537</t>
        </r>
      </text>
    </comment>
    <comment ref="CR21" authorId="3" shapeId="0" xr:uid="{7F61A0E3-3EB5-4151-9832-078EB5F1C322}">
      <text>
        <r>
          <rPr>
            <sz val="9"/>
            <color indexed="81"/>
            <rFont val="Tahoma"/>
            <family val="2"/>
          </rPr>
          <t>Info Alberto 04/03/25: Suscripción ARA Storage del 22/02/25 al 21/02/26 por 19.144,44 USD
Invoice No: 10110002922 (19/02/25):
19.144,44 USD: Vcmto: 21/03/25
Transferencia VFX USD realizada el 18/03/25
Tc: 1,0627</t>
        </r>
      </text>
    </comment>
    <comment ref="DE21" authorId="3" shapeId="0" xr:uid="{466879EB-CB12-42BD-9982-B7111420F212}">
      <text>
        <r>
          <rPr>
            <sz val="9"/>
            <color indexed="81"/>
            <rFont val="Tahoma"/>
            <family val="2"/>
          </rPr>
          <t>Info Alberto 13/03/26: Suscripción ARA Storage del 22/02/26 al 21/02/27 por 20.484,55 USD
Invoice No: 10110006005 (25/02/26):
20.484,55 USD: Vcmto: 27/03/26
Transferencia VFX USD realizada el 26/03/26
Tc: 1,1525</t>
        </r>
      </text>
    </comment>
    <comment ref="DH21" authorId="1" shapeId="0" xr:uid="{3817513D-C1EA-4A0F-A890-D984974062AC}">
      <text>
        <r>
          <rPr>
            <sz val="9"/>
            <color indexed="81"/>
            <rFont val="Tahoma"/>
            <family val="2"/>
          </rPr>
          <t>Previsión McDougall Global View LLC:
3.000 USD: Subscription 01/12/25 to 30/11/26
Invoice No: 02 (26/05/26)
28/05/26: Ok Alberto realizar pago
Transferencia Cta BBVA USD realizada el 10/06/26</t>
        </r>
      </text>
    </comment>
    <comment ref="DI21" authorId="3" shapeId="0" xr:uid="{D97AFF9E-54C0-4464-9B79-BCB99FBD8CD3}">
      <text>
        <r>
          <rPr>
            <b/>
            <sz val="9"/>
            <color indexed="81"/>
            <rFont val="Tahoma"/>
            <family val="2"/>
          </rPr>
          <t>Previsión alfonso:</t>
        </r>
        <r>
          <rPr>
            <sz val="9"/>
            <color indexed="81"/>
            <rFont val="Tahoma"/>
            <family val="2"/>
          </rPr>
          <t xml:space="preserve">
1200 USD TRS Tropicx Capital
</t>
        </r>
      </text>
    </comment>
    <comment ref="DO21" authorId="1" shapeId="0" xr:uid="{DDE52D0C-1F2C-44E4-BB3C-29454083FD35}">
      <text>
        <r>
          <rPr>
            <sz val="9"/>
            <color indexed="81"/>
            <rFont val="Tahoma"/>
            <family val="2"/>
          </rPr>
          <t>Prevision McDougall Global View LLC:
3.000 USD: Subscription 01/12/24 to 30/11/25
Invoice No: 01 (18/12/24)
Ok Alberto realizar pago
Transferencia Cta VFX € realizada el 19/12/24</t>
        </r>
      </text>
    </comment>
    <comment ref="AF22" authorId="0" shapeId="0" xr:uid="{0A11E7DE-1A35-437D-938F-907FD7D1F230}">
      <text>
        <r>
          <rPr>
            <b/>
            <sz val="9"/>
            <color indexed="81"/>
            <rFont val="Tahoma"/>
            <family val="2"/>
          </rPr>
          <t>rosa:</t>
        </r>
        <r>
          <rPr>
            <sz val="9"/>
            <color indexed="81"/>
            <rFont val="Tahoma"/>
            <family val="2"/>
          </rPr>
          <t xml:space="preserve">
Movido aquí de feb
2000€: Transferencia realizada el 30/04/20</t>
        </r>
      </text>
    </comment>
    <comment ref="AN22" authorId="0" shapeId="0" xr:uid="{07F50541-E834-4E9D-AA09-550F01A8E225}">
      <text>
        <r>
          <rPr>
            <b/>
            <sz val="9"/>
            <color indexed="81"/>
            <rFont val="Tahoma"/>
            <family val="2"/>
          </rPr>
          <t>rosa:</t>
        </r>
        <r>
          <rPr>
            <sz val="9"/>
            <color indexed="81"/>
            <rFont val="Tahoma"/>
            <family val="2"/>
          </rPr>
          <t xml:space="preserve">
Energy Census: Fra del 23/11/20:
1500 E: Suscripción de de información de mercado
Analítica: Market Intel
Realizar transferencia Caixa 
Transf. Caixa realizada el 27/11/20</t>
        </r>
      </text>
    </comment>
    <comment ref="AT22" authorId="1" shapeId="0" xr:uid="{DDF11945-0DA7-4E2C-AD01-D912FB2BD937}">
      <text>
        <r>
          <rPr>
            <sz val="9"/>
            <color indexed="81"/>
            <rFont val="Tahoma"/>
            <family val="2"/>
          </rPr>
          <t xml:space="preserve">Agricensus
Fra del 29/04/21: 2.000€.
Suscripción de de información de mercado
Analítica: Market Intel.
Transferencia caixa realizada el 04/05/21. 
----------------------------------------------
Energycensus
Fra del 29/04/21: 1.500€.
Suscripción de de información de mercado
Analítica: Market Intel.
Transferencia caixa realizada el 04/05/21. 
</t>
        </r>
      </text>
    </comment>
    <comment ref="BC22" authorId="1" shapeId="0" xr:uid="{2BC9A603-21DE-4ABC-8091-F4351BEA65B3}">
      <text>
        <r>
          <rPr>
            <sz val="9"/>
            <color indexed="81"/>
            <rFont val="Tahoma"/>
            <family val="2"/>
          </rPr>
          <t xml:space="preserve">European Gas Hub
Fra del 14/12/21: 240€.
Suscripción del mercado de gas natural
Analítica: Market Intel.
Pagado con VISA: 14/12/21. 
</t>
        </r>
      </text>
    </comment>
    <comment ref="BG22" authorId="1" shapeId="0" xr:uid="{63CCF7E4-8870-426F-87D9-1969498FFEBE}">
      <text>
        <r>
          <rPr>
            <sz val="9"/>
            <color indexed="81"/>
            <rFont val="Tahoma"/>
            <family val="2"/>
          </rPr>
          <t>Fastmarkets:
Fra del 20/04/22: 1.950€.
Suscripción de de información de mercado
975€: EnergyCensus
975€: AgriCensus
Analítica: Market Intel.
1950€: Realizar transferencia: Antes del 20/05/22
18/05/22: Realizado traspaso desde Caixa a VFX en € para poder pagar esta factura desde VFX
1950€: Transferencia realizada desde VFX en € el 19/05/22</t>
        </r>
      </text>
    </comment>
    <comment ref="BP22" authorId="1" shapeId="0" xr:uid="{12D456AD-956F-4C2A-A82D-F11AA0268D2B}">
      <text>
        <r>
          <rPr>
            <sz val="9"/>
            <color indexed="81"/>
            <rFont val="Tahoma"/>
            <family val="2"/>
          </rPr>
          <t xml:space="preserve">European Gas Hub
Fra Pndte: 240€.
Suscripción del mercado de gas natural
Analítica: Market Intel.
Pagado con VISA: 14/12/22. 
Cargado: 05/01/23
</t>
        </r>
      </text>
    </comment>
    <comment ref="BT22" authorId="1" shapeId="0" xr:uid="{E6C5418A-5D24-4C7B-A941-6217FD325E45}">
      <text>
        <r>
          <rPr>
            <sz val="9"/>
            <color indexed="81"/>
            <rFont val="Tahoma"/>
            <family val="2"/>
          </rPr>
          <t>Fastmarkets:
Fra del 25/04/23: 2.125,50€.
Suscripción de de información de mercado
1.062,75€: EnergyCensus
1.062,75€: AgriCensus
Analítica: Market Intel.
2.125,50€: Realizar transferencia: Antes del 25/05/23
2.125,50€: Transferencia realizada desde VFX en € el 22/05/23</t>
        </r>
      </text>
    </comment>
    <comment ref="CD22" authorId="1" shapeId="0" xr:uid="{66BC38F3-4F96-426C-9058-FB728833447D}">
      <text>
        <r>
          <rPr>
            <sz val="9"/>
            <color indexed="81"/>
            <rFont val="Tahoma"/>
            <family val="2"/>
          </rPr>
          <t>Quantum Commodity Intelligence;
Fra del 26/01/24: 2.000€.
2.000€: Quantum Biofuels Subscription and Data Licence (12 meses)
Analítica: Market Intel.
2.000€: Ok Alberto realizar transferencia: en la primera remesa de febrero
Transferencia realizada desde VFX en € el 06/02/24</t>
        </r>
      </text>
    </comment>
    <comment ref="CG22" authorId="1" shapeId="0" xr:uid="{3B6B87B3-98D0-4796-8713-56A3B73B1290}">
      <text>
        <r>
          <rPr>
            <sz val="9"/>
            <color indexed="81"/>
            <rFont val="Tahoma"/>
            <family val="2"/>
          </rPr>
          <t>Fastmarkets:
Fra del 04/04/24: 2.273,75€.
Suscripción de de información de mercado
1.136,88€: EnergyCensus
1.136,87€: AgriCensus
Analítica: Market Intel.
2.273,75€: Realizar transferencia: Antes del 04/05/24
Transferencia realizada desde cuenta VFX en € el 03/05/24</t>
        </r>
      </text>
    </comment>
    <comment ref="CQ22" authorId="1" shapeId="0" xr:uid="{38591009-C83F-459D-99E8-5352BA2CDA00}">
      <text>
        <r>
          <rPr>
            <sz val="9"/>
            <color indexed="81"/>
            <rFont val="Tahoma"/>
            <family val="2"/>
          </rPr>
          <t>Quantum Commodity Intelligence;
Fra 11151-2-1071 (31/01/25): 2.300€.
2.300€: Quantum Biofuels Subscription and Data Licence (12 meses)
Analítica: Market Intel.
2.300€: Ok Alberto realizar transferencia
Transferencia realizada desde cuenta VFX en € el 03/02/24</t>
        </r>
      </text>
    </comment>
    <comment ref="CT22" authorId="1" shapeId="0" xr:uid="{A5B28D75-EF6E-4269-8A43-61B152132A46}">
      <text>
        <r>
          <rPr>
            <b/>
            <sz val="9"/>
            <color indexed="81"/>
            <rFont val="Tahoma"/>
            <family val="2"/>
          </rPr>
          <t>Fastmarkets:
Fra del 30/04/25: 2.600€</t>
        </r>
        <r>
          <rPr>
            <sz val="9"/>
            <color indexed="81"/>
            <rFont val="Tahoma"/>
            <family val="2"/>
          </rPr>
          <t xml:space="preserve">
Mail Alberto del 07/02/25: Precio de renovación 4.000€, esperar para renovar pq el año pasado el precio fue de 2.273,75€.
Mail Alberto del 22/04/25: Precio de renovación 2.600€ en mayo 2025 y 3.100€ en mayo 2026.
Suscripción de de información de mercado
2.600€: Realizar transferencia: Antes del 30/05/25
Transf. VFX realizada el 28/05/25</t>
        </r>
      </text>
    </comment>
    <comment ref="DF22" authorId="1" shapeId="0" xr:uid="{F739FDFC-38D0-46EF-8218-6BACFE586901}">
      <text>
        <r>
          <rPr>
            <b/>
            <sz val="9"/>
            <color indexed="81"/>
            <rFont val="Tahoma"/>
            <family val="2"/>
          </rPr>
          <t>Fastmarkets:</t>
        </r>
        <r>
          <rPr>
            <sz val="9"/>
            <color indexed="81"/>
            <rFont val="Tahoma"/>
            <family val="2"/>
          </rPr>
          <t xml:space="preserve">
Mail Alberto del 07/02/25: Precio de renovación 4.000€, esperar para renovar pq el año pasado el precio fue de 2.273,75€.
Mail Alberto del 22/04/25: Precio de renovación 2.600€ en mayo 2025 y 3.100€ en mayo 2026.
Fra del 18/03/26
3.100€: Suscripción de de información de mercado
Vcmto: 17/04/26
Transf. Cta VFX realizada el 13/04/26</t>
        </r>
      </text>
    </comment>
    <comment ref="DT22" authorId="1" shapeId="0" xr:uid="{92AD5DAD-F8A6-4907-83DE-D42D335110C1}">
      <text>
        <r>
          <rPr>
            <b/>
            <sz val="9"/>
            <color indexed="81"/>
            <rFont val="Tahoma"/>
            <family val="2"/>
          </rPr>
          <t>Fastmarkets:</t>
        </r>
        <r>
          <rPr>
            <sz val="9"/>
            <color indexed="81"/>
            <rFont val="Tahoma"/>
            <family val="2"/>
          </rPr>
          <t xml:space="preserve">
Mail Alberto del 07/02/25: Precio de renovación 4.000€, esperar para renovar pq el año pasado el precio fue de 2.273,75€.
Mail Alberto del 22/04/25: Precio de renovación 2.600€ en mayo 2025 y 3.100€ en mayo 2026.
Suscripción de de información de mercado
</t>
        </r>
      </text>
    </comment>
    <comment ref="X23" authorId="3" shapeId="0" xr:uid="{9C18C844-49E5-4265-8A9E-98E56F3BDC82}">
      <text>
        <r>
          <rPr>
            <sz val="8"/>
            <color indexed="81"/>
            <rFont val="Tahoma"/>
            <family val="2"/>
          </rPr>
          <t>2701,72 devolución IVA</t>
        </r>
      </text>
    </comment>
    <comment ref="Y23" authorId="4" shapeId="0" xr:uid="{8F3FA314-E65A-4360-81AA-46657D086067}">
      <text>
        <r>
          <rPr>
            <b/>
            <sz val="9"/>
            <color indexed="81"/>
            <rFont val="Tahoma"/>
            <family val="2"/>
          </rPr>
          <t xml:space="preserve">1503,4 devol hacienda IVA
</t>
        </r>
        <r>
          <rPr>
            <sz val="9"/>
            <color indexed="81"/>
            <rFont val="Tahoma"/>
            <family val="2"/>
          </rPr>
          <t xml:space="preserve">
</t>
        </r>
      </text>
    </comment>
    <comment ref="Z23" authorId="3" shapeId="0" xr:uid="{790C52BF-778C-4266-A278-57152E26E2AC}">
      <text>
        <r>
          <rPr>
            <b/>
            <sz val="8"/>
            <color indexed="81"/>
            <rFont val="Tahoma"/>
            <family val="2"/>
          </rPr>
          <t>alfonso:</t>
        </r>
        <r>
          <rPr>
            <sz val="8"/>
            <color indexed="81"/>
            <rFont val="Tahoma"/>
            <family val="2"/>
          </rPr>
          <t xml:space="preserve">
234,08€ Cargo IVA</t>
        </r>
      </text>
    </comment>
    <comment ref="AA23" authorId="4" shapeId="0" xr:uid="{214A908D-8F54-4194-90D4-10CA0772C310}">
      <text>
        <r>
          <rPr>
            <sz val="9"/>
            <color indexed="81"/>
            <rFont val="Tahoma"/>
            <family val="2"/>
          </rPr>
          <t>205,85 iva NOVIEMBRE
IVA ejercicio 2019,periodo 3:
1274,70+19,12 intereses demora= 1293,82 E
3007,48 devolución IVA
1133,47 devolución IVA</t>
        </r>
      </text>
    </comment>
    <comment ref="AF23" authorId="3" shapeId="0" xr:uid="{BE234C70-4C65-47CB-9CD7-D512921429B3}">
      <text>
        <r>
          <rPr>
            <b/>
            <sz val="9"/>
            <color indexed="81"/>
            <rFont val="Tahoma"/>
            <family val="2"/>
          </rPr>
          <t>alfonso:</t>
        </r>
        <r>
          <rPr>
            <sz val="9"/>
            <color indexed="81"/>
            <rFont val="Tahoma"/>
            <family val="2"/>
          </rPr>
          <t xml:space="preserve">
IVA enero a devolver confirmado por Sinver 1757,82
Abonado: 01/04/20
</t>
        </r>
      </text>
    </comment>
    <comment ref="AG23" authorId="3" shapeId="0" xr:uid="{E500D22D-702F-4B7B-A04A-E086EF63181D}">
      <text>
        <r>
          <rPr>
            <b/>
            <sz val="9"/>
            <color indexed="81"/>
            <rFont val="Tahoma"/>
            <family val="2"/>
          </rPr>
          <t>alfonso:</t>
        </r>
        <r>
          <rPr>
            <sz val="9"/>
            <color indexed="81"/>
            <rFont val="Tahoma"/>
            <family val="2"/>
          </rPr>
          <t xml:space="preserve">
IVA febrero a devolver confirmado por Sinver 6799,75 
Abonado: 14/05/20
</t>
        </r>
        <r>
          <rPr>
            <b/>
            <sz val="9"/>
            <color indexed="81"/>
            <rFont val="Tahoma"/>
            <family val="2"/>
          </rPr>
          <t xml:space="preserve">alfonso:
</t>
        </r>
        <r>
          <rPr>
            <sz val="9"/>
            <color indexed="81"/>
            <rFont val="Tahoma"/>
            <family val="2"/>
          </rPr>
          <t xml:space="preserve">IVA marzo a devolver confirmado por Sinver 2599,73 
Abonado: 14/05/20
</t>
        </r>
        <r>
          <rPr>
            <sz val="9"/>
            <color indexed="81"/>
            <rFont val="Tahoma"/>
            <family val="2"/>
          </rPr>
          <t>Movido aquí de abril por el caso especial COVID-19. a pagar el 20/5
Cargado: 20/05/20</t>
        </r>
      </text>
    </comment>
    <comment ref="AH23" authorId="3" shapeId="0" xr:uid="{CFE3D342-1299-44EB-A417-0F99C62C9029}">
      <text>
        <r>
          <rPr>
            <b/>
            <sz val="9"/>
            <color indexed="81"/>
            <rFont val="Tahoma"/>
            <family val="2"/>
          </rPr>
          <t xml:space="preserve">rosa:
</t>
        </r>
        <r>
          <rPr>
            <sz val="9"/>
            <color indexed="81"/>
            <rFont val="Tahoma"/>
            <family val="2"/>
          </rPr>
          <t xml:space="preserve">IVA mayo a devolver 149,04 
Abonado: 07/06/20
</t>
        </r>
      </text>
    </comment>
    <comment ref="AI23" authorId="3" shapeId="0" xr:uid="{B5469339-283D-4976-B819-3AE771E1E2DA}">
      <text>
        <r>
          <rPr>
            <b/>
            <sz val="9"/>
            <color indexed="81"/>
            <rFont val="Tahoma"/>
            <family val="2"/>
          </rPr>
          <t>alfonso:</t>
        </r>
        <r>
          <rPr>
            <sz val="9"/>
            <color indexed="81"/>
            <rFont val="Tahoma"/>
            <family val="2"/>
          </rPr>
          <t xml:space="preserve">
IVA jun io confirmado por Sinver 5532,53 
Devolución IVA
2503,41 E</t>
        </r>
      </text>
    </comment>
    <comment ref="AL23" authorId="0" shapeId="0" xr:uid="{0CD2F3EB-50C3-4E30-B0FD-21C34FA50BEB}">
      <text>
        <r>
          <rPr>
            <b/>
            <sz val="9"/>
            <color indexed="81"/>
            <rFont val="Tahoma"/>
            <family val="2"/>
          </rPr>
          <t>rosa:</t>
        </r>
        <r>
          <rPr>
            <sz val="9"/>
            <color indexed="81"/>
            <rFont val="Tahoma"/>
            <family val="2"/>
          </rPr>
          <t xml:space="preserve">
Devolución IVA mayo
2820,73 E</t>
        </r>
      </text>
    </comment>
    <comment ref="AM23" authorId="3" shapeId="0" xr:uid="{CB08B3E5-CEB6-4DA7-9C25-1D163D87F972}">
      <text>
        <r>
          <rPr>
            <b/>
            <sz val="9"/>
            <color indexed="81"/>
            <rFont val="Tahoma"/>
            <family val="2"/>
          </rPr>
          <t>rosa:</t>
        </r>
        <r>
          <rPr>
            <sz val="9"/>
            <color indexed="81"/>
            <rFont val="Tahoma"/>
            <family val="2"/>
          </rPr>
          <t xml:space="preserve">
IVA septiembre confirmado por Sinver 10.560,38 E
Repercutido=30.059,14€ (Realmt pertenece a Tradeind: 30.059,14€) 
Soportado=19.498,76€ (Realmt pertenece a Tradeind: 17.045,47€)</t>
        </r>
      </text>
    </comment>
    <comment ref="AN23" authorId="0" shapeId="0" xr:uid="{CD2FAA48-CCF2-414F-BB40-E625616B7D63}">
      <text>
        <r>
          <rPr>
            <b/>
            <sz val="9"/>
            <color indexed="81"/>
            <rFont val="Tahoma"/>
            <family val="2"/>
          </rPr>
          <t>rosa:</t>
        </r>
        <r>
          <rPr>
            <sz val="9"/>
            <color indexed="81"/>
            <rFont val="Tahoma"/>
            <family val="2"/>
          </rPr>
          <t xml:space="preserve">
Devolución IVA julio
2793,64 E</t>
        </r>
      </text>
    </comment>
    <comment ref="AO23" authorId="0" shapeId="0" xr:uid="{343DC63C-2116-4961-920E-EECFCCF67F40}">
      <text>
        <r>
          <rPr>
            <b/>
            <sz val="9"/>
            <color indexed="81"/>
            <rFont val="Tahoma"/>
            <family val="2"/>
          </rPr>
          <t>rosa:</t>
        </r>
        <r>
          <rPr>
            <sz val="9"/>
            <color indexed="81"/>
            <rFont val="Tahoma"/>
            <family val="2"/>
          </rPr>
          <t xml:space="preserve">
Devolución IVA agosto 2020
6970,42 E</t>
        </r>
      </text>
    </comment>
    <comment ref="AP23" authorId="0" shapeId="0" xr:uid="{2F31D5FA-AD5E-49F0-A3AB-FD0B31C49C9C}">
      <text>
        <r>
          <rPr>
            <b/>
            <sz val="9"/>
            <color indexed="81"/>
            <rFont val="Tahoma"/>
            <family val="2"/>
          </rPr>
          <t>rosa:</t>
        </r>
        <r>
          <rPr>
            <sz val="9"/>
            <color indexed="81"/>
            <rFont val="Tahoma"/>
            <family val="2"/>
          </rPr>
          <t xml:space="preserve">
Devolución IVA
2563,85 E (IVA octubre -IVA nov. A pagar)</t>
        </r>
      </text>
    </comment>
    <comment ref="AQ23" authorId="1" shapeId="0" xr:uid="{20C4B5C5-2592-45D8-8855-7896F58005A5}">
      <text>
        <r>
          <rPr>
            <sz val="9"/>
            <color indexed="81"/>
            <rFont val="Tahoma"/>
            <family val="2"/>
          </rPr>
          <t>IVA 4T 9098,27 E.
Nota: El IVA del 4T 2020 de Nixal es de 9098,27 E, cargan en Caixa Nixal el importe de 918,07 E por lo que realizamos transferencia de Caixa Nixal a Caja Rural Molino por 8180,20 E en marzo</t>
        </r>
      </text>
    </comment>
    <comment ref="AR23" authorId="0" shapeId="0" xr:uid="{3E9AAF84-0A27-4F0E-AC3F-1F65058AB2F2}">
      <text>
        <r>
          <rPr>
            <sz val="9"/>
            <color indexed="81"/>
            <rFont val="Tahoma"/>
            <family val="2"/>
          </rPr>
          <t>IVA 4T 9098,27 E.
Nota: El IVA del 4T 2020 de Nixal es de 9098,27 E, cargan en Caixa Nixal el importe de 918,07 E por lo que realizamos transferencia de Caixa Nixal a Caja Rural Molino por 8180,20 E en marzo
8180,20€: Transferencia de Caixa Nixal a Caja Rural Molino el 10/03/21</t>
        </r>
      </text>
    </comment>
    <comment ref="AT23" authorId="1" shapeId="0" xr:uid="{C1E89943-6CBC-4BD5-9CCB-3F7055646C4B}">
      <text>
        <r>
          <rPr>
            <b/>
            <sz val="9"/>
            <color indexed="81"/>
            <rFont val="Tahoma"/>
            <family val="2"/>
          </rPr>
          <t xml:space="preserve">IVA mes de abril Conjunto Nixal- Molino. </t>
        </r>
        <r>
          <rPr>
            <sz val="9"/>
            <color indexed="81"/>
            <rFont val="Tahoma"/>
            <family val="2"/>
          </rPr>
          <t xml:space="preserve">
2315,58 Eur: Cargado el 20/05/21.
IVA 04/2021 Nixal: 2368,30
IVA 04/2021 Molino: -52,72.
52,72€: Transferenia realizada el 28/05/21.
---------------------------------------------------
</t>
        </r>
      </text>
    </comment>
    <comment ref="AU23" authorId="1" shapeId="0" xr:uid="{7520881F-8B91-457A-9275-05F654CB7FC4}">
      <text>
        <r>
          <rPr>
            <sz val="9"/>
            <color indexed="81"/>
            <rFont val="Tahoma"/>
            <family val="2"/>
          </rPr>
          <t xml:space="preserve">-17.193,52 Eur: devolucion IVA enero y feb autoliquidación. 
Abonado el 05/06/21.
-------------------------------
2.754,41 Eur: </t>
        </r>
        <r>
          <rPr>
            <b/>
            <sz val="9"/>
            <color indexed="81"/>
            <rFont val="Tahoma"/>
            <family val="2"/>
          </rPr>
          <t>IVA mayo Conjunto.</t>
        </r>
        <r>
          <rPr>
            <sz val="9"/>
            <color indexed="81"/>
            <rFont val="Tahoma"/>
            <family val="2"/>
          </rPr>
          <t xml:space="preserve">
Conjunto Molino y Nixal. Pendiente separar lo que pertenece a cada uno. 
Cargado el 21/06/21.
---------------------------------
-282,76 Eur: devolucion IVA autoliquidación marzo. 
Abonado el 23/06/21.
</t>
        </r>
      </text>
    </comment>
    <comment ref="AV23" authorId="1" shapeId="0" xr:uid="{94B84B5A-CF3D-44BD-AD3B-B55DFA028504}">
      <text>
        <r>
          <rPr>
            <b/>
            <sz val="9"/>
            <color indexed="81"/>
            <rFont val="Tahoma"/>
            <family val="2"/>
          </rPr>
          <t xml:space="preserve">IVA MAYO Molino Nixal. 
</t>
        </r>
        <r>
          <rPr>
            <sz val="9"/>
            <color indexed="81"/>
            <rFont val="Tahoma"/>
            <family val="2"/>
          </rPr>
          <t xml:space="preserve">IVA Nixal: 11.901,1€ a pagar.
IVA Molino: -9.146,69 a devolver. 
9146,69€: Transferencia de Caixa Nixal a Caixa Molino realizada el 01/07/21
--------------------------------------------
</t>
        </r>
        <r>
          <rPr>
            <b/>
            <sz val="9"/>
            <color indexed="81"/>
            <rFont val="Tahoma"/>
            <family val="2"/>
          </rPr>
          <t>8.383,86 Eur: IVA Junio conjunto</t>
        </r>
        <r>
          <rPr>
            <sz val="9"/>
            <color indexed="81"/>
            <rFont val="Tahoma"/>
            <family val="2"/>
          </rPr>
          <t xml:space="preserve">
IVA NIXAL = 7.039,46
IVA MOLINO = 1.344,40.
Cargado el 20/07/21.</t>
        </r>
      </text>
    </comment>
    <comment ref="AW23" authorId="1" shapeId="0" xr:uid="{DCC36302-6296-472B-B6CA-1509E14E72A7}">
      <text>
        <r>
          <rPr>
            <sz val="9"/>
            <color indexed="81"/>
            <rFont val="Tahoma"/>
            <family val="2"/>
          </rPr>
          <t xml:space="preserve">- 1.344,40 Eur: </t>
        </r>
        <r>
          <rPr>
            <b/>
            <sz val="9"/>
            <color indexed="81"/>
            <rFont val="Tahoma"/>
            <family val="2"/>
          </rPr>
          <t>IVA MOLINO Junio</t>
        </r>
        <r>
          <rPr>
            <sz val="9"/>
            <color indexed="81"/>
            <rFont val="Tahoma"/>
            <family val="2"/>
          </rPr>
          <t xml:space="preserve"> 
Transferencia de compensacion de gastos realizada el 31/08/21. 
-----------------------------------------------------------
6.610,91 Eur: </t>
        </r>
        <r>
          <rPr>
            <b/>
            <sz val="9"/>
            <color indexed="81"/>
            <rFont val="Tahoma"/>
            <family val="2"/>
          </rPr>
          <t>IVA Julio conjunto</t>
        </r>
        <r>
          <rPr>
            <sz val="9"/>
            <color indexed="81"/>
            <rFont val="Tahoma"/>
            <family val="2"/>
          </rPr>
          <t xml:space="preserve">
IVA NIXAL = 7.259,73 a pagar.
IVA MOLINO = - 648,82 a devolver.
Cargado: 20/08/21. </t>
        </r>
        <r>
          <rPr>
            <b/>
            <sz val="9"/>
            <color indexed="81"/>
            <rFont val="Tahoma"/>
            <family val="2"/>
          </rPr>
          <t xml:space="preserve">
</t>
        </r>
        <r>
          <rPr>
            <sz val="9"/>
            <color indexed="81"/>
            <rFont val="Tahoma"/>
            <family val="2"/>
          </rPr>
          <t xml:space="preserve">----------------------------------------------
648,82 Eur: </t>
        </r>
        <r>
          <rPr>
            <b/>
            <sz val="9"/>
            <color indexed="81"/>
            <rFont val="Tahoma"/>
            <family val="2"/>
          </rPr>
          <t xml:space="preserve">IVA MOLINO Julio </t>
        </r>
        <r>
          <rPr>
            <sz val="9"/>
            <color indexed="81"/>
            <rFont val="Tahoma"/>
            <family val="2"/>
          </rPr>
          <t xml:space="preserve">
Transferencia de compensacion de gastos realizada el 31/08/21.</t>
        </r>
      </text>
    </comment>
    <comment ref="BB23" authorId="1" shapeId="0" xr:uid="{4BD01B80-813E-431D-ADBE-85FE543A190D}">
      <text>
        <r>
          <rPr>
            <sz val="9"/>
            <color indexed="81"/>
            <rFont val="Tahoma"/>
            <family val="2"/>
          </rPr>
          <t xml:space="preserve">-6806,60€: devolucion IVA agosto 2021 conjunto 
Abonado el 13/12/21.
3771,91€: Pertenece a Nixal
3034,69€: Pertenece a MDZ por lo que Nixal le debe a MDZ 3034,69€
-------------------------------
3034,69€: Pertenece a MDZ
Transferencia Caixa de compensacion de gastos por el total 4.793,42€ realizada el 28/12/21
</t>
        </r>
      </text>
    </comment>
    <comment ref="BC23" authorId="0" shapeId="0" xr:uid="{344147C3-7A18-4BE4-A22C-A53EB2E70AE3}">
      <text>
        <r>
          <rPr>
            <sz val="9"/>
            <color indexed="81"/>
            <rFont val="Tahoma"/>
            <family val="2"/>
          </rPr>
          <t xml:space="preserve">Pndte devolución IVA sept:
Según mayor, 
5030,09€-2625€=2405,09€
2405,09€: IVA sept conjunto
IVA NIXAL = 170,96€ a pagar.
IVA MOLINO = -2576,05€ a devolver.
Ingresado el 05/01/2022
----------------------------------------------
</t>
        </r>
      </text>
    </comment>
    <comment ref="BD23" authorId="0" shapeId="0" xr:uid="{9E325F53-9791-4863-80FF-D2A0878C4C1E}">
      <text>
        <r>
          <rPr>
            <sz val="9"/>
            <color indexed="81"/>
            <rFont val="Tahoma"/>
            <family val="2"/>
          </rPr>
          <t xml:space="preserve">4003,99€: Pndte devolución IVA Oct confirmado por Sinver:
Cuadra con el mayor: 5646,53€-1642,54€=4003,99€
-4003,99 Eur: IVA oct conjunto
IVA NIXAL =- 2761,20€ a devolver
IVA MOLINO = - 1242,79€ a devolver.
Ingresado en Caixa: 10/02/22
----------------------------------------------
-2576,05€ Eur: IVA MOLINO sept 21
Transferencia de compensacion de gastos por el total 4185,49€ realizada el 15/02/22
---------------------------------------------
-1242,79€ Eur: IVA MOLINO oct 21
Transferencia de compensacion de gastos por el total 4185,49€ realizada el 15/02/22
</t>
        </r>
      </text>
    </comment>
    <comment ref="BE23" authorId="0" shapeId="0" xr:uid="{577EF24A-70AC-4D35-ADEE-A5FE23FCD201}">
      <text>
        <r>
          <rPr>
            <sz val="9"/>
            <color indexed="81"/>
            <rFont val="Tahoma"/>
            <family val="2"/>
          </rPr>
          <t>-237,37€: Devolución IVA noviembre confirmado por Sinver
Cuadra con el mayor: 8720,55€-8483,18€=237,37€
-237,37 Eur: IVA nov conjunto
IVA NIXAL =- 45,56€ a devolver
IVA MOLINO = - 191,81€ a devolver.
Ingresado en Caixa: 10/03/22</t>
        </r>
      </text>
    </comment>
    <comment ref="BF23" authorId="0" shapeId="0" xr:uid="{12410F60-8A71-4577-965D-21CB1CA19854}">
      <text>
        <r>
          <rPr>
            <sz val="9"/>
            <color indexed="81"/>
            <rFont val="Tahoma"/>
            <family val="2"/>
          </rPr>
          <t>-4582,61€: Devolución IVA enero confirmado por Sinver
Cuadra con el mayor: 346,74€-4929,35€=4582,61€
-4582,61 Eur: IVA ene conjunto
IVA NIXAL =-2406,93€ a devolver
IVA MOLINO = -2175,68€ a devolver.
Abonado Caixa: 27/04/22</t>
        </r>
      </text>
    </comment>
    <comment ref="BG23" authorId="0" shapeId="0" xr:uid="{46356A5C-21D4-4916-AD79-005A69802C24}">
      <text>
        <r>
          <rPr>
            <sz val="9"/>
            <color indexed="81"/>
            <rFont val="Tahoma"/>
            <family val="2"/>
          </rPr>
          <t>-4611,52€: Devolución IVA febrero confirmado por Sinver
Cuadra con el mayor: 287,58€-4899,10€=-4611,52€
-4611,52 Eur: IVA feb conjunto
IVA NIXAL =-2668,77€ a devolver
IVA MOLINO = -1942,75€ a devolver.
4611,52€: Abonado en Caixa: 13/05/22
--------------------------------------------
191,81€: IVA MOLINO nov 21
2175,68€ Eur: IVA MOLINO ene 22
1942,75€ Eur: IVA MOLINO feb 22
4310,24€: Transferencia Caixa de compensacion de gastos por el total 7370,14€ realizada el 24/05/22</t>
        </r>
      </text>
    </comment>
    <comment ref="BH23" authorId="0" shapeId="0" xr:uid="{18B706BD-AF71-4F2F-A7EC-C181F257FAE4}">
      <text>
        <r>
          <rPr>
            <sz val="9"/>
            <color indexed="81"/>
            <rFont val="Tahoma"/>
            <family val="2"/>
          </rPr>
          <t>-103,60€: Devolución IVA marzo confirmado por Sinver
Cuadra con el mayor: -2516,67€+2413,07€=-103,60€
-103,60 Eur: IVA marz conjunto
IVA NIXAL =-2516,67€ a devolver
IVA MOLINO = 2413,07€ a pagar.
103,60€: Pndte abono en Caixa
Abonado Caixa: 21/06/22</t>
        </r>
      </text>
    </comment>
    <comment ref="BJ23" authorId="0" shapeId="0" xr:uid="{463999B5-E72E-4D53-9237-979A38CB33D9}">
      <text>
        <r>
          <rPr>
            <sz val="9"/>
            <color indexed="81"/>
            <rFont val="Tahoma"/>
            <family val="2"/>
          </rPr>
          <t xml:space="preserve">2413,07€: Devolución IVA </t>
        </r>
        <r>
          <rPr>
            <b/>
            <sz val="9"/>
            <color indexed="81"/>
            <rFont val="Tahoma"/>
            <family val="2"/>
          </rPr>
          <t>MARZO</t>
        </r>
        <r>
          <rPr>
            <sz val="9"/>
            <color indexed="81"/>
            <rFont val="Tahoma"/>
            <family val="2"/>
          </rPr>
          <t xml:space="preserve"> de Molino. 
2.413,07€: Transferencia Caixa de compensacion de gastos por el total 71,62€ realizada el 31/08/22.
</t>
        </r>
      </text>
    </comment>
    <comment ref="BL23" authorId="0" shapeId="0" xr:uid="{6BF32369-E2A0-4086-A349-647FF0F48155}">
      <text>
        <r>
          <rPr>
            <sz val="9"/>
            <color indexed="81"/>
            <rFont val="Tahoma"/>
            <family val="2"/>
          </rPr>
          <t xml:space="preserve">-9203,26€: Devolución IVA  </t>
        </r>
        <r>
          <rPr>
            <b/>
            <sz val="9"/>
            <color indexed="81"/>
            <rFont val="Tahoma"/>
            <family val="2"/>
          </rPr>
          <t>ABRIL</t>
        </r>
        <r>
          <rPr>
            <sz val="9"/>
            <color indexed="81"/>
            <rFont val="Tahoma"/>
            <family val="2"/>
          </rPr>
          <t xml:space="preserve"> confirmado por Sinver
Cuadra con el mayor: 
-13718,26€+4515€=--9203,26€
-9203,26 Eur: IVA abr conjunto
IVA NIXAL =-4425,05€ a devolver
IVA MOLINO = -4778,21€ a devolver.
9203,26€ Abonado en caixa el 02/09/22.
-------------------------------------------
-13942,94€: Devolución IVA </t>
        </r>
        <r>
          <rPr>
            <b/>
            <sz val="9"/>
            <color indexed="81"/>
            <rFont val="Tahoma"/>
            <family val="2"/>
          </rPr>
          <t xml:space="preserve">MAYO </t>
        </r>
        <r>
          <rPr>
            <sz val="9"/>
            <color indexed="81"/>
            <rFont val="Tahoma"/>
            <family val="2"/>
          </rPr>
          <t>confirmado por Sinver
Cuadra con el mayor: 
-13981,16€+38,22€=--13942,94€
-13942,94 Eur: IVA mayo conjunto
IVA NIXAL =-10275,41€ a devolver
IVA MOLINO = -3667,53€ a devolver.
13942,94€: Pndte abono en Caixa
Abonado Caixa: 08/09/22
------------------------------------------------
-12337,68€: Devolución IVA JUNIO confirmado por Sinver
Cuadra con el mayor: 
-21741,32€+9403,64€=-12337,68€
-12337,68 Eur: IVA junio conjunto
IVA NIXAL =-9909,41€ a devolver
IVA MOLINO = -2428,27€ a devolver.
12337,68€: Pndte abono en Caixa
Abonado Caixa: 16/09/22</t>
        </r>
      </text>
    </comment>
    <comment ref="BN23" authorId="0" shapeId="0" xr:uid="{E7A0970F-BA68-44BB-939F-4FCE5C47EA80}">
      <text>
        <r>
          <rPr>
            <sz val="9"/>
            <color indexed="81"/>
            <rFont val="Tahoma"/>
            <family val="2"/>
          </rPr>
          <t>4778,21€: IVA MOLINO Abril 22
Pndte realizar transferencia 
3667,53€: IVA MOLINO Mayo 22
Pndte realizar transferencia 
2428,27€: IVA MOLINO Junio 22
Pndte realizar transferencia 
10874,01€: Transferencia Caixa de compensacion de gastos por el total 7106,56€ realizada el 04/11/22
----------------------------------------------
-11946€: Devolución IVA DICIEMBRE 21 confirmado por Sinver
Cuadra con el mayor: 
1344,59€-13290,59€=-11946€
-11946 Eur: IVA dic conjunto
IVA NIXAL =- 4717,89€ a devolver
IVA MOLINO = -7228,11€ a devolver.
05/07/22: Comunicado por SINVER que no pueden justificar el importe de 4293€ de IVA de MDZ
-7312,80€: Devolución IVA diciembre sin incliur ese IVA de MDZ
IVA NIXAL =- 4377,69€ a devolver
IVA MOLINO = -2935,11€ a devolver.
-60,11€: Intereses (Pdte comunicado Sinver)
Pndte ingreso en Caixa
-7372,91€: Ingresado en Caixa: 08/11/22
------------------------------------------------------
-9.926,25€: Devolución IVA JULIO confirmado por Sinver
Cuadra con el mayor: 
52,43-9.978,68=-9.926,25€
IVA NIXAL =-3.774,00€ a devolver
IVA MOLINO = -6.152,25€ a devolver.
-9.926,25€: Pndte abono en Caixa
Abonado en Caixa: 19/11/22
--------------------------------------------
-10.125,68€: Devolución IVA AGOSTO confirmado por Sinver
IVA NIXAL =-3.170,80€ a devolver
IVA MOLINO = -6.954,88€ a devolver.
-10.125,68€: Abonado el 25/11/22.</t>
        </r>
      </text>
    </comment>
    <comment ref="BO23" authorId="0" shapeId="0" xr:uid="{4410E208-48BE-4F6B-8C4D-1ADCAD80C9F8}">
      <text>
        <r>
          <rPr>
            <sz val="9"/>
            <color indexed="81"/>
            <rFont val="Tahoma"/>
            <family val="2"/>
          </rPr>
          <t>-11.339,06€: Devolución IVA Septiembre confirmado por Sinver
IVA NIXAL =-5002,89€ a devolver
IVA MOLINO = -6336,17€ a devolver.
-11.339,06€: Pndte abono en Caixa
Abonado en Caixa el 14/12/22.
----------------------------------------------
2935,11€: IVA MOLINO dic 21
Pndte realizar transferencia 
---------------------------------------------
6.152,25€: IVA MOLINO Julio 22
Pndte realizar transferencia 
---------------------------------------------
6954,88€: IVA MOLINO Agosto 22
Pndte realizar transferencia 
--------------------------------------
6336,17€: IVA MOLINO Septiembre 22
Pndte realizar transferencia 
--------------------------------------
22378,41€: Transferencia Caixa de compensacion de gastos por el total 24291,85€ realizada el 21/12/22.</t>
        </r>
      </text>
    </comment>
    <comment ref="BP23" authorId="0" shapeId="0" xr:uid="{3E960DE8-D130-4B68-8696-4ACE8FDD391D}">
      <text>
        <r>
          <rPr>
            <sz val="9"/>
            <color indexed="81"/>
            <rFont val="Tahoma"/>
            <family val="2"/>
          </rPr>
          <t>-9497,58€: Devolución IVA Noviembre confirmado por Sinver
IVA NIXAL =-5.791,22€ a devolver
IVA MOLINO = -3.706,36€ a devolver.
-9.497,58€: Pndte abono en Caixa
Abonado Caixa: 17/01/23</t>
        </r>
      </text>
    </comment>
    <comment ref="BQ23" authorId="0" shapeId="0" xr:uid="{E4CA4ED8-0375-4976-89B6-21E79E7817FF}">
      <text>
        <r>
          <rPr>
            <sz val="9"/>
            <color indexed="81"/>
            <rFont val="Tahoma"/>
            <family val="2"/>
          </rPr>
          <t>-14.834,80€: Devolución IVA Octubre confirmado por Sinver
IVA NIXAL =-11.980,17€ a devolver
IVA MOLINO = -2.854,63€ a devolver.
-14.834,80€: Pndte abono en Caixa
Abonado Caixa: 15/02/23
-----------------------------------------
3706,36€: IVA MOLINO Noviembre 22
Pndte realizar transferencia 
--------------------------------------
2.854,63€: IVA MOLINO Octubre 22
Pndte realizar transferencia 
----------------------------
6560,99€: Transferencia Caixa de compensacion de gastos por el total 6345,37€ realizada el 23/02/23.</t>
        </r>
      </text>
    </comment>
    <comment ref="BR23" authorId="0" shapeId="0" xr:uid="{A893B63B-A16C-4258-83D5-7873D10EA80F}">
      <text>
        <r>
          <rPr>
            <sz val="9"/>
            <color indexed="81"/>
            <rFont val="Tahoma"/>
            <family val="2"/>
          </rPr>
          <t xml:space="preserve">-15.472,99€: Devolución IVA Diciembre confirmado por Sinver
IVA NIXAL =-6.513,32€ a devolver
IVA MOLINO = -8.959,67€ a devolver.
-15.472,99€: Pndte abono en Caixa
Abonado Caixa: 09/03/23
</t>
        </r>
      </text>
    </comment>
    <comment ref="BT23" authorId="0" shapeId="0" xr:uid="{41D9C0C3-F3E8-4CD2-A21E-065E0CB744C7}">
      <text>
        <r>
          <rPr>
            <sz val="9"/>
            <color indexed="81"/>
            <rFont val="Tahoma"/>
            <family val="2"/>
          </rPr>
          <t xml:space="preserve">-19.049,98€: Devolución IVA Enero confirmado por Sinver aunque realmente ingresan 167,66€ menos (preguntado a Sinver)
IVA NIXAL =-9669,82€ a devolver
IVA MOLINO = -9212,50€ a devolver.
-18.882,32€: Abonado en Caixa: 24/05/23
</t>
        </r>
      </text>
    </comment>
    <comment ref="BU23" authorId="0" shapeId="0" xr:uid="{EF015CF1-0742-45B6-A33C-0171F0B8A997}">
      <text>
        <r>
          <rPr>
            <sz val="9"/>
            <color indexed="81"/>
            <rFont val="Tahoma"/>
            <family val="2"/>
          </rPr>
          <t xml:space="preserve">-5113,31€: Devolución IVA Febrero confirmado por Sinver
IVA NIXAL =-4.505,59€ a devolver
IVA MOLINO = -607,72€ a devolver.
-5113,31€: Pndte abono en Caixa
Abonado Caixa: 01/06/23
---------------------------------
-34410,49€: Devolución IVA Marzo confirmado por Sinver
IVA NIXAL =-18007,01€ a devolver
IVA MOLINO = -16403,48€ a devolver.
-34410,49€: Pndte abono en Caixa
Compensan el IS con la devolución de este IVA 
-4295,63€: Abonado Caixa: 23/06/23
</t>
        </r>
      </text>
    </comment>
    <comment ref="BV23" authorId="0" shapeId="0" xr:uid="{B8FFE667-0941-4B38-9C88-2DC1CB546AFF}">
      <text>
        <r>
          <rPr>
            <sz val="9"/>
            <color indexed="81"/>
            <rFont val="Tahoma"/>
            <family val="2"/>
          </rPr>
          <t>-5799,90€: Devolución IVA Abril confirmado por Sinver
IVA NIXAL =-2.811,16€ a devolver
IVA MOLINO = -2.988,74€ a devolver.
-5799,90€: Pndte abono en Caixa
Abonado Caixa: 26/07/23
-----------------------------------------
8.959,67€: IVA MOLINO Diciembre 22
Pndte realizar transferencia 
--------------------------------------
9.212,50€: IVA MOLINO Enero 23
Pndte realizar transferencia 
-----------------------------------------
607,72€: IVA MOLINO Febrero 23
Pndte realizar transferencia 
----------------------------------------
2988,74€: IVA MOLINO Abril 23
Pndte realizar transferencia 
----------------------------------------
21.768,63€: Transferencia Caixa de compensacion de gastos por el total 23.322,22€ desglosado en:  
5.000€: Cargado en Caixa el 14/07/23.
3.000€: Cargado en Caixa el 19/07/23.
6.000€: Cargado en Caixa el 19/07/23
9.322,22€: Cargado en Caixa el 26/07/23</t>
        </r>
      </text>
    </comment>
    <comment ref="BW23" authorId="0" shapeId="0" xr:uid="{CA8FE95F-0A23-404B-86B3-18A30DB88639}">
      <text>
        <r>
          <rPr>
            <sz val="9"/>
            <color indexed="81"/>
            <rFont val="Tahoma"/>
            <family val="2"/>
          </rPr>
          <t>-31631,49€: Devolución IVA Mayo confirmado por Sinver
IVA NIXAL =-10.109,18€ a devolver
IVA MOLINO = -21.522,31€ a devolver.
-31.631,49€: Pndte abono en Caixa
Abonado: 26/08/23.
------------------------------------
16403,48€: IVA MOLINO Marzo 23
16.403,48€: Compensacion de gastos por el total 18.830,46€ desglosado en:
1.000€: prestamo nixal el 16/08/23.
8.930€: Prestamo nixal-molino el 25/08/23.
3.000€: Prestamo nixal-molino el 25/08/23.
5.900,46€: Prestamo nixal-molino el 29/08/23 por el total 6.000€.
--------------------------------------</t>
        </r>
      </text>
    </comment>
    <comment ref="BZ23" authorId="0" shapeId="0" xr:uid="{4B03C5E3-BD7B-464D-9959-F954F7382C02}">
      <text>
        <r>
          <rPr>
            <sz val="9"/>
            <color indexed="81"/>
            <rFont val="Tahoma"/>
            <family val="2"/>
          </rPr>
          <t xml:space="preserve">-10.540,54€: Devolución IVA Junio confirmado por Sinver
IVA NIXAL =-4.847,57€ a devolver
IVA MOLINO = -5.692,97€ a devolver.
-10.540,54€: Pndte abono en Caixa
Abonado Caixa: 11/10/23
</t>
        </r>
      </text>
    </comment>
    <comment ref="CA23" authorId="0" shapeId="0" xr:uid="{A567E9A5-89C5-47C7-88E9-342806AA0FE1}">
      <text>
        <r>
          <rPr>
            <sz val="9"/>
            <color indexed="81"/>
            <rFont val="Tahoma"/>
            <family val="2"/>
          </rPr>
          <t>-5.016,39€: Devolución IVA Julio confirmado por Sinver
IVA NIXAL =-2.791,34€ a devolver
IVA MOLINO = -2.225,05€ a devolver.
-5.016,39€: Pndte abono en Caixa
Abonado Caixa: 07/11/23
----------------------------------------
-4.659,34€: Devolución IVA Agosto confirmado por Sinver
+61,33€: IVA fra Comercial Guiralsa a nombre de Alf
-4.598,01€: Pndte abono en Caixa
Abonado Caixa: 25/11/23</t>
        </r>
      </text>
    </comment>
    <comment ref="CB23" authorId="0" shapeId="0" xr:uid="{91A5A6F5-D506-492B-9E4A-3EBEA08CE4E6}">
      <text>
        <r>
          <rPr>
            <sz val="9"/>
            <color indexed="81"/>
            <rFont val="Tahoma"/>
            <family val="2"/>
          </rPr>
          <t>-3.628,38 E: Devolución IVA Septiembre confirmado por Sinver
-3.628,38 E: Pndte abono en Caixa
Abonado en Caixa: 16/12/23</t>
        </r>
      </text>
    </comment>
    <comment ref="CC23" authorId="0" shapeId="0" xr:uid="{7D9DBCC2-9858-4ED2-9661-8688A184604A}">
      <text>
        <r>
          <rPr>
            <sz val="9"/>
            <color indexed="81"/>
            <rFont val="Tahoma"/>
            <family val="2"/>
          </rPr>
          <t>-8.805,44€: Devolución IVA Octubre confirmado por Sinver
-8.805,44€: Pndte abono en Caixa
Abonado Caixa: 06/01/24</t>
        </r>
      </text>
    </comment>
    <comment ref="CE23" authorId="0" shapeId="0" xr:uid="{8F9F5428-1585-4A2A-B9BA-ECC1B76E6B3E}">
      <text>
        <r>
          <rPr>
            <sz val="9"/>
            <color indexed="81"/>
            <rFont val="Tahoma"/>
            <family val="2"/>
          </rPr>
          <t>-5.831,05€: Devolución IVA Noviembre confirmado por Sinver
-5.831,05€: Pndte abono en Caixa
Abonado Caixa: 07/03/24</t>
        </r>
      </text>
    </comment>
    <comment ref="CF23" authorId="0" shapeId="0" xr:uid="{04E653F2-7D40-49A4-94EA-5ECF883492C9}">
      <text>
        <r>
          <rPr>
            <sz val="9"/>
            <color indexed="81"/>
            <rFont val="Tahoma"/>
            <family val="2"/>
          </rPr>
          <t>-4.256,50€: Devolución IVA Diciembre confirmado por Sinver
-4.256,50€: Pndte abono en Caixa
Abonado Caixa: 13/04/24</t>
        </r>
      </text>
    </comment>
    <comment ref="CG23" authorId="0" shapeId="0" xr:uid="{23F9588E-775B-4B81-8BAF-073183371FE5}">
      <text>
        <r>
          <rPr>
            <sz val="9"/>
            <color indexed="81"/>
            <rFont val="Tahoma"/>
            <family val="2"/>
          </rPr>
          <t>-7.846,44€: Devolución IVA Enero confirmado por Sinver
-7.846,44€: Pndte abono en Caixa
Abonado Caixa: 14/05/24
---------------------------------------------4.243,13€: Devolución IVA Febrero confirmado por Sinver
-4.243,13€: Pndte abono en Caixa
Abonado Caixa: 29/05/24</t>
        </r>
      </text>
    </comment>
    <comment ref="CI23" authorId="0" shapeId="0" xr:uid="{1AA0F847-DD45-4E96-8F66-DBB08A28869C}">
      <text>
        <r>
          <rPr>
            <sz val="9"/>
            <color indexed="81"/>
            <rFont val="Tahoma"/>
            <family val="2"/>
          </rPr>
          <t>2.466,72€: Devolución IVA Marzo confirmado por Sinver
-2.466,72€: Pndte abono en Caixa
Abonado Caixa: 19/07/24</t>
        </r>
      </text>
    </comment>
    <comment ref="CJ23" authorId="0" shapeId="0" xr:uid="{0BA81C09-F773-412E-A638-8DB07CE69D1A}">
      <text>
        <r>
          <rPr>
            <sz val="9"/>
            <color indexed="81"/>
            <rFont val="Tahoma"/>
            <family val="2"/>
          </rPr>
          <t>-7.922,52€: Devolución IVA Abril confirmado por Sinver
-7.922,52€: Pndte abono en Caixa
Abonado: 01/08/24
----------------------------------
-7.004,21€: Devolución IVA Mayo confirmado por Sinver
-7.004,21€: Pndte abono en Caixa
Abonado: 30/08/24</t>
        </r>
      </text>
    </comment>
    <comment ref="CM23" authorId="0" shapeId="0" xr:uid="{7FFED03C-FA5A-4C5D-B32D-1376BBE6A9B0}">
      <text>
        <r>
          <rPr>
            <sz val="9"/>
            <color indexed="81"/>
            <rFont val="Tahoma"/>
            <family val="2"/>
          </rPr>
          <t>-7.036,27€: Devolución IVA Junio confirmado por Sinver
-7.036,27€: Pndte abono en Caixa
Abonado Caixa: 04/10/24</t>
        </r>
      </text>
    </comment>
    <comment ref="CN23" authorId="0" shapeId="0" xr:uid="{B634D55B-6267-4B1F-B4F5-19B584B448E1}">
      <text>
        <r>
          <rPr>
            <sz val="9"/>
            <color indexed="81"/>
            <rFont val="Tahoma"/>
            <family val="2"/>
          </rPr>
          <t>-4.539,57€: Devolución IVA Julio confirmado por Sinver
-4.539,57€: Pndte abono en Caixa
Abonado Caixa: 20/11/24</t>
        </r>
      </text>
    </comment>
    <comment ref="CP23" authorId="0" shapeId="0" xr:uid="{AA03E9C4-28FE-4F38-8C46-0A535F2AF42F}">
      <text>
        <r>
          <rPr>
            <sz val="9"/>
            <color indexed="81"/>
            <rFont val="Tahoma"/>
            <family val="2"/>
          </rPr>
          <t>-2.766,76€: Devolución IVA Agosto confirmado por Sinver
-2.766,76€: Pndte abono en Caixa
Abonado Caixa: 22/01/25
-----------------------------------------
-4.000,76€: Devolución IVA Septiembre confirmado por Sinver
-4.000,76€: Pndte abono en Caixa
Abonado Caixa: 22/01/25</t>
        </r>
      </text>
    </comment>
    <comment ref="CQ23" authorId="0" shapeId="0" xr:uid="{6273BC23-8D34-40E5-BD6C-5B2EC2F06889}">
      <text>
        <r>
          <rPr>
            <sz val="9"/>
            <color indexed="81"/>
            <rFont val="Tahoma"/>
            <family val="2"/>
          </rPr>
          <t>-4.442,34€: Devolución IVA Octubre confirmado por Sinver
-4.442,34€: Pndte abono en Caixa
Abonado Caixa: 12/02/25</t>
        </r>
      </text>
    </comment>
    <comment ref="CR23" authorId="0" shapeId="0" xr:uid="{293E6F3E-97AB-4A7E-86AD-A7D7CB84654F}">
      <text>
        <r>
          <rPr>
            <sz val="9"/>
            <color indexed="81"/>
            <rFont val="Tahoma"/>
            <family val="2"/>
          </rPr>
          <t>-3.270,38€: Devolución IVA Noviembre confirmado por Sinver
-3.270,38€: Pndte abono en Caixa
Abonado Caixa: 18/03/25</t>
        </r>
      </text>
    </comment>
    <comment ref="CS23" authorId="0" shapeId="0" xr:uid="{E4E8D1FC-6947-4CA4-98FE-F39A6FA9A3CD}">
      <text>
        <r>
          <rPr>
            <sz val="9"/>
            <color indexed="81"/>
            <rFont val="Tahoma"/>
            <family val="2"/>
          </rPr>
          <t>-4.671,31€: Devolución IVA Diciembre confirmado por Sinver
-4.671,31€: Pndte abono en Caixa
Abonado Caixa: 08/04/25</t>
        </r>
      </text>
    </comment>
    <comment ref="CT23" authorId="0" shapeId="0" xr:uid="{00DA03A7-2F34-4835-BCFE-E0651C25B972}">
      <text>
        <r>
          <rPr>
            <sz val="9"/>
            <color indexed="81"/>
            <rFont val="Tahoma"/>
            <family val="2"/>
          </rPr>
          <t>-15.000,32€: Devolución IVA Enero confirmado por Sinver
-15.000,32€: Pndte abono en Caixa
Abonado Caixa: 01/05/25
------------------------------------
-18.376,33€: Devolución IVA Febrero confirmado por Sinver
-18.376,33€: Pndte abono en Caixa
Abonado Caixa: 30/05/25</t>
        </r>
      </text>
    </comment>
    <comment ref="CW23" authorId="0" shapeId="0" xr:uid="{88C3FD5E-AFCF-4C57-82F2-5D8DAA9ECFD3}">
      <text>
        <r>
          <rPr>
            <sz val="9"/>
            <color indexed="81"/>
            <rFont val="Tahoma"/>
            <family val="2"/>
          </rPr>
          <t>-17.549,40€: Devolución IVA Abril confirmado por Sinver
-17.549,40€: Pndte abono en Cta BBVA crédito
Abonado Cta Crédito BBVA: 01/08/25
------------------------------------------
4.735,67€: Cargo IVA Julio confirmado por Sinver
4.735,67€: Cargado Caixa: 20/08/25</t>
        </r>
      </text>
    </comment>
    <comment ref="CY23" authorId="0" shapeId="0" xr:uid="{1FEDAD91-C32F-4F37-A235-2CCCC2564650}">
      <text>
        <r>
          <rPr>
            <sz val="9"/>
            <color indexed="81"/>
            <rFont val="Tahoma"/>
            <family val="2"/>
          </rPr>
          <t>-5.460,77: Devolución IVA Junio confirmado por Sinver
-5.460,77€: Pndte abono en Cta Caixa
Abonado Caixa: 20/09/25
---------------------------------
2.599,97€: Cargo IVA Agosto confirmado por Sinver
24/09/25: No aparecen los cargos en cta, el 25/09 Sinver los presenta de nuevo
2.599,97€: Cargado Caixa: 25/09/25
----------------------------------------</t>
        </r>
      </text>
    </comment>
    <comment ref="DA23" authorId="0" shapeId="0" xr:uid="{46649EA2-5B6B-43AA-87C1-A314ADB2BC33}">
      <text>
        <r>
          <rPr>
            <sz val="9"/>
            <color indexed="81"/>
            <rFont val="Tahoma"/>
            <family val="2"/>
          </rPr>
          <t>20.244,14€: Cargo IVA Octubre confirmado por Sinver
20.244,14€: Cargado Cta Crédito BBVA: 20/11/25</t>
        </r>
      </text>
    </comment>
    <comment ref="DB23" authorId="0" shapeId="0" xr:uid="{7EAAFE0B-E0EF-4ADC-840F-7B249E5C8EF6}">
      <text>
        <r>
          <rPr>
            <sz val="9"/>
            <color indexed="81"/>
            <rFont val="Tahoma"/>
            <family val="2"/>
          </rPr>
          <t>-3.243,37: Devolución IVA Septiembre confirmado por Sinver
-3.243,37€: Abonado en Cta Crédito BBVA: 05/12/25
---------------------------------
-5.811,94€: Devolución IVA Marzo confirmado por Sinver
-5.811,94€+27,82€ intereses= 5.839,76€: Abonado en Cta BBVA crédito el 23/12/25
---------------------------------------</t>
        </r>
      </text>
    </comment>
    <comment ref="DD23" authorId="0" shapeId="0" xr:uid="{DDB28044-4916-4A01-90FE-19213C662FB5}">
      <text>
        <r>
          <rPr>
            <sz val="9"/>
            <color indexed="81"/>
            <rFont val="Tahoma"/>
            <family val="2"/>
          </rPr>
          <t>-2.853,75€: Devolución IVA Noviembre confirmado por Sinver
-2.853,75€: Pndte abono en Cta BBVA crédito
Abonado: 02/02/26</t>
        </r>
      </text>
    </comment>
    <comment ref="DE23" authorId="0" shapeId="0" xr:uid="{7F771976-5775-40AD-AD36-24878ED3BF3A}">
      <text>
        <r>
          <rPr>
            <sz val="9"/>
            <color indexed="81"/>
            <rFont val="Tahoma"/>
            <family val="2"/>
          </rPr>
          <t xml:space="preserve">-7.997,65€: Devolución IVA Mayo confirmado por Sinver
-7.997,65€-56,97€ intereses=          -8.054,62€: Abonado en Cta BBVA crédito el 06/03/26
---------------------------------------
</t>
        </r>
      </text>
    </comment>
    <comment ref="DG23" authorId="0" shapeId="0" xr:uid="{56B5A637-C536-48AF-BE89-E77D6728D6C9}">
      <text>
        <r>
          <rPr>
            <sz val="9"/>
            <color indexed="81"/>
            <rFont val="Tahoma"/>
            <family val="2"/>
          </rPr>
          <t xml:space="preserve">-5.168,87€: Devolución IVA Enero confirmado por Sinver
5.168,87€: Abonado en Cta BBVA crédito el 04/05/26
-----------------------------------
-4.216,89€: Devolución IVA Febrero confirmado por Sinver
4.216,89€: Abonado en Cta BBVA crédito el 29/05/26
</t>
        </r>
      </text>
    </comment>
    <comment ref="DH23" authorId="0" shapeId="0" xr:uid="{E80C75CE-CE01-49E5-810D-315FF9D6CE20}">
      <text>
        <r>
          <rPr>
            <sz val="9"/>
            <color indexed="81"/>
            <rFont val="Tahoma"/>
            <family val="2"/>
          </rPr>
          <t>-5.180,25€: Devolución IVA Diciembre confirmado por Sinver
5.180,25€: Abonado en Cta Caixa: 05/06/26
----------------------------------------
8.274,86€: Cargo IVA Mayo confirmado por Sinver
8.274,86€: Lo Cargan Caixa: 20/06/26</t>
        </r>
      </text>
    </comment>
    <comment ref="DI23" authorId="0" shapeId="0" xr:uid="{F44E1779-05E5-42A3-9BC8-FD2DFA12A080}">
      <text>
        <r>
          <rPr>
            <sz val="9"/>
            <color indexed="81"/>
            <rFont val="Tahoma"/>
            <family val="2"/>
          </rPr>
          <t xml:space="preserve">-25.975,40€: Devolución IVA Marzo confirmado por Sinver
25.975,40€: Pndte abono en Cta BBVA crédito
</t>
        </r>
      </text>
    </comment>
    <comment ref="DJ23" authorId="0" shapeId="0" xr:uid="{CFFC189B-9497-4F5E-A041-1FA948125647}">
      <text>
        <r>
          <rPr>
            <sz val="9"/>
            <color indexed="81"/>
            <rFont val="Tahoma"/>
            <family val="2"/>
          </rPr>
          <t xml:space="preserve">-4.058,44€: Devolución IVA Abril confirmado por Sinver
4.058,44€: Pndte abono en Cta BBVA crédito
</t>
        </r>
      </text>
    </comment>
    <comment ref="Y24" authorId="4" shapeId="0" xr:uid="{88DB162C-B3EC-46C3-A815-3C71271F0951}">
      <text>
        <r>
          <rPr>
            <b/>
            <sz val="9"/>
            <color indexed="81"/>
            <rFont val="Tahoma"/>
            <family val="2"/>
          </rPr>
          <t xml:space="preserve">6053,41 IRPF 3T 
</t>
        </r>
        <r>
          <rPr>
            <sz val="9"/>
            <color indexed="81"/>
            <rFont val="Tahoma"/>
            <family val="2"/>
          </rPr>
          <t>(1650 irpf mensual ACB/139,5 irpf mensual JP)</t>
        </r>
        <r>
          <rPr>
            <b/>
            <sz val="9"/>
            <color indexed="81"/>
            <rFont val="Tahoma"/>
            <family val="2"/>
          </rPr>
          <t xml:space="preserve">
</t>
        </r>
        <r>
          <rPr>
            <sz val="9"/>
            <color indexed="81"/>
            <rFont val="Tahoma"/>
            <family val="2"/>
          </rPr>
          <t xml:space="preserve">
</t>
        </r>
      </text>
    </comment>
    <comment ref="AC24" authorId="4" shapeId="0" xr:uid="{140E47C0-95E3-4DBF-BE7E-ADA8656B266F}">
      <text>
        <r>
          <rPr>
            <b/>
            <sz val="9"/>
            <color indexed="81"/>
            <rFont val="Tahoma"/>
            <family val="2"/>
          </rPr>
          <t xml:space="preserve">IRPF 4T 6893,49
</t>
        </r>
        <r>
          <rPr>
            <sz val="9"/>
            <color indexed="81"/>
            <rFont val="Tahoma"/>
            <family val="2"/>
          </rPr>
          <t>mensual x3
1650 ACB
500 ALF (aprox)
139,5 JP</t>
        </r>
        <r>
          <rPr>
            <b/>
            <sz val="9"/>
            <color indexed="81"/>
            <rFont val="Tahoma"/>
            <family val="2"/>
          </rPr>
          <t xml:space="preserve">
</t>
        </r>
      </text>
    </comment>
    <comment ref="AG24" authorId="3" shapeId="0" xr:uid="{B1D095EB-D07C-4D60-A36F-A8E3593C75F0}">
      <text>
        <r>
          <rPr>
            <b/>
            <sz val="9"/>
            <color indexed="81"/>
            <rFont val="Tahoma"/>
            <family val="2"/>
          </rPr>
          <t>alfonso:</t>
        </r>
        <r>
          <rPr>
            <sz val="9"/>
            <color indexed="81"/>
            <rFont val="Tahoma"/>
            <family val="2"/>
          </rPr>
          <t xml:space="preserve">
IRPF 1T 
mensual aprox
1650 ACB
500 ALF (aprox)
139,5 JP
7065,63 por salario mayor Alberto Enero, confirmado por Sinver
Movido aquí de abril por el caso especial COVID-19. a pagar el 20/5
Cargado: 20/05/20</t>
        </r>
      </text>
    </comment>
    <comment ref="AI24" authorId="4" shapeId="0" xr:uid="{09FDC92C-EB6A-4810-99CF-A7864824A24E}">
      <text>
        <r>
          <rPr>
            <sz val="9"/>
            <color indexed="81"/>
            <rFont val="Tahoma"/>
            <family val="2"/>
          </rPr>
          <t>IRPF 2T 
mensual
1650 ACB
500 ALF (aprox)
139,5 JP</t>
        </r>
      </text>
    </comment>
    <comment ref="AM24" authorId="4" shapeId="0" xr:uid="{A074F13F-4AAF-486C-99C2-B4A657979E97}">
      <text>
        <r>
          <rPr>
            <b/>
            <sz val="9"/>
            <color indexed="81"/>
            <rFont val="Tahoma"/>
            <family val="2"/>
          </rPr>
          <t xml:space="preserve">IRPF 3T 
</t>
        </r>
        <r>
          <rPr>
            <sz val="9"/>
            <color indexed="81"/>
            <rFont val="Tahoma"/>
            <family val="2"/>
          </rPr>
          <t>mensual
1650 ACB
500 ALF (aprox)
139,5 JP</t>
        </r>
        <r>
          <rPr>
            <b/>
            <sz val="9"/>
            <color indexed="81"/>
            <rFont val="Tahoma"/>
            <family val="2"/>
          </rPr>
          <t xml:space="preserve">
Modelo 111 confirmado por Sinver 7143,48 E</t>
        </r>
      </text>
    </comment>
    <comment ref="AP24" authorId="0" shapeId="0" xr:uid="{A5B07074-5DAD-4E08-94F0-12515EC147FA}">
      <text>
        <r>
          <rPr>
            <b/>
            <sz val="9"/>
            <color indexed="81"/>
            <rFont val="Tahoma"/>
            <family val="2"/>
          </rPr>
          <t xml:space="preserve">IRPF 4T 
</t>
        </r>
        <r>
          <rPr>
            <sz val="9"/>
            <color indexed="81"/>
            <rFont val="Tahoma"/>
            <family val="2"/>
          </rPr>
          <t>Modelo 111 confirmado por Sinver 5826,81 E
---------------------
Previsión Alfonso: 6893,49 E</t>
        </r>
      </text>
    </comment>
    <comment ref="AR24" authorId="0" shapeId="0" xr:uid="{B1DCD839-B6B8-4A33-95F7-42061B5494BA}">
      <text>
        <r>
          <rPr>
            <b/>
            <sz val="9"/>
            <color indexed="81"/>
            <rFont val="Tahoma"/>
            <family val="2"/>
          </rPr>
          <t xml:space="preserve">
</t>
        </r>
        <r>
          <rPr>
            <sz val="9"/>
            <color indexed="81"/>
            <rFont val="Tahoma"/>
            <family val="2"/>
          </rPr>
          <t>IRPF 4T 2020: 8429,64 E
5826,81 E: Cargado Caixa Nixal: 20/01/21 
Conjunto Nixal-Molino
devolucion de Nixal a Molino lo correspondiente a cada uno. 
APROX. PENDIENTE CALCULARLOS
Realmente pertenece a Molino de IRPF 4T 2020: 581,71 E por lo que transferimos 2602,83 E de Caixa Nixal a Caixa Molino el 10/03/21
2602,83 E: Cargado Caixa Nixal: 10/03/21
---------------</t>
        </r>
      </text>
    </comment>
    <comment ref="AS24" authorId="1" shapeId="0" xr:uid="{F52BCC4B-414D-47F1-94C5-DBF477B5B064}">
      <text>
        <r>
          <rPr>
            <sz val="9"/>
            <color indexed="81"/>
            <rFont val="Tahoma"/>
            <family val="2"/>
          </rPr>
          <t xml:space="preserve">
IRPF 1T 2021 CONJUNTO Nixal-Molino: 9854,30 Eur
Transferencia realizada en caixa el 16/04/21.
Realmente pertenece a Nixal de IRPF 1T 2021: 9151,84 E 
Y a molino pertenece 703,46 E. 
Transferncia realizada por importe de 703,46, abonado en caixa el 26/04/21.</t>
        </r>
      </text>
    </comment>
    <comment ref="AV24" authorId="1" shapeId="0" xr:uid="{49EA9478-BCB6-47EF-861E-BD9073462717}">
      <text>
        <r>
          <rPr>
            <b/>
            <sz val="9"/>
            <color indexed="81"/>
            <rFont val="Tahoma"/>
            <family val="2"/>
          </rPr>
          <t xml:space="preserve">IRPF 2ºT Molino Nixal. 
</t>
        </r>
        <r>
          <rPr>
            <sz val="9"/>
            <color indexed="81"/>
            <rFont val="Tahoma"/>
            <family val="2"/>
          </rPr>
          <t>Molino = 823,92
Nixal = 9.430,22
Cargado el 21/07/21.
Pendiente de recibir transferncia a Nixal.</t>
        </r>
      </text>
    </comment>
    <comment ref="AW24" authorId="1" shapeId="0" xr:uid="{039F11A1-F71F-4E24-9C2A-585E990B8F26}">
      <text>
        <r>
          <rPr>
            <sz val="9"/>
            <color indexed="81"/>
            <rFont val="Tahoma"/>
            <family val="2"/>
          </rPr>
          <t xml:space="preserve">823,92: </t>
        </r>
        <r>
          <rPr>
            <b/>
            <sz val="9"/>
            <color indexed="81"/>
            <rFont val="Tahoma"/>
            <family val="2"/>
          </rPr>
          <t xml:space="preserve">IRPF 2ºT Molino </t>
        </r>
        <r>
          <rPr>
            <sz val="9"/>
            <color indexed="81"/>
            <rFont val="Tahoma"/>
            <family val="2"/>
          </rPr>
          <t xml:space="preserve">
Transferencia de compensacion de gastos realizada el 31/08/21.</t>
        </r>
      </text>
    </comment>
    <comment ref="AZ24" authorId="1" shapeId="0" xr:uid="{19FDC366-D836-459D-A752-26D92ADA6962}">
      <text>
        <r>
          <rPr>
            <b/>
            <sz val="9"/>
            <color indexed="81"/>
            <rFont val="Tahoma"/>
            <family val="2"/>
          </rPr>
          <t>IRPF 3ºT Molino Nixal. 
Cargado el prox 20/10/21. 
Cargado caixa: 20/10/21
9801,79€: Pertenece a Nixal
237,59€: Pertenece a MDZ pndte transferir este importe a Nixal</t>
        </r>
      </text>
    </comment>
    <comment ref="BB24" authorId="1" shapeId="0" xr:uid="{90ED58E8-A6E7-430C-A072-289B3D9F6592}">
      <text>
        <r>
          <rPr>
            <sz val="9"/>
            <color indexed="81"/>
            <rFont val="Tahoma"/>
            <family val="2"/>
          </rPr>
          <t>237,59€: IRPF 3ºT Molino 
Transferencia de compensacion de gastos a realizar en dic
237,59€: Pertenece a MDZ
Transferencia Caixa de compensacion de gastos por el total 4.793,42€ realizada el 28/12/21</t>
        </r>
      </text>
    </comment>
    <comment ref="BC24" authorId="1" shapeId="0" xr:uid="{F5B5EDCE-EBC0-484D-8C3E-4AFEB998CF26}">
      <text>
        <r>
          <rPr>
            <b/>
            <sz val="9"/>
            <color indexed="81"/>
            <rFont val="Tahoma"/>
            <family val="2"/>
          </rPr>
          <t>IRPF 4ºT Molino Nixal. 
Cargado el prox 20/01/22. 
10792,67€: Cargado caixa: 20/01/22
9454,14€: Pertenece a Nixal
1338,53€: Pertenece a MDZ pndte transferir este importe a Nixal</t>
        </r>
      </text>
    </comment>
    <comment ref="BD24" authorId="1" shapeId="0" xr:uid="{464BABA0-68AC-47E5-9A52-77B1975C9060}">
      <text>
        <r>
          <rPr>
            <sz val="9"/>
            <color indexed="81"/>
            <rFont val="Tahoma"/>
            <family val="2"/>
          </rPr>
          <t>1338,53€: IRPF 4ºT Molino 
Transferencia de compensacion de gastos a realizar en febrero
1338,53€: Pertenece a MDZ
Transferencia Caixa de compensacion de gastos por el total 4.185,49€ realizada el 15/02/22</t>
        </r>
      </text>
    </comment>
    <comment ref="BF24" authorId="1" shapeId="0" xr:uid="{2C313FF6-4168-43C1-9B99-0D5CDE60B23A}">
      <text>
        <r>
          <rPr>
            <b/>
            <sz val="9"/>
            <color indexed="81"/>
            <rFont val="Tahoma"/>
            <family val="2"/>
          </rPr>
          <t xml:space="preserve">IRPF 1ºT Molino Nixal. 
Cargado el prox 20/04/22. 
10200,62€: Cargado caixa: 20/04/22
</t>
        </r>
        <r>
          <rPr>
            <sz val="9"/>
            <color indexed="81"/>
            <rFont val="Tahoma"/>
            <family val="2"/>
          </rPr>
          <t>9410,82€: Pertenece a Nixal
789,80€: Pertenece a MDZ pndte transferir este importe a Nixal</t>
        </r>
      </text>
    </comment>
    <comment ref="BG24" authorId="1" shapeId="0" xr:uid="{01D4673B-C746-450F-86B6-B497A819D093}">
      <text>
        <r>
          <rPr>
            <sz val="9"/>
            <color indexed="81"/>
            <rFont val="Tahoma"/>
            <family val="2"/>
          </rPr>
          <t>789,80€: IRPF 1ºT Molino 
Transferencia de compensacion de gastos a realizar en mayo
789,80€: Pertenece a MDZ
789,80€: Transferencia Caixa de compensacion de gastos por el total 7370,14€ realizada el 24/05/22</t>
        </r>
      </text>
    </comment>
    <comment ref="BI24" authorId="1" shapeId="0" xr:uid="{C0C74434-D91B-487B-AE49-271C801D5BD3}">
      <text>
        <r>
          <rPr>
            <b/>
            <sz val="9"/>
            <color indexed="81"/>
            <rFont val="Tahoma"/>
            <family val="2"/>
          </rPr>
          <t xml:space="preserve">IRPF 2ºT Molino Nixal. 
Cargado el prox 20/07/22. 
12531,59€: Cargado caixa: 20/07/22
</t>
        </r>
        <r>
          <rPr>
            <sz val="9"/>
            <color indexed="81"/>
            <rFont val="Tahoma"/>
            <family val="2"/>
          </rPr>
          <t>12146,12€: Pertenece a Nixal
385,47€: Pertenece a MDZ pndte transferir este importe a Nixal</t>
        </r>
      </text>
    </comment>
    <comment ref="BJ24" authorId="1" shapeId="0" xr:uid="{E050C437-CF00-43D9-9D8A-401F479D72F8}">
      <text>
        <r>
          <rPr>
            <sz val="9"/>
            <color indexed="81"/>
            <rFont val="Tahoma"/>
            <family val="2"/>
          </rPr>
          <t xml:space="preserve">385,47€: IRPF 2ºT Molino 
385,47€: Transferencia Caixa de compensacion de gastos por el total 71,62€ realizada el 31/08/22.
</t>
        </r>
      </text>
    </comment>
    <comment ref="BM24" authorId="1" shapeId="0" xr:uid="{D5D961A6-10B3-4037-A4C3-BF6A1461845D}">
      <text>
        <r>
          <rPr>
            <b/>
            <sz val="9"/>
            <color indexed="81"/>
            <rFont val="Tahoma"/>
            <family val="2"/>
          </rPr>
          <t xml:space="preserve">IRPF 3ºT Molino Nixal. 
Cargado el prox 20/10/22. 
18046,59€: Cargado caixa: 20/10/22
</t>
        </r>
        <r>
          <rPr>
            <sz val="9"/>
            <color indexed="81"/>
            <rFont val="Tahoma"/>
            <family val="2"/>
          </rPr>
          <t>12365,70€: Pertenece a Nixal
5680,89€: Pertenece a MDZ pndte transferir este importe a Nixal</t>
        </r>
      </text>
    </comment>
    <comment ref="BN24" authorId="1" shapeId="0" xr:uid="{4D38F887-3260-4766-9CCF-42671D13B06D}">
      <text>
        <r>
          <rPr>
            <sz val="9"/>
            <color indexed="81"/>
            <rFont val="Tahoma"/>
            <family val="2"/>
          </rPr>
          <t xml:space="preserve">5680,89€: IRPF 3ºT Molino 
5680,89€: Realizar Transferencia Caixa de compensacion de gastos 
5680,89€: Transferencia Caixa de compensacion de gastos por el total 7106,56€ realizada el 04/11/22.
</t>
        </r>
      </text>
    </comment>
    <comment ref="BP24" authorId="1" shapeId="0" xr:uid="{5C6E04E1-24E8-4693-959B-161E7804922F}">
      <text>
        <r>
          <rPr>
            <b/>
            <sz val="9"/>
            <color indexed="81"/>
            <rFont val="Tahoma"/>
            <family val="2"/>
          </rPr>
          <t xml:space="preserve">IRPF 4ºT Molino Nixal. 
Cargado el prox 20/01/23. 
11632,67€: Cargado caixa: 20/01/23
</t>
        </r>
        <r>
          <rPr>
            <sz val="9"/>
            <color indexed="81"/>
            <rFont val="Tahoma"/>
            <family val="2"/>
          </rPr>
          <t xml:space="preserve">
9617,10€: Pertenece a Nixal
2015,57€: Pertenece a MDZ pndte transferir este importe a Nixal</t>
        </r>
      </text>
    </comment>
    <comment ref="BQ24" authorId="1" shapeId="0" xr:uid="{77EB7B99-54B3-45FE-B74C-4D2FEC3D6D2F}">
      <text>
        <r>
          <rPr>
            <b/>
            <sz val="9"/>
            <color indexed="81"/>
            <rFont val="Tahoma"/>
            <family val="2"/>
          </rPr>
          <t xml:space="preserve">Complementario IRPF 4ºT Molino Nixal. 175,21€: Transf. Caixa realizada el 16/02/23
</t>
        </r>
        <r>
          <rPr>
            <sz val="9"/>
            <color indexed="81"/>
            <rFont val="Tahoma"/>
            <family val="2"/>
          </rPr>
          <t xml:space="preserve">
175,21€: Pertenece a MDZ pndte transferir este importe a Nixal
--------------------------------
2015,57€: IRPF 4ºT Molino
175,21€: Complentario IRPF 4º T Molino
2190,78€: Realizar Transferencia Caixa de compensacion de gastos 
2190,78€: Transferencia Caixa de compensacion de gastos por el total 6345,37€ realizada el 23/02/23.</t>
        </r>
      </text>
    </comment>
    <comment ref="BS24" authorId="1" shapeId="0" xr:uid="{CE345ED9-7B56-4335-B658-1BCA9B356E7D}">
      <text>
        <r>
          <rPr>
            <sz val="9"/>
            <color indexed="81"/>
            <rFont val="Tahoma"/>
            <family val="2"/>
          </rPr>
          <t>IRPF 1º TRIM 2023: 11.074,04€
IRPF 1ºT 2023 Molino Nixal. 
Cargado el prox 20/04/23. 
12.102,52€: Cargado caixa: 20/04/23 
11074,04€: Pertenece a Nixal
1028,48€: Pertenece a MDZ pndte transferir este importe a Nixal</t>
        </r>
      </text>
    </comment>
    <comment ref="BV24" authorId="1" shapeId="0" xr:uid="{04676ED0-15E2-4DFF-A877-ED0AE2EE23D7}">
      <text>
        <r>
          <rPr>
            <sz val="9"/>
            <color indexed="81"/>
            <rFont val="Tahoma"/>
            <family val="2"/>
          </rPr>
          <t>IRPF 1ºT 2023 Molino Nixal: 12.102,52€ 
Cargado el prox 20/04/23. 
12.102,52€: Cargado caixa: 20/04/23 
11074,04€: Pertenece a Nixal
1028,48€: Pertenece a MDZ pndte transferir este importe a Nixal
-------------------------
IRPF 2º TRIM 2023:
13.140,02€
11.246,47€: Pertenece a Nixal
1.893,55€: Pertenece a MDZ pndte transferir este importe a Nixal
 Cargado caixa: 20/07/23 
-----------------------------
2.922,03€: Transferencia Caixa de compensacion de gastos por el total 23.322,22€ desglosado en:  
5.000€: Cargado en Caixa el 14/07/23.
3.000€: Cargado en Caixa el 19/07/23.
6.000€: Cargado en Caixa el 19/07/23
9.322,22€: Cargado en Caixa el 26/07/23</t>
        </r>
      </text>
    </comment>
    <comment ref="BZ24" authorId="3" shapeId="0" xr:uid="{8F5E667D-37C5-4B56-9922-1186B58F5D46}">
      <text>
        <r>
          <rPr>
            <sz val="9"/>
            <color indexed="81"/>
            <rFont val="Tahoma"/>
            <family val="2"/>
          </rPr>
          <t>IRPF 3º TRIM 2023:
11.833,83 E: Lo cargarán en caixa: 20/10/23 
Cargado Caixa: 20/10/23</t>
        </r>
      </text>
    </comment>
    <comment ref="CC24" authorId="3" shapeId="0" xr:uid="{6EE38A95-D497-4E8E-BC66-0046C8A862D6}">
      <text>
        <r>
          <rPr>
            <b/>
            <sz val="9"/>
            <color indexed="81"/>
            <rFont val="Tahoma"/>
            <family val="2"/>
          </rPr>
          <t>IRPF mensual cobrado cada trimestre:</t>
        </r>
        <r>
          <rPr>
            <sz val="9"/>
            <color indexed="81"/>
            <rFont val="Tahoma"/>
            <family val="2"/>
          </rPr>
          <t xml:space="preserve">
1650 Alberto
2165 Alfonso, María y Rosa
IRPF 4º TRIM 2023:
12.418,39€: Lo cargarán en caixa: 20/01/24 
Cargado Caixa: 22/01/24
Incluye 1,56€ de IRPF noviembre y 24€ de IRPF diciembre 2023 de Federico</t>
        </r>
      </text>
    </comment>
    <comment ref="CE24" authorId="1" shapeId="0" xr:uid="{F3255C93-9E3B-42CC-90DF-428761BD3B90}">
      <text>
        <r>
          <rPr>
            <b/>
            <sz val="9"/>
            <color indexed="81"/>
            <rFont val="Tahoma"/>
            <family val="2"/>
          </rPr>
          <t xml:space="preserve">Complementario IRPF 4ºT 2023. 
</t>
        </r>
        <r>
          <rPr>
            <sz val="9"/>
            <color indexed="81"/>
            <rFont val="Tahoma"/>
            <family val="2"/>
          </rPr>
          <t>206,64€: Transf. Caixa realizada el 20/03/24</t>
        </r>
        <r>
          <rPr>
            <b/>
            <sz val="9"/>
            <color indexed="81"/>
            <rFont val="Tahoma"/>
            <family val="2"/>
          </rPr>
          <t xml:space="preserve">
</t>
        </r>
        <r>
          <rPr>
            <sz val="9"/>
            <color indexed="81"/>
            <rFont val="Tahoma"/>
            <family val="2"/>
          </rPr>
          <t xml:space="preserve">
</t>
        </r>
      </text>
    </comment>
    <comment ref="CF24" authorId="3" shapeId="0" xr:uid="{1707F3BC-B69F-420E-9AAF-F583C60664A0}">
      <text>
        <r>
          <rPr>
            <b/>
            <sz val="9"/>
            <color indexed="81"/>
            <rFont val="Tahoma"/>
            <family val="2"/>
          </rPr>
          <t>IRPF mensual cobrado cada trimestre:</t>
        </r>
        <r>
          <rPr>
            <sz val="9"/>
            <color indexed="81"/>
            <rFont val="Tahoma"/>
            <family val="2"/>
          </rPr>
          <t xml:space="preserve">
1650 Alberto
2165 Alfonso, María y Rosa
IRPF 1º TRIM 2024:
13.276,21€: Lo cargarán en caixa: 20/04/24 
Cargado Caixa: 22/04/24
Incluye € de IRPF enero, febrero y marzo 2024 de Federico
--------------------------------
2º Complementario IRPF 4ºT 2023. 
45€: Transf. Caixa realizada el 18/04/24
</t>
        </r>
      </text>
    </comment>
    <comment ref="CI24" authorId="3" shapeId="0" xr:uid="{215D88AA-BB8B-452A-ABB7-9560CB0B4E3A}">
      <text>
        <r>
          <rPr>
            <b/>
            <sz val="9"/>
            <color indexed="81"/>
            <rFont val="Tahoma"/>
            <family val="2"/>
          </rPr>
          <t>IRPF mensual cobrado cada trimestre:</t>
        </r>
        <r>
          <rPr>
            <sz val="9"/>
            <color indexed="81"/>
            <rFont val="Tahoma"/>
            <family val="2"/>
          </rPr>
          <t xml:space="preserve">
1650 Alberto
2165 Alfonso, María y Rosa
Cargado: 22/07/24.</t>
        </r>
      </text>
    </comment>
    <comment ref="CM24" authorId="3" shapeId="0" xr:uid="{E113DD0B-1A48-4C7A-A94E-18C6802B7675}">
      <text>
        <r>
          <rPr>
            <b/>
            <sz val="9"/>
            <color indexed="81"/>
            <rFont val="Tahoma"/>
            <family val="2"/>
          </rPr>
          <t>IRPF mensual cobrado cada trimestre:</t>
        </r>
        <r>
          <rPr>
            <sz val="9"/>
            <color indexed="81"/>
            <rFont val="Tahoma"/>
            <family val="2"/>
          </rPr>
          <t xml:space="preserve">
1650 Alberto
2165 Alfonso, María y Rosa
Cargado: 21/10/24.</t>
        </r>
      </text>
    </comment>
    <comment ref="CP24" authorId="3" shapeId="0" xr:uid="{6FC9C5F6-9258-429C-8183-A42F8481524B}">
      <text>
        <r>
          <rPr>
            <b/>
            <sz val="9"/>
            <color indexed="81"/>
            <rFont val="Tahoma"/>
            <family val="2"/>
          </rPr>
          <t>IRPF mensual cobrado cada trimestre:</t>
        </r>
        <r>
          <rPr>
            <sz val="9"/>
            <color indexed="81"/>
            <rFont val="Tahoma"/>
            <family val="2"/>
          </rPr>
          <t xml:space="preserve">
1650 Alberto
2165 Alfonso, María y Rosa
Cargado: 20/01/25</t>
        </r>
      </text>
    </comment>
    <comment ref="CS24" authorId="3" shapeId="0" xr:uid="{E06A6C14-2DCF-4B4A-9A5C-E958E6670F00}">
      <text>
        <r>
          <rPr>
            <b/>
            <sz val="9"/>
            <color indexed="81"/>
            <rFont val="Tahoma"/>
            <family val="2"/>
          </rPr>
          <t>IRPF mensual cobrado cada trimestre:</t>
        </r>
        <r>
          <rPr>
            <sz val="9"/>
            <color indexed="81"/>
            <rFont val="Tahoma"/>
            <family val="2"/>
          </rPr>
          <t xml:space="preserve">
1650 Alberto
2165 Alfonso, María y Rosa
Cargado: 21/04/25</t>
        </r>
      </text>
    </comment>
    <comment ref="CV24" authorId="3" shapeId="0" xr:uid="{FA2A9269-78AB-4B76-9219-0C9B33D891A2}">
      <text>
        <r>
          <rPr>
            <b/>
            <sz val="9"/>
            <color indexed="81"/>
            <rFont val="Tahoma"/>
            <family val="2"/>
          </rPr>
          <t>IRPF mensual cobrado cada trimestre:</t>
        </r>
        <r>
          <rPr>
            <sz val="9"/>
            <color indexed="81"/>
            <rFont val="Tahoma"/>
            <family val="2"/>
          </rPr>
          <t xml:space="preserve">
1650 Alberto
2165 Alfonso, María y Rosa
Cargado: 21/07/25</t>
        </r>
      </text>
    </comment>
    <comment ref="CZ24" authorId="3" shapeId="0" xr:uid="{CE0330FE-BA8D-4ADA-A808-8F33F5BD0E68}">
      <text>
        <r>
          <rPr>
            <b/>
            <sz val="9"/>
            <color indexed="81"/>
            <rFont val="Tahoma"/>
            <family val="2"/>
          </rPr>
          <t>IRPF mensual cobrado cada trimestre:</t>
        </r>
        <r>
          <rPr>
            <sz val="9"/>
            <color indexed="81"/>
            <rFont val="Tahoma"/>
            <family val="2"/>
          </rPr>
          <t xml:space="preserve">
1650 Alberto
2165 Alfonso, María y Rosa
Cargado: 20/10/25</t>
        </r>
      </text>
    </comment>
    <comment ref="DC24" authorId="3" shapeId="0" xr:uid="{D1022BCF-B13A-48C4-8C40-CED2382EA4E0}">
      <text>
        <r>
          <rPr>
            <b/>
            <sz val="9"/>
            <color indexed="81"/>
            <rFont val="Tahoma"/>
            <family val="2"/>
          </rPr>
          <t>IRPF mensual cobrado cada trimestre:</t>
        </r>
        <r>
          <rPr>
            <sz val="9"/>
            <color indexed="81"/>
            <rFont val="Tahoma"/>
            <family val="2"/>
          </rPr>
          <t xml:space="preserve">
1650 Alberto
2165 Alfonso, María y Rosa
Cargado: 20/01/26</t>
        </r>
      </text>
    </comment>
    <comment ref="DF24" authorId="3" shapeId="0" xr:uid="{7CDBE39F-DB4D-4BED-86E4-656EC164AA78}">
      <text>
        <r>
          <rPr>
            <b/>
            <sz val="9"/>
            <color indexed="81"/>
            <rFont val="Tahoma"/>
            <family val="2"/>
          </rPr>
          <t>IRPF mensual cobrado cada trimestre:</t>
        </r>
        <r>
          <rPr>
            <sz val="9"/>
            <color indexed="81"/>
            <rFont val="Tahoma"/>
            <family val="2"/>
          </rPr>
          <t xml:space="preserve">
1650 Alberto
2165 Alfonso, María y Rosa
Cargado: 20/04/26</t>
        </r>
      </text>
    </comment>
    <comment ref="DI24" authorId="3" shapeId="0" xr:uid="{E610CD4D-88F2-426D-8B4A-CBDFB9A88188}">
      <text>
        <r>
          <rPr>
            <b/>
            <sz val="9"/>
            <color indexed="81"/>
            <rFont val="Tahoma"/>
            <family val="2"/>
          </rPr>
          <t>IRPF mensual cobrado cada trimestre:</t>
        </r>
        <r>
          <rPr>
            <sz val="9"/>
            <color indexed="81"/>
            <rFont val="Tahoma"/>
            <family val="2"/>
          </rPr>
          <t xml:space="preserve">
1650 Alberto
2165 Alfonso, María y Rosa</t>
        </r>
      </text>
    </comment>
    <comment ref="DM24" authorId="3" shapeId="0" xr:uid="{2D9E31D2-C4F3-4C79-8625-76EBA85105A1}">
      <text>
        <r>
          <rPr>
            <b/>
            <sz val="9"/>
            <color indexed="81"/>
            <rFont val="Tahoma"/>
            <family val="2"/>
          </rPr>
          <t>IRPF mensual cobrado cada trimestre:</t>
        </r>
        <r>
          <rPr>
            <sz val="9"/>
            <color indexed="81"/>
            <rFont val="Tahoma"/>
            <family val="2"/>
          </rPr>
          <t xml:space="preserve">
1650 Alberto
2165 Alfonso, María y Rosa</t>
        </r>
      </text>
    </comment>
    <comment ref="DP24" authorId="3" shapeId="0" xr:uid="{9E9D68F2-C5CC-4AEE-ACDB-7C414A2C3EE3}">
      <text>
        <r>
          <rPr>
            <b/>
            <sz val="9"/>
            <color indexed="81"/>
            <rFont val="Tahoma"/>
            <family val="2"/>
          </rPr>
          <t>IRPF mensual cobrado cada trimestre:</t>
        </r>
        <r>
          <rPr>
            <sz val="9"/>
            <color indexed="81"/>
            <rFont val="Tahoma"/>
            <family val="2"/>
          </rPr>
          <t xml:space="preserve">
1650 Alberto
2165 Alfonso, María y Rosa</t>
        </r>
      </text>
    </comment>
    <comment ref="DS24" authorId="3" shapeId="0" xr:uid="{12DBF4B1-7A8D-4DD1-A47B-020C2FF2A856}">
      <text>
        <r>
          <rPr>
            <b/>
            <sz val="9"/>
            <color indexed="81"/>
            <rFont val="Tahoma"/>
            <family val="2"/>
          </rPr>
          <t>IRPF mensual cobrado cada trimestre:</t>
        </r>
        <r>
          <rPr>
            <sz val="9"/>
            <color indexed="81"/>
            <rFont val="Tahoma"/>
            <family val="2"/>
          </rPr>
          <t xml:space="preserve">
1650 Alberto
2165 Alfonso, María y Rosa</t>
        </r>
      </text>
    </comment>
    <comment ref="DV24" authorId="3" shapeId="0" xr:uid="{341D324E-363B-462D-A66D-10CEEEF17F98}">
      <text>
        <r>
          <rPr>
            <b/>
            <sz val="9"/>
            <color indexed="81"/>
            <rFont val="Tahoma"/>
            <family val="2"/>
          </rPr>
          <t>IRPF mensual cobrado cada trimestre:</t>
        </r>
        <r>
          <rPr>
            <sz val="9"/>
            <color indexed="81"/>
            <rFont val="Tahoma"/>
            <family val="2"/>
          </rPr>
          <t xml:space="preserve">
1650 Alberto
2165 Alfonso, María y Rosa</t>
        </r>
      </text>
    </comment>
    <comment ref="V25" authorId="2" shapeId="0" xr:uid="{B20D7C11-711B-4931-B743-EC26292E5452}">
      <text>
        <r>
          <rPr>
            <b/>
            <sz val="9"/>
            <color indexed="81"/>
            <rFont val="Tahoma"/>
            <family val="2"/>
          </rPr>
          <t xml:space="preserve">Alberto:
</t>
        </r>
        <r>
          <rPr>
            <sz val="9"/>
            <color indexed="81"/>
            <rFont val="Tahoma"/>
            <family val="2"/>
          </rPr>
          <t xml:space="preserve"> 3095 IS 2018</t>
        </r>
      </text>
    </comment>
    <comment ref="AA25" authorId="4" shapeId="0" xr:uid="{EFD6AEC2-B252-4A8B-B3E2-3634A8DEF6AD}">
      <text>
        <r>
          <rPr>
            <sz val="9"/>
            <color indexed="81"/>
            <rFont val="Tahoma"/>
            <family val="2"/>
          </rPr>
          <t xml:space="preserve">IS pago a cuenta (2T y 3T): 557,19
Lo cargan el 20/12. El 2T lo mete aquí la gestoría por error, pq se le pasó. Si viene multa la cubran ellos (email veronica 12/12)
</t>
        </r>
      </text>
    </comment>
    <comment ref="AG25" authorId="3" shapeId="0" xr:uid="{DE9DC98F-A1EE-4A47-AD26-0C03749DCCF1}">
      <text>
        <r>
          <rPr>
            <b/>
            <sz val="9"/>
            <color indexed="81"/>
            <rFont val="Tahoma"/>
            <family val="2"/>
          </rPr>
          <t xml:space="preserve">alfonso:
</t>
        </r>
        <r>
          <rPr>
            <sz val="9"/>
            <color indexed="81"/>
            <rFont val="Tahoma"/>
            <family val="2"/>
          </rPr>
          <t>557,19 a cuenta del IS 2019, basado en resultados de 2018
Movido aquí de abril por el caso especial COVID-19. a pagar el 20/5
Cargado: 20/05/20</t>
        </r>
      </text>
    </comment>
    <comment ref="AI25" authorId="0" shapeId="0" xr:uid="{D7778599-9BAC-454A-8767-AD9E368153DE}">
      <text>
        <r>
          <rPr>
            <b/>
            <sz val="9"/>
            <color indexed="81"/>
            <rFont val="Tahoma"/>
            <family val="2"/>
          </rPr>
          <t>rosa:</t>
        </r>
        <r>
          <rPr>
            <sz val="9"/>
            <color indexed="81"/>
            <rFont val="Tahoma"/>
            <family val="2"/>
          </rPr>
          <t xml:space="preserve">
Anotado: 14780 E
Cargado: 14219,73 E</t>
        </r>
      </text>
    </comment>
    <comment ref="AM25" authorId="3" shapeId="0" xr:uid="{C0AF81C7-9EB8-4A29-851A-016132C197E0}">
      <text>
        <r>
          <rPr>
            <b/>
            <sz val="9"/>
            <color indexed="81"/>
            <rFont val="Tahoma"/>
            <family val="2"/>
          </rPr>
          <t>rosa:</t>
        </r>
        <r>
          <rPr>
            <sz val="9"/>
            <color indexed="81"/>
            <rFont val="Tahoma"/>
            <family val="2"/>
          </rPr>
          <t xml:space="preserve">
Modelo 202 confirmado por Sinver 2,760,14 E
</t>
        </r>
      </text>
    </comment>
    <comment ref="AO25" authorId="0" shapeId="0" xr:uid="{0E23FB78-E25F-405E-982E-FE133D9291D1}">
      <text>
        <r>
          <rPr>
            <sz val="9"/>
            <color indexed="81"/>
            <rFont val="Tahoma"/>
            <family val="2"/>
          </rPr>
          <t>modelo 202 pago a  IS por importe 2.760,14 €
Se cargará en cuenta el día 20/12.
Confirmado por Sinver: 01/12/20</t>
        </r>
        <r>
          <rPr>
            <b/>
            <sz val="9"/>
            <color indexed="81"/>
            <rFont val="Tahoma"/>
            <family val="2"/>
          </rPr>
          <t xml:space="preserve">
</t>
        </r>
        <r>
          <rPr>
            <sz val="9"/>
            <color indexed="81"/>
            <rFont val="Tahoma"/>
            <family val="2"/>
          </rPr>
          <t>Cargado Caixa: 21/12/20</t>
        </r>
      </text>
    </comment>
    <comment ref="AS25" authorId="1" shapeId="0" xr:uid="{6CB6CBE4-5CF8-4EDB-8E96-BD9AF3772778}">
      <text>
        <r>
          <rPr>
            <b/>
            <sz val="9"/>
            <color indexed="81"/>
            <rFont val="Tahoma"/>
            <family val="2"/>
          </rPr>
          <t>Devolución IS.</t>
        </r>
        <r>
          <rPr>
            <sz val="9"/>
            <color indexed="81"/>
            <rFont val="Tahoma"/>
            <family val="2"/>
          </rPr>
          <t xml:space="preserve"> 
Ingresado en caixa el 28/04/21.
</t>
        </r>
      </text>
    </comment>
    <comment ref="BE25" authorId="4" shapeId="0" xr:uid="{7DC78B26-9A72-4929-BC44-80DF1AE2630F}">
      <text>
        <r>
          <rPr>
            <sz val="9"/>
            <color indexed="81"/>
            <rFont val="Tahoma"/>
            <family val="2"/>
          </rPr>
          <t>ACA BIO:
6375 USD (8500*0,75)
Fra del 09/11/20
Abonado: 18/12/20
637,50 USD: Comprobar que se ha deducido esta cantidad en el IS
-------------------------------
 ACA-Rosadani 3500 cbm x 2 usd/cbm
Info de alberto 31/03/21: El precio se modifica a 0,75 usd/cbm.
Fra del 05/04/21
Abonado 2.362,50 USD: 31/05/21.
262,5 USD: Comprobar que se ha deducido esta cantidad en el IS
--------------------------------------------------
24/03/22: Confirmado por Sinver: 26805,81€
Aplicada deducción por las retenciones de Argentina (900$=734,65€) y pagos fraccionados del 20/10 y 20/12/20 por un total de 5520,28€
26805,81€: Cargado BBVA: 25/03/22</t>
        </r>
      </text>
    </comment>
    <comment ref="BF25" authorId="3" shapeId="0" xr:uid="{1FA6BC35-855C-4403-891D-6B09D80E493A}">
      <text>
        <r>
          <rPr>
            <sz val="9"/>
            <color indexed="81"/>
            <rFont val="Tahoma"/>
            <family val="2"/>
          </rPr>
          <t xml:space="preserve">
Modelo 222 confirmado por Sinver 5818,70€
Lo cargarán el 20/04/22
Cargado Caixa: 20/04/22
</t>
        </r>
      </text>
    </comment>
    <comment ref="BM25" authorId="0" shapeId="0" xr:uid="{0FB0A51B-5EC5-49E6-80E5-328F37A76D4C}">
      <text>
        <r>
          <rPr>
            <b/>
            <sz val="9"/>
            <color indexed="81"/>
            <rFont val="Tahoma"/>
            <family val="2"/>
          </rPr>
          <t xml:space="preserve">Pagos a cuenta IS
</t>
        </r>
        <r>
          <rPr>
            <sz val="9"/>
            <color indexed="81"/>
            <rFont val="Tahoma"/>
            <family val="2"/>
          </rPr>
          <t>Modelo 222 confirmado por Sinver 5818,70€</t>
        </r>
        <r>
          <rPr>
            <b/>
            <sz val="9"/>
            <color indexed="81"/>
            <rFont val="Tahoma"/>
            <family val="2"/>
          </rPr>
          <t xml:space="preserve">
</t>
        </r>
        <r>
          <rPr>
            <sz val="9"/>
            <color indexed="81"/>
            <rFont val="Tahoma"/>
            <family val="2"/>
          </rPr>
          <t>Lo cargarán el 20/10/22</t>
        </r>
      </text>
    </comment>
    <comment ref="BO25" authorId="0" shapeId="0" xr:uid="{974672CE-D643-426B-B589-733476467700}">
      <text>
        <r>
          <rPr>
            <b/>
            <sz val="9"/>
            <color indexed="81"/>
            <rFont val="Tahoma"/>
            <family val="2"/>
          </rPr>
          <t xml:space="preserve">Pagos a cuenta IS
</t>
        </r>
        <r>
          <rPr>
            <sz val="9"/>
            <color indexed="81"/>
            <rFont val="Tahoma"/>
            <family val="2"/>
          </rPr>
          <t>Modelo 222 confirmado por Sinver 5818,70€</t>
        </r>
        <r>
          <rPr>
            <b/>
            <sz val="9"/>
            <color indexed="81"/>
            <rFont val="Tahoma"/>
            <family val="2"/>
          </rPr>
          <t xml:space="preserve">
</t>
        </r>
        <r>
          <rPr>
            <sz val="9"/>
            <color indexed="81"/>
            <rFont val="Tahoma"/>
            <family val="2"/>
          </rPr>
          <t>Cargado el 20/12/22</t>
        </r>
      </text>
    </comment>
    <comment ref="BQ25" authorId="4" shapeId="0" xr:uid="{8A6BB060-E819-41D3-AB88-03A7E5CB6496}">
      <text>
        <r>
          <rPr>
            <sz val="9"/>
            <color indexed="81"/>
            <rFont val="Tahoma"/>
            <family val="2"/>
          </rPr>
          <t xml:space="preserve">
IS
26805,81€: Cargado BBVA: 25/03/22
04/04/22: Info Alf, pndte reponer en la Cta BBVA desde Caixa</t>
        </r>
      </text>
    </comment>
    <comment ref="BR25" authorId="1" shapeId="0" xr:uid="{7D19ED06-243D-45E2-930B-F8EB735429FE}">
      <text>
        <r>
          <rPr>
            <b/>
            <sz val="9"/>
            <color indexed="81"/>
            <rFont val="Tahoma"/>
            <family val="2"/>
          </rPr>
          <t xml:space="preserve">ACA BIO:
</t>
        </r>
        <r>
          <rPr>
            <sz val="9"/>
            <color indexed="81"/>
            <rFont val="Tahoma"/>
            <family val="2"/>
          </rPr>
          <t>9.804,98 cbm ACA-Cremer x 0,75 USD/cbm 1H Aug loading.  
Emitir factura en Octubre
Fra del 20/10/21
Cobro Fra Cta VFX: 02/12/21
Tc aplicado: 1,128664
Ingresan 10% menos: Es una retención, este importe se podrá deducir en la declaración del Impuesto de Sociedades en España.
Solicitado a David el 03/12/21
735,37 USD: Comprobar que se ha deducido esta cantidad en el IS
Ok aplicado: 651,54€
-----------------------------------------------------------
20/03/23: Confirmado por Sinver: 227.071,42€
Aplicada deducción por las retenciones de Argentina (735,37$=651,54€) y pago fraccionado del 20/04/22 por un total de 5.818,70€
197.100€: Lo cargarán en BBVA el 25/03/23
197100€: Cargado BBVA: 23/03/23
El resto 29.971,42€ + 3,75%</t>
        </r>
      </text>
    </comment>
    <comment ref="BS25" authorId="0" shapeId="0" xr:uid="{92981250-DA6B-4277-AA08-DF98BE1B36A0}">
      <text>
        <r>
          <rPr>
            <b/>
            <sz val="9"/>
            <color indexed="81"/>
            <rFont val="Tahoma"/>
            <family val="2"/>
          </rPr>
          <t xml:space="preserve">Pagos a cuenta IS
</t>
        </r>
        <r>
          <rPr>
            <sz val="9"/>
            <color indexed="81"/>
            <rFont val="Tahoma"/>
            <family val="2"/>
          </rPr>
          <t>Modelo 222 confirmado por Sinver 1008€
Resto pndte reclamación de hacienda</t>
        </r>
        <r>
          <rPr>
            <b/>
            <sz val="9"/>
            <color indexed="81"/>
            <rFont val="Tahoma"/>
            <family val="2"/>
          </rPr>
          <t xml:space="preserve">
</t>
        </r>
        <r>
          <rPr>
            <sz val="9"/>
            <color indexed="81"/>
            <rFont val="Tahoma"/>
            <family val="2"/>
          </rPr>
          <t xml:space="preserve">1008€: Cargado en BBVA el 20/04/23 </t>
        </r>
      </text>
    </comment>
    <comment ref="BU25" authorId="1" shapeId="0" xr:uid="{C9B4B508-027F-4EF5-9D5C-71C0392735A6}">
      <text>
        <r>
          <rPr>
            <sz val="9"/>
            <color indexed="81"/>
            <rFont val="Tahoma"/>
            <family val="2"/>
          </rPr>
          <t xml:space="preserve">20/03/23: Confirmado por Sinver: 227.071,42€
Aplicada deducción por las retenciones de Argentina (735,37$=651,54€) y pago fraccionado del 20/04/22 por un total de 5.818,70€
197.100€: Lo cargarán en BBVA el 25/03/23
El resto 29.971,42€ + 283,55€ interes estimados: 30.254,97€ lo cargarán en BBVA el 20/06/23
Finalmente cargan 143,44€ 
Compensan el IS con la devolución de IVA del mes de marzo
-4295,63€: Abonado Caixa: 23/06/23
----------------------------------------
</t>
        </r>
      </text>
    </comment>
    <comment ref="BZ25" authorId="0" shapeId="0" xr:uid="{FF0BC95D-EED7-4BBC-BE91-EF388B143290}">
      <text>
        <r>
          <rPr>
            <b/>
            <sz val="9"/>
            <color indexed="81"/>
            <rFont val="Tahoma"/>
            <family val="2"/>
          </rPr>
          <t xml:space="preserve">Pagos a cuenta IS
</t>
        </r>
        <r>
          <rPr>
            <sz val="9"/>
            <color indexed="81"/>
            <rFont val="Tahoma"/>
            <family val="2"/>
          </rPr>
          <t>Modelo 222 confirmado por Sinver 1008€
Resto pndte reclamación de hacienda</t>
        </r>
        <r>
          <rPr>
            <b/>
            <sz val="9"/>
            <color indexed="81"/>
            <rFont val="Tahoma"/>
            <family val="2"/>
          </rPr>
          <t xml:space="preserve">
</t>
        </r>
        <r>
          <rPr>
            <sz val="9"/>
            <color indexed="81"/>
            <rFont val="Tahoma"/>
            <family val="2"/>
          </rPr>
          <t xml:space="preserve">1008€: Cargado en BBVA el 20/10/23 </t>
        </r>
      </text>
    </comment>
    <comment ref="CB25" authorId="0" shapeId="0" xr:uid="{BAA0BE5E-FCB2-4AE3-894E-BA348E1E6A27}">
      <text>
        <r>
          <rPr>
            <b/>
            <sz val="9"/>
            <color indexed="81"/>
            <rFont val="Tahoma"/>
            <family val="2"/>
          </rPr>
          <t xml:space="preserve">Pagos a cuenta IS
</t>
        </r>
        <r>
          <rPr>
            <sz val="9"/>
            <color indexed="81"/>
            <rFont val="Tahoma"/>
            <family val="2"/>
          </rPr>
          <t>Modelo 222 confirmado por Sinver 1008€
Resto pndte reclamación de hacienda</t>
        </r>
        <r>
          <rPr>
            <b/>
            <sz val="9"/>
            <color indexed="81"/>
            <rFont val="Tahoma"/>
            <family val="2"/>
          </rPr>
          <t xml:space="preserve">
</t>
        </r>
        <r>
          <rPr>
            <sz val="9"/>
            <color indexed="81"/>
            <rFont val="Tahoma"/>
            <family val="2"/>
          </rPr>
          <t xml:space="preserve">1008€: Cargado en BBVA el 20/12/23 </t>
        </r>
      </text>
    </comment>
    <comment ref="CH25" authorId="0" shapeId="0" xr:uid="{134EC965-1AC0-488B-BF98-40782D853C1F}">
      <text>
        <r>
          <rPr>
            <b/>
            <sz val="9"/>
            <color indexed="81"/>
            <rFont val="Tahoma"/>
            <family val="2"/>
          </rPr>
          <t xml:space="preserve">Debe estar anotado en abril
1º pago a cuenta
</t>
        </r>
        <r>
          <rPr>
            <sz val="9"/>
            <color indexed="81"/>
            <rFont val="Tahoma"/>
            <family val="2"/>
          </rPr>
          <t>Reclamado a Sinver el 06/05/24
Pagos a cuenta IS
Modelo 222 confirmado por Sinver el 05/06/24: 386,33€
386,33€: Cargado Caixa: 05/06/24
Sinver asume el recargo que apliquen</t>
        </r>
      </text>
    </comment>
    <comment ref="CI25" authorId="1" shapeId="0" xr:uid="{30931711-F658-49B0-B7B1-428E29E24E24}">
      <text>
        <r>
          <rPr>
            <sz val="9"/>
            <color indexed="81"/>
            <rFont val="Tahoma"/>
            <family val="2"/>
          </rPr>
          <t xml:space="preserve">
Descontar del IS los pagos a cuenta de octubre y diciembre 2022 y de abril 2023
21/03/24: Confirmado por Sinver: 10.499,12€ a devolver
IS: 17.192,30€ (25% 4.298,08€ a pagar)
Aplicada deducción por las retenciones de Argentina (2000$=2.151,80€) y pagos fraccionados de octubre y diciembre 2022 y de abril 2023 por un total de 12.645,40€
10.499,12€: Pndte ingreso en Caixa
Ingresado Caixa por el total 10.499,12€ el 09/07/24 (8.347,32€+2.151,80€ retención ACA BIO)</t>
        </r>
      </text>
    </comment>
    <comment ref="CM25" authorId="0" shapeId="0" xr:uid="{2277FD1D-999C-4788-9E48-F403C78AB61A}">
      <text>
        <r>
          <rPr>
            <b/>
            <sz val="9"/>
            <color indexed="81"/>
            <rFont val="Tahoma"/>
            <family val="2"/>
          </rPr>
          <t>2º pago a cuenta</t>
        </r>
        <r>
          <rPr>
            <sz val="9"/>
            <color indexed="81"/>
            <rFont val="Tahoma"/>
            <family val="2"/>
          </rPr>
          <t xml:space="preserve">
Pagos a cuenta IS
Modelo 222 confirmado por Sinver el 15/10/24: 386,33€
386,33€: Cargado Caixa: 21/10/24
</t>
        </r>
      </text>
    </comment>
    <comment ref="CO25" authorId="0" shapeId="0" xr:uid="{2DF29099-5762-4658-9CD7-012DC0DCFA6C}">
      <text>
        <r>
          <rPr>
            <b/>
            <sz val="9"/>
            <color indexed="81"/>
            <rFont val="Tahoma"/>
            <family val="2"/>
          </rPr>
          <t>3º pago a cuenta</t>
        </r>
        <r>
          <rPr>
            <sz val="9"/>
            <color indexed="81"/>
            <rFont val="Tahoma"/>
            <family val="2"/>
          </rPr>
          <t xml:space="preserve">
Pagos a cuenta IS
Modelo 222 confirmado por Sinver el 15/10/24: 386,33€
386,33€: Cargado Caixa: 20/12/24
</t>
        </r>
      </text>
    </comment>
    <comment ref="CQ25" authorId="0" shapeId="0" xr:uid="{3FC4074D-6BF1-4FEE-A378-F440E0529FE1}">
      <text>
        <r>
          <rPr>
            <b/>
            <sz val="9"/>
            <color indexed="81"/>
            <rFont val="Tahoma"/>
            <family val="2"/>
          </rPr>
          <t xml:space="preserve">Pagos a cuenta IS
</t>
        </r>
        <r>
          <rPr>
            <sz val="9"/>
            <color indexed="81"/>
            <rFont val="Tahoma"/>
            <family val="2"/>
          </rPr>
          <t>Modelo 222 confirmado por Sinver 1008€
Resto pndte reclamación de hacienda</t>
        </r>
        <r>
          <rPr>
            <b/>
            <sz val="9"/>
            <color indexed="81"/>
            <rFont val="Tahoma"/>
            <family val="2"/>
          </rPr>
          <t xml:space="preserve">
</t>
        </r>
        <r>
          <rPr>
            <sz val="9"/>
            <color indexed="81"/>
            <rFont val="Tahoma"/>
            <family val="2"/>
          </rPr>
          <t xml:space="preserve">1008€: Cargado en BBVA el 20/04/23 
Pndte reclamación hacienda para pagar el resto
-------------------------
</t>
        </r>
        <r>
          <rPr>
            <b/>
            <sz val="9"/>
            <color indexed="81"/>
            <rFont val="Tahoma"/>
            <family val="2"/>
          </rPr>
          <t>Pagos a cuenta IS</t>
        </r>
        <r>
          <rPr>
            <sz val="9"/>
            <color indexed="81"/>
            <rFont val="Tahoma"/>
            <family val="2"/>
          </rPr>
          <t xml:space="preserve">
Modelo 222 confirmado por Sinver 1008€
Resto pndte reclamación de hacienda
1008€: Cargado en BBVA el 20/10/23 
Pndte reclamación hacienda para pagar el resto
---------------------------------
</t>
        </r>
        <r>
          <rPr>
            <b/>
            <sz val="9"/>
            <color indexed="81"/>
            <rFont val="Tahoma"/>
            <family val="2"/>
          </rPr>
          <t>Pagos a cuenta IS</t>
        </r>
        <r>
          <rPr>
            <sz val="9"/>
            <color indexed="81"/>
            <rFont val="Tahoma"/>
            <family val="2"/>
          </rPr>
          <t xml:space="preserve">
Modelo 222 confirmado por Sinver 1008€
Resto pndte reclamación de hacienda
1008€: Cargado en BBVA el 20/12/23 
------------------------------------
</t>
        </r>
        <r>
          <rPr>
            <b/>
            <sz val="9"/>
            <color indexed="81"/>
            <rFont val="Tahoma"/>
            <family val="2"/>
          </rPr>
          <t>Pagos a cuenta IS</t>
        </r>
        <r>
          <rPr>
            <sz val="9"/>
            <color indexed="81"/>
            <rFont val="Tahoma"/>
            <family val="2"/>
          </rPr>
          <t xml:space="preserve">
Modelo 222 confirmado por Sinver el 05/06/24: 386,33€
386,33€: Cargado Caixa: 05/06/24</t>
        </r>
      </text>
    </comment>
    <comment ref="CR25" authorId="0" shapeId="0" xr:uid="{3A8D7BF5-6B0E-49FB-85A6-CA283CDE2793}">
      <text>
        <r>
          <rPr>
            <sz val="9"/>
            <color indexed="81"/>
            <rFont val="Tahoma"/>
            <family val="2"/>
          </rPr>
          <t>25/03/25: Confirmado por Sinver: 87.625,71€ a pagar
IS: 90.028,04€ (23% € a pagar)
Aplicada deducción por los pagos fraccionados de octubre y diciembre 2023 y de abril 2024 por un total de 2,402,33€
Pagos a cuenta IS:
-1008€: Cargado en BBVA el 20/10/23 
-1008€: Cargado en BBVA el 20/12/23 
-386,33€: Cargado Caixa: 05/06/24
87.625,71€: Cargado en Bankinter
el 25/03/25, realizada financiación con Bankinter</t>
        </r>
      </text>
    </comment>
    <comment ref="CS25" authorId="0" shapeId="0" xr:uid="{7ED8BDEC-FCFC-401C-B92C-E638B0525809}">
      <text>
        <r>
          <rPr>
            <b/>
            <sz val="9"/>
            <color indexed="81"/>
            <rFont val="Tahoma"/>
            <family val="2"/>
          </rPr>
          <t>1º pago a cuenta IS a pagar en abril</t>
        </r>
        <r>
          <rPr>
            <sz val="9"/>
            <color indexed="81"/>
            <rFont val="Tahoma"/>
            <family val="2"/>
          </rPr>
          <t xml:space="preserve">
16205,05€: Cargado BBVA Cta Crédito: 22/04/25</t>
        </r>
      </text>
    </comment>
    <comment ref="CZ25" authorId="0" shapeId="0" xr:uid="{42BAB979-3BB8-4FDC-9813-EB176BEB402D}">
      <text>
        <r>
          <rPr>
            <b/>
            <sz val="9"/>
            <color indexed="81"/>
            <rFont val="Tahoma"/>
            <family val="2"/>
          </rPr>
          <t>2º pago a cuenta IS a pagar en octubre</t>
        </r>
        <r>
          <rPr>
            <sz val="9"/>
            <color indexed="81"/>
            <rFont val="Tahoma"/>
            <family val="2"/>
          </rPr>
          <t xml:space="preserve">
16205,05€: Cargado Bankinter: 20/10/25, realizada financiación con Bankinter</t>
        </r>
      </text>
    </comment>
    <comment ref="DB25" authorId="0" shapeId="0" xr:uid="{411DB4AD-8038-4507-9D97-55266452FCCF}">
      <text>
        <r>
          <rPr>
            <b/>
            <sz val="9"/>
            <color indexed="81"/>
            <rFont val="Tahoma"/>
            <family val="2"/>
          </rPr>
          <t>3º pago a cuenta IS a pagar en diciembre</t>
        </r>
        <r>
          <rPr>
            <sz val="9"/>
            <color indexed="81"/>
            <rFont val="Tahoma"/>
            <family val="2"/>
          </rPr>
          <t xml:space="preserve">
16205,05€: Cargado Bankinter: 22/12/25</t>
        </r>
      </text>
    </comment>
    <comment ref="DE25" authorId="1" shapeId="0" xr:uid="{69B9B802-F9CF-44BB-BDFF-925D88B13366}">
      <text>
        <r>
          <rPr>
            <sz val="9"/>
            <color indexed="81"/>
            <rFont val="Tahoma"/>
            <family val="2"/>
          </rPr>
          <t xml:space="preserve">
Descontar del IS los pagos a cuenta de octubre y diciembre 2024 y de abril 2025
13/03/26: Confirmado por Sinver: 87.093,81€ a pagar
IS: 104.071,52€ (25% a pagar)
Aplicada deducción por los pagos fraccionados de octubre y diciembre 2024 y de abril 2025 por un total de 2,402,33€
Pagos a cuenta IS:
-386,33€: Cargado en BBVA el 21/10/24 
-386,33€: Cargado en BBVA el 20/12/24 
-16.205,05€: Cargado Caixa: 22/04/25
87.093,81€:Cargado Bankinter: 20/03/26 realizada financiación con Bankinter</t>
        </r>
      </text>
    </comment>
    <comment ref="DF25" authorId="0" shapeId="0" xr:uid="{4E09DC56-BE79-4550-BA5D-F76A15BB0789}">
      <text>
        <r>
          <rPr>
            <b/>
            <sz val="9"/>
            <color indexed="81"/>
            <rFont val="Tahoma"/>
            <family val="2"/>
          </rPr>
          <t>1º pago a cuenta IS a pagar en abril</t>
        </r>
        <r>
          <rPr>
            <sz val="9"/>
            <color indexed="81"/>
            <rFont val="Tahoma"/>
            <family val="2"/>
          </rPr>
          <t xml:space="preserve">
18.732,87€: Cargado el 20/04/26</t>
        </r>
      </text>
    </comment>
    <comment ref="DM25" authorId="0" shapeId="0" xr:uid="{710CA180-DAE9-4345-A75B-46959BF19C22}">
      <text>
        <r>
          <rPr>
            <b/>
            <sz val="9"/>
            <color indexed="81"/>
            <rFont val="Tahoma"/>
            <family val="2"/>
          </rPr>
          <t>2º pago a cuenta IS a pagar en octubre</t>
        </r>
        <r>
          <rPr>
            <sz val="9"/>
            <color indexed="81"/>
            <rFont val="Tahoma"/>
            <family val="2"/>
          </rPr>
          <t xml:space="preserve">
18.732,87€: Lo cargarán el 20/10/26</t>
        </r>
      </text>
    </comment>
    <comment ref="DO25" authorId="0" shapeId="0" xr:uid="{2C92D845-DF5C-4991-ACFA-A51E198827F1}">
      <text>
        <r>
          <rPr>
            <b/>
            <sz val="9"/>
            <color indexed="81"/>
            <rFont val="Tahoma"/>
            <family val="2"/>
          </rPr>
          <t>3º pago a cuenta IS a pagar en diciembre</t>
        </r>
        <r>
          <rPr>
            <sz val="9"/>
            <color indexed="81"/>
            <rFont val="Tahoma"/>
            <family val="2"/>
          </rPr>
          <t xml:space="preserve">
18.732,87€: Lo cargarán el 20/12/26</t>
        </r>
      </text>
    </comment>
    <comment ref="DR25" authorId="1" shapeId="0" xr:uid="{452FD6D7-9AAE-47DC-98D4-2438C4E8D8FE}">
      <text>
        <r>
          <rPr>
            <sz val="9"/>
            <color indexed="81"/>
            <rFont val="Tahoma"/>
            <family val="2"/>
          </rPr>
          <t xml:space="preserve">
Descontar del IS los pagos a cuenta de octubre y diciembre 2025 y de abril 2026</t>
        </r>
      </text>
    </comment>
    <comment ref="X26" authorId="3" shapeId="0" xr:uid="{213957E0-1CA3-4FE8-93A4-D9326B8D2168}">
      <text>
        <r>
          <rPr>
            <b/>
            <sz val="8"/>
            <color indexed="81"/>
            <rFont val="Tahoma"/>
            <family val="2"/>
          </rPr>
          <t>alfonso:</t>
        </r>
        <r>
          <rPr>
            <sz val="8"/>
            <color indexed="81"/>
            <rFont val="Tahoma"/>
            <family val="2"/>
          </rPr>
          <t xml:space="preserve">
40,80 pago multa por presentar tarde declaracion facturas. Pasado a sinver con agosto y pagado en sept.</t>
        </r>
      </text>
    </comment>
    <comment ref="AH26" authorId="0" shapeId="0" xr:uid="{1B942CBF-C782-41C1-BF39-243DC93785EC}">
      <text>
        <r>
          <rPr>
            <b/>
            <sz val="9"/>
            <color indexed="81"/>
            <rFont val="Tahoma"/>
            <family val="2"/>
          </rPr>
          <t>rosa:</t>
        </r>
        <r>
          <rPr>
            <sz val="9"/>
            <color indexed="81"/>
            <rFont val="Tahoma"/>
            <family val="2"/>
          </rPr>
          <t xml:space="preserve">
Bundeskasse Trier: Devoluciión de IVA pagado en algún viaje a  Alemania, Ingreso extrao.
Abonado Caixa: 05/06/20</t>
        </r>
      </text>
    </comment>
    <comment ref="AQ26" authorId="0" shapeId="0" xr:uid="{353F5798-44EF-4242-ADCD-86239D99E740}">
      <text>
        <r>
          <rPr>
            <sz val="9"/>
            <color indexed="81"/>
            <rFont val="Tahoma"/>
            <family val="2"/>
          </rPr>
          <t>modelo 600  Imp. de Transmisiones patrimoniales de Molino por importe de 4,60 E.</t>
        </r>
        <r>
          <rPr>
            <b/>
            <sz val="9"/>
            <color indexed="81"/>
            <rFont val="Tahoma"/>
            <family val="2"/>
          </rPr>
          <t xml:space="preserve">
</t>
        </r>
        <r>
          <rPr>
            <sz val="9"/>
            <color indexed="81"/>
            <rFont val="Tahoma"/>
            <family val="2"/>
          </rPr>
          <t>Cargado Caixa: 03/02/21
----------------------
25 E: Pago sanción  IS 2018 Molino. 
Facilitada Cta Nixal por ALF a Sinver
Cargado: 18/02/21.</t>
        </r>
      </text>
    </comment>
    <comment ref="BI26" authorId="0" shapeId="0" xr:uid="{E13F2AA2-C9B8-40C2-AD1F-57BD2142FBA0}">
      <text>
        <r>
          <rPr>
            <sz val="9"/>
            <color indexed="81"/>
            <rFont val="Tahoma"/>
            <family val="2"/>
          </rPr>
          <t>Recibo IBI Inmueble República Argentina
del 01/01 al 30/06/22
645,94€+ 32,30€ recargo= 678,24€
Cargado Caixa: 19/07/22</t>
        </r>
      </text>
    </comment>
    <comment ref="BN26" authorId="0" shapeId="0" xr:uid="{291824F4-CD9D-4AF8-8A72-D4F951099AF0}">
      <text>
        <r>
          <rPr>
            <sz val="9"/>
            <color indexed="81"/>
            <rFont val="Tahoma"/>
            <family val="2"/>
          </rPr>
          <t>Recibo IBI Inmueble República Argentina
del 01/07 al 31/12/22
613,64€
Cargado Caixa: 04/11/22</t>
        </r>
      </text>
    </comment>
    <comment ref="BO26" authorId="0" shapeId="0" xr:uid="{012531D6-18F8-43FB-8C80-239CE9CED960}">
      <text>
        <r>
          <rPr>
            <sz val="9"/>
            <color indexed="81"/>
            <rFont val="Tahoma"/>
            <family val="2"/>
          </rPr>
          <t>Modelo 031: Derechos de Importación e Impuestos Indirectos por importe de 15,75€.
Cargado Caixa: 22/12/22</t>
        </r>
      </text>
    </comment>
    <comment ref="BT26" authorId="1" shapeId="0" xr:uid="{F0A4A1B7-18A2-4BD2-97EB-AA37BD7F353F}">
      <text>
        <r>
          <rPr>
            <sz val="9"/>
            <color indexed="81"/>
            <rFont val="Tahoma"/>
            <family val="2"/>
          </rPr>
          <t>Impuesto sobre vehiculo - Coche Land Rover Defender 3577LNJ. 
132,99€ Realizar transferencia y domiciliar en caixa Nixal antes del 30/05/23
Cargado Caixa: 15/05/23</t>
        </r>
      </text>
    </comment>
    <comment ref="BU26" authorId="0" shapeId="0" xr:uid="{FFEAF502-8DE2-44E1-A4E4-62DED82BEAB7}">
      <text>
        <r>
          <rPr>
            <sz val="9"/>
            <color indexed="81"/>
            <rFont val="Tahoma"/>
            <family val="2"/>
          </rPr>
          <t>Recibo IBI Inmueble República Argentina
del 01/01 al 30/06/23
613,64€
Cargado Caixa: 02/06/23</t>
        </r>
      </text>
    </comment>
    <comment ref="BZ26" authorId="1" shapeId="0" xr:uid="{851DB584-446B-42C2-AB7C-0439AD610B4F}">
      <text>
        <r>
          <rPr>
            <sz val="9"/>
            <color indexed="81"/>
            <rFont val="Tahoma"/>
            <family val="2"/>
          </rPr>
          <t>Pago IAE ejercicio 2022 con recargo: 978,00€. 
Cargado: 02/10/23
-------------------------
Pago IAE ejercicio 2023: 931,43€
Cargado: 02/10/23</t>
        </r>
      </text>
    </comment>
    <comment ref="CA26" authorId="0" shapeId="0" xr:uid="{670039FC-17E5-4D3E-9BB2-1267847B99FD}">
      <text>
        <r>
          <rPr>
            <sz val="9"/>
            <color indexed="81"/>
            <rFont val="Tahoma"/>
            <family val="2"/>
          </rPr>
          <t>Recibo IBI Inmueble República Argentina
del 01/07 al 31/12/23
613,64€
Cargado Caixa: 02/11/23</t>
        </r>
      </text>
    </comment>
    <comment ref="CG26" authorId="1" shapeId="0" xr:uid="{3C78C517-A0DC-4ECF-ADD1-5F421E99E3F0}">
      <text>
        <r>
          <rPr>
            <sz val="9"/>
            <color indexed="81"/>
            <rFont val="Tahoma"/>
            <family val="2"/>
          </rPr>
          <t>Impuesto sobre vehiculo - Coche Land Rover Defender 3577LNJ. 
127,66€ Domiciliado Caixa: 02/05/24</t>
        </r>
      </text>
    </comment>
    <comment ref="CH26" authorId="0" shapeId="0" xr:uid="{93CB9D82-9A7C-4ABC-960E-0F7D45888C76}">
      <text>
        <r>
          <rPr>
            <sz val="9"/>
            <color indexed="81"/>
            <rFont val="Tahoma"/>
            <family val="2"/>
          </rPr>
          <t>Recibo IBI Inmueble República Argentina
del 01/01 al 30/06/24
623,45€
Cargado Caixa: 03/06/24
------------------------------
Ayuntamiento Santa Barbara de Casa:
44,10€: Permiso depósitos
Transferencia Caixa realizada el 26/06/24</t>
        </r>
      </text>
    </comment>
    <comment ref="CM26" authorId="1" shapeId="0" xr:uid="{192571AB-57D8-458D-B991-A629629AE6BE}">
      <text>
        <r>
          <rPr>
            <sz val="9"/>
            <color indexed="81"/>
            <rFont val="Tahoma"/>
            <family val="2"/>
          </rPr>
          <t>Impuesto de construcciones RA11: 411,24€
Realizar Cargo: Antes del 05/12/24
Cargado Caixa: 03/10/24
-----------------------
Multa por impago impuesto construcciones RA11: 80,12€
Realizar Cargo: Antes del 05/12/24
Cargado Caixa: 03/10/24-
---------------------------
Pago IAE ejercicio 2024: 922,87€
Realizar Cargo: Antes del 20/11/24
Cargado Caixa: 17/10/24</t>
        </r>
      </text>
    </comment>
    <comment ref="CN26" authorId="0" shapeId="0" xr:uid="{4F568D9E-48C3-4BCC-9075-C942D4ABC5EE}">
      <text>
        <r>
          <rPr>
            <sz val="9"/>
            <color indexed="81"/>
            <rFont val="Tahoma"/>
            <family val="2"/>
          </rPr>
          <t>Recibo IBI Inmueble República Argentina
del 01/07 al 31/12/24
623,45€
Cargado Caixa: 04/11/24</t>
        </r>
      </text>
    </comment>
    <comment ref="CR26" authorId="1" shapeId="0" xr:uid="{B054039A-8531-4145-8370-8C1B9BF6F0F1}">
      <text>
        <r>
          <rPr>
            <sz val="9"/>
            <color indexed="81"/>
            <rFont val="Tahoma"/>
            <family val="2"/>
          </rPr>
          <t xml:space="preserve">Impuesto de transmisiones patrimoniales por compraventa de la finca de Hnos Gutiérrez: 3.144,02€
Cargado Caixa: 03/03/25
-----------------------
</t>
        </r>
      </text>
    </comment>
    <comment ref="CS26" authorId="1" shapeId="0" xr:uid="{F9E5C625-E3CF-49B2-B4F2-C9791775D688}">
      <text>
        <r>
          <rPr>
            <sz val="9"/>
            <color indexed="81"/>
            <rFont val="Tahoma"/>
            <family val="2"/>
          </rPr>
          <t>Impuesto sobre vehiculo - Coche Land Rover Defender 3804 MLN. 
130,93€ Realizar pago antes del 02/06/25
Cargado Caixa: 16/04/25</t>
        </r>
      </text>
    </comment>
    <comment ref="CT26" authorId="0" shapeId="0" xr:uid="{81C71256-1621-4189-8EBB-315B45FC566A}">
      <text>
        <r>
          <rPr>
            <b/>
            <sz val="9"/>
            <color indexed="81"/>
            <rFont val="Tahoma"/>
            <family val="2"/>
          </rPr>
          <t xml:space="preserve">Impuesto transmisiones compra finca nº docu 73742: 9.211,28€
</t>
        </r>
        <r>
          <rPr>
            <sz val="9"/>
            <color indexed="81"/>
            <rFont val="Tahoma"/>
            <family val="2"/>
          </rPr>
          <t>Cargado Caixa: 05/05/25</t>
        </r>
        <r>
          <rPr>
            <b/>
            <sz val="9"/>
            <color indexed="81"/>
            <rFont val="Tahoma"/>
            <family val="2"/>
          </rPr>
          <t xml:space="preserve">
Impuesto transmisiones compra finca nº docu 73734: 7.103,57€
</t>
        </r>
        <r>
          <rPr>
            <sz val="9"/>
            <color indexed="81"/>
            <rFont val="Tahoma"/>
            <family val="2"/>
          </rPr>
          <t>Cargado Caixa: 05/05/25</t>
        </r>
        <r>
          <rPr>
            <b/>
            <sz val="9"/>
            <color indexed="81"/>
            <rFont val="Tahoma"/>
            <family val="2"/>
          </rPr>
          <t xml:space="preserve">
Impuesto transmisiones compra finca nº docu 76554: 527,62€
</t>
        </r>
        <r>
          <rPr>
            <sz val="9"/>
            <color indexed="81"/>
            <rFont val="Tahoma"/>
            <family val="2"/>
          </rPr>
          <t>Cargado Caixa: 05/05/25</t>
        </r>
        <r>
          <rPr>
            <b/>
            <sz val="9"/>
            <color indexed="81"/>
            <rFont val="Tahoma"/>
            <family val="2"/>
          </rPr>
          <t xml:space="preserve">
Impuesto transmisiones compra finca nº docu 73751: 5.526,76€
</t>
        </r>
        <r>
          <rPr>
            <sz val="9"/>
            <color indexed="81"/>
            <rFont val="Tahoma"/>
            <family val="2"/>
          </rPr>
          <t xml:space="preserve">Cargado Caixa: 05/05/25
</t>
        </r>
      </text>
    </comment>
    <comment ref="CU26" authorId="0" shapeId="0" xr:uid="{2D2B6E9F-405A-4E8F-8336-97354DC2162B}">
      <text>
        <r>
          <rPr>
            <sz val="9"/>
            <color indexed="81"/>
            <rFont val="Tahoma"/>
            <family val="2"/>
          </rPr>
          <t>Recibo IBI Inmueble República Argentina
del 01/01 al 30/06/25
623,45€
Cargado Caixa: 02/06/25
----------------------------------
Notas simple fincas para estudio de financiación Caja Rural: 9,56*5=47,80€
Pagado VISA ALB: 15/05/25
Cargado Caixa: 05/06/25</t>
        </r>
      </text>
    </comment>
    <comment ref="CZ26" authorId="1" shapeId="0" xr:uid="{A4C238F1-D744-4AE9-A877-4B8D9F562A7E}">
      <text>
        <r>
          <rPr>
            <sz val="9"/>
            <color indexed="81"/>
            <rFont val="Tahoma"/>
            <family val="2"/>
          </rPr>
          <t xml:space="preserve">Multa zona bajas emisiones ALF: 100€
Cargo realizado en Caixa: 07/10/25
---------------------------
</t>
        </r>
      </text>
    </comment>
    <comment ref="DA26" authorId="0" shapeId="0" xr:uid="{FAA31901-6B61-41AE-BC26-031E482317C9}">
      <text>
        <r>
          <rPr>
            <sz val="9"/>
            <color indexed="81"/>
            <rFont val="Tahoma"/>
            <family val="2"/>
          </rPr>
          <t xml:space="preserve">Recibo IBI Inmueble República Argentina
del 01/07 al 31/12/25
623,45€
Cargado Caixa: 03/11/25
----------------------------------
</t>
        </r>
      </text>
    </comment>
    <comment ref="DE26" authorId="0" shapeId="0" xr:uid="{81857EFF-2873-4332-8EBA-050BBA54A817}">
      <text>
        <r>
          <rPr>
            <sz val="9"/>
            <color indexed="81"/>
            <rFont val="Tahoma"/>
            <family val="2"/>
          </rPr>
          <t>4957,84€: Impuesto liquidación de transmisiones
Cargado Caixa: 13/03/26</t>
        </r>
      </text>
    </comment>
    <comment ref="DG26" authorId="1" shapeId="0" xr:uid="{6E22831E-DD44-4E67-A152-9BED9FBBFB39}">
      <text>
        <r>
          <rPr>
            <sz val="9"/>
            <color indexed="81"/>
            <rFont val="Tahoma"/>
            <family val="2"/>
          </rPr>
          <t>Impuesto sobre vehiculo - Coche Land Rover Defender 3804 MLN. 
127,66€: Cargado Caixa: 04/05/26</t>
        </r>
      </text>
    </comment>
    <comment ref="DH26" authorId="0" shapeId="0" xr:uid="{29974211-45F2-4ED6-90AB-20D7996D420D}">
      <text>
        <r>
          <rPr>
            <sz val="9"/>
            <color indexed="81"/>
            <rFont val="Tahoma"/>
            <family val="2"/>
          </rPr>
          <t xml:space="preserve">Recibo IBI Inmueble República Argentina
del 01/01 al 30/06/26
616,93€
Cargado Caixa: 02/06/26
----------------------------------
</t>
        </r>
      </text>
    </comment>
    <comment ref="DI26" authorId="0" shapeId="0" xr:uid="{38C51F27-8442-45C0-8153-AC1350CC93ED}">
      <text>
        <r>
          <rPr>
            <sz val="9"/>
            <color indexed="81"/>
            <rFont val="Tahoma"/>
            <family val="2"/>
          </rPr>
          <t xml:space="preserve">Pago IAE ejercicio 2024: 922,87€
Realizar Cargo: Antes del 20/11/24
No ha llegado recibo 2025
Reclamado a Sinver, RE: no lo han emitido, llegará pero sin recargo
------------------------------------
</t>
        </r>
      </text>
    </comment>
    <comment ref="X27" authorId="3" shapeId="0" xr:uid="{BD29C5B5-DCF4-4E99-9CD2-5EFEF1DA36FA}">
      <text>
        <r>
          <rPr>
            <b/>
            <sz val="8"/>
            <color indexed="81"/>
            <rFont val="Tahoma"/>
            <family val="2"/>
          </rPr>
          <t>alfonso:</t>
        </r>
        <r>
          <rPr>
            <sz val="8"/>
            <color indexed="81"/>
            <rFont val="Tahoma"/>
            <family val="2"/>
          </rPr>
          <t xml:space="preserve">
Servicios bancarios recepción transferecias:
CREMER 87,56
Devolucion de otras:
43,78+7,5+10,89</t>
        </r>
      </text>
    </comment>
    <comment ref="AC27" authorId="3" shapeId="0" xr:uid="{0F58B897-B322-4585-AD28-40E88B315068}">
      <text>
        <r>
          <rPr>
            <b/>
            <sz val="9"/>
            <color indexed="81"/>
            <rFont val="Tahoma"/>
            <family val="2"/>
          </rPr>
          <t>alfonso:</t>
        </r>
        <r>
          <rPr>
            <sz val="9"/>
            <color indexed="81"/>
            <rFont val="Tahoma"/>
            <family val="2"/>
          </rPr>
          <t xml:space="preserve">
1 eu de comision bancaria cobro guidepoint
25 comision cobro roquette
7,50 comision cobro guidepoint</t>
        </r>
      </text>
    </comment>
    <comment ref="AD27" authorId="3" shapeId="0" xr:uid="{5017506F-B9EF-45ED-95E6-3B3DCC165087}">
      <text>
        <r>
          <rPr>
            <b/>
            <sz val="9"/>
            <color indexed="81"/>
            <rFont val="Tahoma"/>
            <family val="2"/>
          </rPr>
          <t>alfonso:</t>
        </r>
        <r>
          <rPr>
            <sz val="9"/>
            <color indexed="81"/>
            <rFont val="Tahoma"/>
            <family val="2"/>
          </rPr>
          <t xml:space="preserve">
80 de cobro 40,000 bioagra
1 de cobro Marquis</t>
        </r>
      </text>
    </comment>
    <comment ref="AE27" authorId="3" shapeId="0" xr:uid="{4B49C76D-2254-499D-A521-3C1A6A0BDCE1}">
      <text>
        <r>
          <rPr>
            <b/>
            <sz val="9"/>
            <color indexed="81"/>
            <rFont val="Tahoma"/>
            <family val="2"/>
          </rPr>
          <t>alfonso:</t>
        </r>
        <r>
          <rPr>
            <sz val="9"/>
            <color indexed="81"/>
            <rFont val="Tahoma"/>
            <family val="2"/>
          </rPr>
          <t xml:space="preserve">
39000 eu entran en banco
78 eu comision bancaria cobro verivio de 39000 este mes
</t>
        </r>
      </text>
    </comment>
    <comment ref="AF27" authorId="0" shapeId="0" xr:uid="{A453B22B-E5D9-471A-AB2C-60164D003199}">
      <text>
        <r>
          <rPr>
            <b/>
            <sz val="9"/>
            <color indexed="81"/>
            <rFont val="Tahoma"/>
            <family val="2"/>
          </rPr>
          <t>rosa:</t>
        </r>
        <r>
          <rPr>
            <sz val="9"/>
            <color indexed="81"/>
            <rFont val="Tahoma"/>
            <family val="2"/>
          </rPr>
          <t xml:space="preserve">
250€: Constitución cuenta de crédito
Cargado: 07/04/20
20 USD: Comisión por ingreso de 86791,12 USD en Cta Paragon el 02/04/2020
165,80 USD: Comisiones y gastos apertura en Cta Paragon del  02 al 14/04/2020</t>
        </r>
      </text>
    </comment>
    <comment ref="AG27" authorId="0" shapeId="0" xr:uid="{B505716D-6429-4FE0-A370-07EE671574D9}">
      <text>
        <r>
          <rPr>
            <b/>
            <sz val="9"/>
            <color indexed="81"/>
            <rFont val="Tahoma"/>
            <family val="2"/>
          </rPr>
          <t>rosa:</t>
        </r>
        <r>
          <rPr>
            <sz val="9"/>
            <color indexed="81"/>
            <rFont val="Tahoma"/>
            <family val="2"/>
          </rPr>
          <t xml:space="preserve">
77,6 comision bancaria cobro Shell de este mes: 14/05/20
1 E: Comisión cobro fra Guidepoint 
72,90 USD: Comisiones y gastos apertura en Cta Paragon del  01/05/2020
20,61 USD: Comisiones y gastos cierre en Cta Paragon del  29/05/2020</t>
        </r>
      </text>
    </comment>
    <comment ref="AH27" authorId="0" shapeId="0" xr:uid="{6B5A89D7-6837-459A-A67E-E4ED703A11FC}">
      <text>
        <r>
          <rPr>
            <b/>
            <sz val="9"/>
            <color indexed="81"/>
            <rFont val="Tahoma"/>
            <family val="2"/>
          </rPr>
          <t>rosa:</t>
        </r>
        <r>
          <rPr>
            <sz val="9"/>
            <color indexed="81"/>
            <rFont val="Tahoma"/>
            <family val="2"/>
          </rPr>
          <t xml:space="preserve">
0,30 E: C. servicio Paygold
Cargado: 02/06/20
52,29 USD: Comisiones y gastos cierre en Cta Paragon del  02/06/2020
145,80 USD: Comisiones y gastos cierre en Cta Paragon del 19/06/2020
</t>
        </r>
      </text>
    </comment>
    <comment ref="AI27" authorId="0" shapeId="0" xr:uid="{904AC2C9-E66F-46E0-9FB3-E46F8FF64E4C}">
      <text>
        <r>
          <rPr>
            <b/>
            <sz val="9"/>
            <color indexed="81"/>
            <rFont val="Tahoma"/>
            <family val="2"/>
          </rPr>
          <t>rosa:</t>
        </r>
        <r>
          <rPr>
            <sz val="9"/>
            <color indexed="81"/>
            <rFont val="Tahoma"/>
            <family val="2"/>
          </rPr>
          <t xml:space="preserve">
41,67 E: Liquidación cuenta de crédito
Cargado: 01/07/20
80 E: Cuota mantenimiento tarjeta
Lo cargan en VISA el 05/07/20
123,75 E: Intereses del préstamo del 07/06 al 06/07/20
Cargado: 07/07/20
20 USD: Comisión por ingreso de 15800 USD en Cta Paragon el 17/07/2020</t>
        </r>
      </text>
    </comment>
    <comment ref="AJ27" authorId="0" shapeId="0" xr:uid="{0BFC97E7-0695-469C-A622-89C5BFFF7671}">
      <text>
        <r>
          <rPr>
            <b/>
            <sz val="9"/>
            <color indexed="81"/>
            <rFont val="Tahoma"/>
            <family val="2"/>
          </rPr>
          <t>rosa:</t>
        </r>
        <r>
          <rPr>
            <sz val="9"/>
            <color indexed="81"/>
            <rFont val="Tahoma"/>
            <family val="2"/>
          </rPr>
          <t xml:space="preserve">
145,01 E: Gastos por realizar transferencia cargado por error
Cargado: 31/08/20</t>
        </r>
      </text>
    </comment>
    <comment ref="AL27" authorId="0" shapeId="0" xr:uid="{EAD620F4-6D52-4511-96DB-66DFF5550D1C}">
      <text>
        <r>
          <rPr>
            <b/>
            <sz val="9"/>
            <color indexed="81"/>
            <rFont val="Tahoma"/>
            <family val="2"/>
          </rPr>
          <t>rosa:</t>
        </r>
        <r>
          <rPr>
            <sz val="9"/>
            <color indexed="81"/>
            <rFont val="Tahoma"/>
            <family val="2"/>
          </rPr>
          <t xml:space="preserve">
145,01 E: Devolución de gastos por realizar transferencia cargado por error el 31/08
Abonado: 02/09/20
7 E: Gastos por talonario pagarés
Cargado: 21/09</t>
        </r>
      </text>
    </comment>
    <comment ref="AM27" authorId="0" shapeId="0" xr:uid="{5AEFDC4C-6F7A-4A6D-8210-E0EF712B384A}">
      <text>
        <r>
          <rPr>
            <b/>
            <sz val="9"/>
            <color indexed="81"/>
            <rFont val="Tahoma"/>
            <family val="2"/>
          </rPr>
          <t>rosa:</t>
        </r>
        <r>
          <rPr>
            <sz val="9"/>
            <color indexed="81"/>
            <rFont val="Tahoma"/>
            <family val="2"/>
          </rPr>
          <t xml:space="preserve">
4,78 E: Coste por consulta y  verificación de información en Caixa el 03/10/20
Cargado: 07/10/20
1200 E: Comisión apertura línea descuento pagarés
Cargado Cta Tradeind: 28/10/20
20 USD: Comisión por ingreso de 28440,72 USD en Cta Paragon el 16/10/2020</t>
        </r>
      </text>
    </comment>
    <comment ref="AO27" authorId="3" shapeId="0" xr:uid="{98BC1CDE-B779-4177-84A6-E209D0E9F1D8}">
      <text>
        <r>
          <rPr>
            <sz val="9"/>
            <color indexed="81"/>
            <rFont val="Tahoma"/>
            <family val="2"/>
          </rPr>
          <t xml:space="preserve">----------------------------------
269,25 E: Cargo por Timbre el 30/12/20 por ingreso de pagaré de Ladercos
14/01/21: Solicitada devolución a Caixa
-----------------------------------
</t>
        </r>
      </text>
    </comment>
    <comment ref="AP27" authorId="3" shapeId="0" xr:uid="{4A68BFDC-E840-4F7F-98A5-DE5C403BAC75}">
      <text>
        <r>
          <rPr>
            <sz val="9"/>
            <color indexed="81"/>
            <rFont val="Tahoma"/>
            <family val="2"/>
          </rPr>
          <t xml:space="preserve">
80 eu comision bancaria del cobro de 40000 de bioagra
------------------
100 E: Comisión por devolución de transferencias
Cargado Caixa: 11/01/21
---------------------------
220 USD: Comisión por ingreso aportación de socios de 55000 USD el 08/01/21
-------------------------
403,18 USD: Comisión por traspaso de 55000 USD de la Cta Caixa USD a la Cta Paragon el 27/01/21
-------------------------
145,80 USD: Comisiones y gastos apertura en Cta Paragon del 22/01/2021
-------------------------</t>
        </r>
      </text>
    </comment>
    <comment ref="AQ27" authorId="0" shapeId="0" xr:uid="{67D2293F-96DD-4729-88AC-DAFB92010E77}">
      <text>
        <r>
          <rPr>
            <sz val="9"/>
            <color indexed="81"/>
            <rFont val="Tahoma"/>
            <family val="2"/>
          </rPr>
          <t xml:space="preserve">-214 USD: Devolución comisión por ingreso aportación de socios de 55000 USD el 08/01/21
Abonado Caixa USD: 06/02/21
-------------------------
-192,50 USD: Devolución comisión por traspaso de 55000 USD de la Cta Caixa USD a la Cta Paragon el 27/01/21
Abonado Caixa USD: 06/02/21
-18,18 USD: Devolución comisión por SWIFT x traspaso de 55000 USD de la Cta Caixa USD a la Cta Paragon el 27/01/21
Abonado Caixa USD: 09/02/21
------------------------------------------
- 80E Devolución por comision bancaria del cobro de 40000 de bioagra el 06/02/21.
------------------------------------------
-12,5*4=-50 E: Devolución comisión por devolución de transferencias
Cargado Caixa: 06/02/21
</t>
        </r>
      </text>
    </comment>
    <comment ref="AR27" authorId="1" shapeId="0" xr:uid="{576A96FD-117B-4129-A214-8C5A12463501}">
      <text>
        <r>
          <rPr>
            <sz val="9"/>
            <color indexed="81"/>
            <rFont val="Tahoma"/>
            <family val="2"/>
          </rPr>
          <t>-------------
274,80 USD : Comisiones y Exchange fees en cuenta Paragon a 01/03/21.</t>
        </r>
      </text>
    </comment>
    <comment ref="AS27" authorId="0" shapeId="0" xr:uid="{78492272-265E-477C-BDEC-F49BB0A69540}">
      <text>
        <r>
          <rPr>
            <sz val="9"/>
            <color indexed="81"/>
            <rFont val="Tahoma"/>
            <family val="2"/>
          </rPr>
          <t>14,40 USD: comisión de mantenimiento.
Tc: 1,2240
cargado Caixa USD: 01/04/21.
---------------------------------------------------
7,39 USD: Comision caixa por transfer recibida del cobro de Seaboard.
Tc: 1,2018.
Cargado en caixa USD: 21/04/21.
------------------------------------------------------
1,39 E: Liquidación cuenta de crédito
Cargado: 02/04/21.
------------------------------------------------------
14,85 E: Gasto descuento por ingresar pagaré De Ruy con antelación. Cargado el 07/04/21 en Caja rural. 
----------------------------------------------------------
68,7 USD comisión y exchange fees caragado en cuenta Paragon el 12/04/21.</t>
        </r>
      </text>
    </comment>
    <comment ref="AT27" authorId="0" shapeId="0" xr:uid="{742A9F9F-62A3-43B4-A7F5-4BEE1CDDB54F}">
      <text>
        <r>
          <rPr>
            <sz val="9"/>
            <color indexed="81"/>
            <rFont val="Tahoma"/>
            <family val="2"/>
          </rPr>
          <t xml:space="preserve">15 Eur: Comisión emision transferencia internacional. Pago factura Agricensus.
Caragado el 04/05/21.
------------------------------------------------------
15 Eur: Comisión emision transferencia internacional. Pago factura Energycensus.
Caragado el 04/05/21.
----------------------------------------------------
7,41 USD: Comision caixa por transfer recibida del cobro de SCA.
Tc: 1,2039.
Cargado en caixa USD: 07/05/21.
--------------------------------------------------------
7,49 USD: Comision caixa por transfer recibida del cobro de ACA bio.
Tc: 1,20499.
Cargado en caixa USD: 31/05/21.
------------------------------------------------------
7,5 Eur: Devolución comisión emision transferencia internacional. factura Agricensus.
Caragado el 30/05/21.
---------------------------------------------------
7,5 Eur: Devolución comisión emision transferencia internacional. factura Energycensus.
Caragado el 30/05/21.
-------------------------------------------------
5.517,46 USD: Paragon: Commission + exchange fees + NFA fees + Option premium.
Cargado del 10 al 13/05/21.
 </t>
        </r>
      </text>
    </comment>
    <comment ref="AU27" authorId="1" shapeId="0" xr:uid="{C4FA376D-FD34-4BFA-8B85-28120455FECB}">
      <text>
        <r>
          <rPr>
            <sz val="9"/>
            <color indexed="81"/>
            <rFont val="Tahoma"/>
            <family val="2"/>
          </rPr>
          <t xml:space="preserve">
1 Eur: comisión cobro greenenergy. 
Cargado: 25/06/21.
-------------------------------------------------
2 Eur: comision business bank en caixa Trade ind. 
Cargado: 22/06/21.
---------------------------------------------------
18,27 USD : comisión pago factura Tropix capital. Cargado: 02/06/21. 
---------------------------------------------------
65,57 USD: Comision transferencia a VFX financial. 
Cargado: 08/06/21.
--------------------------------------------------
556,38 USD: Paragon: Commission + exchange fees + NFA fees.
Cargado del 11 al 25/06/21.
--------------------------------------------------
30 USD: Comisión traspaso paragon-vfx. 
Cargado: 25/06/21.
---------------------------------------------------
30 Eur: Comisión traspaso paragon-vfx. 
Cargado: 25/06/21.
---------------------------------------------------- 
55 USD: Dolares que se pierden en la transacción. No llegó la totalidad desde Caixa a VFX. Tc= 1,2050
---------------------------------------------------</t>
        </r>
      </text>
    </comment>
    <comment ref="AV27" authorId="1" shapeId="0" xr:uid="{C4DB2FBD-3832-4C09-8C20-BC5647E21557}">
      <text>
        <r>
          <rPr>
            <sz val="9"/>
            <color indexed="81"/>
            <rFont val="Tahoma"/>
            <family val="2"/>
          </rPr>
          <t>1€: Comisión cobro vivergo.
---------------------------------------------------
178,97 Eur: Intereses descuento pagarés ladercos y DE RUY. 
Cargado el 19/07/21.
-------------------------------------------------
2,43€: comision mantenimiento cuenta trade ind. 
-------------------------------------------------
1.200 Eur: gastos y comisiones compra inmueble. 
Cargado en BBVA el 22/07/21. 
------------------------------------------------
148,84 Eur: Comisiones Paragon: 171,75 USD al Tc: 1,1539</t>
        </r>
      </text>
    </comment>
    <comment ref="AW27" authorId="1" shapeId="0" xr:uid="{92B5A7DB-4E61-4E65-BBA5-30DB131ECA0C}">
      <text>
        <r>
          <rPr>
            <sz val="9"/>
            <color indexed="81"/>
            <rFont val="Tahoma"/>
            <family val="2"/>
          </rPr>
          <t xml:space="preserve">10,34€: comision mantenimiento Cuenta Caixa USD. 
(12,14/1,1736)
---------------------------------
29,77€: Comisiones paragon cargadas el 05/08/21
34,35usd al T.C=1,1539
</t>
        </r>
      </text>
    </comment>
    <comment ref="AY27" authorId="1" shapeId="0" xr:uid="{FE3D3E1A-CB30-484E-8CFC-2C869CA3F6EA}">
      <text>
        <r>
          <rPr>
            <sz val="9"/>
            <color indexed="81"/>
            <rFont val="Tahoma"/>
            <family val="2"/>
          </rPr>
          <t>3€: comision por devolución domiciliación Safinco cargada el 02/09/21 
Cargado: 21/09/21
---------------------------------
3€: comision por devolución domiciliación Safinco cargada el 14/09/21 
Cargado: 21/09/21
-------------------------------
1199,44€: Comisiones paragon cargadas entre el 7 y 29/09/21
716,07 usd al T.C=1,1539
673,17 usd al T.C=1,1629
----------------------------------
78,30€: Comisiones paragon cargadas el 20/09/21
-----------------------------------
120€: Comisión por recepción transferencia de Alberto de 60000€, reclamada a Jesús el 07/10/21
Cargada: 25/09/21
----------------------------------------</t>
        </r>
      </text>
    </comment>
    <comment ref="AZ27" authorId="0" shapeId="0" xr:uid="{46FEC346-54C4-46A3-BEF6-4C760FF938DF}">
      <text>
        <r>
          <rPr>
            <sz val="9"/>
            <color indexed="81"/>
            <rFont val="Tahoma"/>
            <family val="2"/>
          </rPr>
          <t>7,12 USD: comision por ingreso de Castleton en Caixa USD. 
Cargado Caixa USD: 02/10/21
Tc: 1,1637
---------------------------------
-120€: Devolución Comisión por recepción transferencia de Alberto de 60000€
Abonada: 07/10/21
---------------------------------
24,88 Eur: Intereses descuento pagarés DE RUY. 
Cargado el 06/10/21.
------------------------------------
12,13€: comision mantenimiento Cuenta Caixa USD. 
(14,23/1,1736)
Cargado Cta Caixa USD: 01/10/21
----------------------------------
31,33 USD: Comision Caixa por transferencia a VFX financial. 
Cargado: 05/10/21.
Tc: 1,1637</t>
        </r>
      </text>
    </comment>
    <comment ref="BB27" authorId="0" shapeId="0" xr:uid="{98E35240-EC89-4D89-A69E-49A57255204D}">
      <text>
        <r>
          <rPr>
            <sz val="9"/>
            <color indexed="81"/>
            <rFont val="Tahoma"/>
            <family val="2"/>
          </rPr>
          <t>70€: Comisión por recepción transferencia de Herederos de 35000€, reclamada a Jesús el 27/12/21
Cargada: 24/12/21
---------------------------------
-70€: Devolución Comisión por recepción transferencia de Herederos de 35000€
Abonada Caixa: 28/12/21
---------------------------------
3€: comision por devolución domiciliación Safinco cargada el 16/11/21 
Cargado: 01/12/21
----------------------------
78,30€: Comisiones operaciones Paragon en €.
-----------------------------------------------------------
504,47€: Comisiones operaciones Paragon (585,54 usd).</t>
        </r>
      </text>
    </comment>
    <comment ref="BC27" authorId="0" shapeId="0" xr:uid="{923E0CCE-C5B0-4B41-8150-822F5ACAE8AD}">
      <text>
        <r>
          <rPr>
            <sz val="9"/>
            <color indexed="81"/>
            <rFont val="Tahoma"/>
            <family val="2"/>
          </rPr>
          <t>12,28€: comision mantenimiento Cuenta Caixa USD. 
(13,97$/1,1374)
Cargado Cta Caixa USD: 01/01/22
----------------------------------
30,45 USD: Comision Caixa por transferencia a VFX financial. 
Cargado: 26/01/22
Tc: 1,1374</t>
        </r>
      </text>
    </comment>
    <comment ref="BD27" authorId="0" shapeId="0" xr:uid="{99AE56B5-805C-4D83-B662-37C12FB98FB1}">
      <text>
        <r>
          <rPr>
            <sz val="9"/>
            <color indexed="81"/>
            <rFont val="Tahoma"/>
            <family val="2"/>
          </rPr>
          <t>1€: Comisión por recepción transferencia de Trafigura
Cargada: 16/02/22
-----------------------------------------------------------
88,78€: Comisiones operaciones Paragon (103,05 usd).</t>
        </r>
      </text>
    </comment>
    <comment ref="BE27" authorId="0" shapeId="0" xr:uid="{EACADEC9-E28B-448B-B6DE-3CE445147FB7}">
      <text>
        <r>
          <rPr>
            <sz val="9"/>
            <color indexed="81"/>
            <rFont val="Tahoma"/>
            <family val="2"/>
          </rPr>
          <t>1€: Comisión por recepción transferencia de Greenergy
Cargada: 25/03/22
-----------------------------------------------------------
4,43€: Comisión por transferencia a ISO
Cargada: 24/03/22
-----------------------------------------------------------
88,92€: Comisiones operaciones Paragon (103,05 usd).</t>
        </r>
      </text>
    </comment>
    <comment ref="BF27" authorId="0" shapeId="0" xr:uid="{E31CF052-0253-4FAC-B561-02DB74334151}">
      <text>
        <r>
          <rPr>
            <sz val="9"/>
            <color indexed="81"/>
            <rFont val="Tahoma"/>
            <family val="2"/>
          </rPr>
          <t>12,29€: comision mantenimiento Cuenta Caixa USD. 
(13,59$/1,1055)
Cargado Cta Caixa USD: 01/04/22
----------------------------------
59,28€: Comisiones operaciones Paragon (68,70 usd).
----------------------------------
832,30€: Comisión por ingreso de Total Energies en BBVA el 22/04/22 (pndte devoluc)
-----------------------------------
173,64€: Comisión por ingreso de Total Energies en BBVA el 25/04/22 (pndte devoluc)
------------------------------------</t>
        </r>
      </text>
    </comment>
    <comment ref="BG27" authorId="0" shapeId="0" xr:uid="{960F7038-9624-49C5-8779-F4796D734870}">
      <text>
        <r>
          <rPr>
            <sz val="9"/>
            <color indexed="81"/>
            <rFont val="Tahoma"/>
            <family val="2"/>
          </rPr>
          <t>238,84€: Comisiones operaciones Paragon (270,55 usd).
-------------------------------------------
1,63€: Comisiones por servicios telemáticos
Cargado BBVA: 03/05/22</t>
        </r>
      </text>
    </comment>
    <comment ref="BH27" authorId="0" shapeId="0" xr:uid="{3011EF51-C0DA-4D1A-A377-3E52295A7AA0}">
      <text>
        <r>
          <rPr>
            <sz val="9"/>
            <color indexed="81"/>
            <rFont val="Tahoma"/>
            <family val="2"/>
          </rPr>
          <t>-752,30€: Devolución parte de la comisión por ingreso de Total Energies en BBVA el 22/04/22 
Abonado BBVA: 23/06/22
-----------------------------------
-143,64€: Devolución parte de la comisión por ingreso de Total Energies en BBVA el 25/04/22 
Abonado BBVA: 23/06/22
-------------------------------------
225,51€: Comisiones operaciones Paragon (255,45 usd).
----------------------------------------
15€: Comisión traspaso 60000€ a Alberto
Cargado Caixa: 29/06/22
--------------------------------------- 
0,91€: Comisiones por servicios telemáticos
Cargado BBVA: 01/06/22
---------------------------------------
28,85 USD: Comision Caixa por transferencia a VFX financial. 
Cargado: 02/06/22
Tc: 1,0784</t>
        </r>
      </text>
    </comment>
    <comment ref="BI27" authorId="0" shapeId="0" xr:uid="{2491CFEC-4251-4752-8C00-667A4C252D4D}">
      <text>
        <r>
          <rPr>
            <sz val="9"/>
            <color indexed="81"/>
            <rFont val="Tahoma"/>
            <family val="2"/>
          </rPr>
          <t>292,78€: Comisiones operaciones Paragon (331,65 usd).
----------------------------------------
11,93€: comision mantenimiento Cuenta Caixa USD. 
(12,87$/1,0784)
Cargado Cta Caixa USD: 12/07/22
----------------------------------
6,13€: comision cobro Redwood
(6,21$/1,0129)
Cargado Cta Caixa USD: 26/07/22
------------------------------
0,36€: Comisiones por servicios telemáticos
Cargado BBVA: 01/07/22
---------------------------------
12€: Comisiones y gastos
Cargado BBVA: 18/07/22</t>
        </r>
      </text>
    </comment>
    <comment ref="BJ27" authorId="0" shapeId="0" xr:uid="{222CEDD5-F9A0-4844-A92B-83565BB47255}">
      <text>
        <r>
          <rPr>
            <sz val="9"/>
            <color indexed="81"/>
            <rFont val="Tahoma"/>
            <family val="2"/>
          </rPr>
          <t>12€: Comisiones y gastos
Cargado BBVA: 16/08/22
------------------------------------
782,17€: Comisiones operaciones Paragon (855,01 usd).
----------------------------------------</t>
        </r>
      </text>
    </comment>
    <comment ref="BL27" authorId="0" shapeId="0" xr:uid="{E5FE91EA-DDB8-4C40-9D4B-94E7929A5DF6}">
      <text>
        <r>
          <rPr>
            <sz val="9"/>
            <color indexed="81"/>
            <rFont val="Tahoma"/>
            <family val="2"/>
          </rPr>
          <t>-287,24€: Abono Comisiones operaciones Paragon (-270,45 usd).
----------------------------------------
1,09€: Comisiones por servicios telemáticos
Cargado BBVA: 01/09/22
---------------------------------
12€: Comisiones y gastos
Cargado BBVA: 19/09/22</t>
        </r>
      </text>
    </comment>
    <comment ref="BM27" authorId="0" shapeId="0" xr:uid="{E7BFB366-F908-4065-89B5-003511CEFA94}">
      <text>
        <r>
          <rPr>
            <sz val="9"/>
            <color indexed="81"/>
            <rFont val="Tahoma"/>
            <family val="2"/>
          </rPr>
          <t>16,53€: Comisiones operaciones Paragon (18,06 usd al Tc 1,0927).
----------------------------------------
11,89€: comision mantenimiento Cuenta Caixa USD. 
(12,04$/1,0129)
Cargado Cta Caixa USD: 01/10/22
----------------------------------
26,77€: comision traspaso a VFX $
(26,64$/0,9950)
Cargado Cta Caixa USD: 25/10/22
---------------------------------
12€: Comisiones y gastos
Cargado BBVA: 17/10/22</t>
        </r>
      </text>
    </comment>
    <comment ref="BN27" authorId="0" shapeId="0" xr:uid="{4254CFDE-845F-431E-9B41-9E6A1C110488}">
      <text>
        <r>
          <rPr>
            <sz val="9"/>
            <color indexed="81"/>
            <rFont val="Tahoma"/>
            <family val="2"/>
          </rPr>
          <t>660,50€: Comisiones operaciones Paragon (721,73 usd al Tc 1,0927).
----------------------------------------
12€: Comisiones y gastos
Cargado BBVA: 16/11/22
----------------------------------------
0,54€: Comisiones por servicios telemáticos
Cargado BBVA: 02/11/22</t>
        </r>
      </text>
    </comment>
    <comment ref="BO27" authorId="0" shapeId="0" xr:uid="{9979B9E5-D5DA-49FB-A880-68CFA40E53E5}">
      <text>
        <r>
          <rPr>
            <sz val="9"/>
            <color indexed="81"/>
            <rFont val="Tahoma"/>
            <family val="2"/>
          </rPr>
          <t>112,21€: Comisiones operaciones Paragon (121,12 usd al Tc 1,0794).
----------------------------------------
27,91€: Comisiones traspaso fondos a VFX (30 usd al Tc 1,0750).
-------------------------------------
12€: Comisiones y gastos
Cargado BBVA: 19/12/22
----------------------------------------
0,36€: Comisiones por servicios telemáticos
Cargado BBVA: 01/12/22</t>
        </r>
      </text>
    </comment>
    <comment ref="BP27" authorId="0" shapeId="0" xr:uid="{E705DB7A-2D42-49C4-BEDE-0672E315CBF1}">
      <text>
        <r>
          <rPr>
            <sz val="9"/>
            <color indexed="81"/>
            <rFont val="Tahoma"/>
            <family val="2"/>
          </rPr>
          <t>4,05€: Comisión por transferencia urgente a Alberto Bello
Cargado Caixa: 09/01/23
---------------------------------
13,22€: comision mantenimiento Cuenta Caixa USD. 
(13,15$/0,9950)
Cargado Cta Caixa USD: 01/01/23
----------------------------------
12€: Comisiones y gastos
Cargado BBVA: 16/01/23
----------------------------------------
0,18€: Comisiones por servicios telemáticos
Cargado BBVA: 03/01/23</t>
        </r>
      </text>
    </comment>
    <comment ref="BQ27" authorId="0" shapeId="0" xr:uid="{06E70A8B-97AD-44C7-8EAE-12542874B528}">
      <text>
        <r>
          <rPr>
            <b/>
            <sz val="9"/>
            <color indexed="81"/>
            <rFont val="Tahoma"/>
            <family val="2"/>
          </rPr>
          <t>12€: Comisiones y gastos
Cargado BBVA: 16/02/23
---------------------------
1,09€: Comisiones por servicios telemáticos
Cargado BBVA: 01/02/23</t>
        </r>
      </text>
    </comment>
    <comment ref="BR27" authorId="0" shapeId="0" xr:uid="{722F4A3E-032E-4DCB-AB92-0082896C150D}">
      <text>
        <r>
          <rPr>
            <sz val="9"/>
            <color indexed="81"/>
            <rFont val="Tahoma"/>
            <family val="2"/>
          </rPr>
          <t>26,61€: comision traspaso a VFX $
(28,46$/1,0696)
Cargado Cta Caixa USD: 15/03/23
---------------------------------
12€: Comisiones y gastos
Cargado BBVA: 15/03/23
----------------------------------
708,86€: Comisiones operaciones Paragon (762 usd al Tc 1,0750).
----------------------------------------
719,16€: Comisiones operaciones Paragon (762 usd al Tc 1,0596).
-------------------------</t>
        </r>
      </text>
    </comment>
    <comment ref="BS27" authorId="0" shapeId="0" xr:uid="{CDB3A014-AA9F-4E61-BDBC-6A616D760EB8}">
      <text>
        <r>
          <rPr>
            <sz val="9"/>
            <color indexed="81"/>
            <rFont val="Tahoma"/>
            <family val="2"/>
          </rPr>
          <t>0,73€: Comisiones por servicios telemáticos
Cargado BBVA: 03/04/23
---------------------------
-0,73€: Devolución comisiones por servicios telemáticos
Abonado BBVA: 14/04/23
-------------------------
-1,09€: Devolución comisiones</t>
        </r>
        <r>
          <rPr>
            <b/>
            <sz val="9"/>
            <color indexed="81"/>
            <rFont val="Tahoma"/>
            <family val="2"/>
          </rPr>
          <t xml:space="preserve"> </t>
        </r>
        <r>
          <rPr>
            <sz val="9"/>
            <color indexed="81"/>
            <rFont val="Tahoma"/>
            <family val="2"/>
          </rPr>
          <t>por servicios telemáticos
Abonado BBVA: 14/04/23
-------------------------
-0,18€: Devolución comisiones por servicios telemáticos
Abonado BBVA: 14/04/23
-------------------------
-0,36€: Devolución comisiones por servicios telemáticos
Abonado BBVA: 14/04/23
-------------------------
-0,54€: Devolución comisiones por servicios telemáticos
Abonado BBVA: 14/04/23
-------------------------
12€: Comisiones y gastos
Cargado BBVA: 17/04/23
-------------------------------------
92,41€: Comisiones recepción transferencia VFX USD (100 usd al Tc 1,0821).
-------------------------</t>
        </r>
      </text>
    </comment>
    <comment ref="BT27" authorId="0" shapeId="0" xr:uid="{9F181C47-B260-422D-87C5-1AAE22EE5108}">
      <text>
        <r>
          <rPr>
            <sz val="9"/>
            <color indexed="81"/>
            <rFont val="Tahoma"/>
            <family val="2"/>
          </rPr>
          <t xml:space="preserve">12€: Comisiones y gastos
Cargado BBVA: 16/05/23
-------------------------------------
</t>
        </r>
      </text>
    </comment>
    <comment ref="BU27" authorId="0" shapeId="0" xr:uid="{2E7D75CF-E548-4F75-8BD2-0EDF3953F2D9}">
      <text>
        <r>
          <rPr>
            <sz val="9"/>
            <color indexed="81"/>
            <rFont val="Tahoma"/>
            <family val="2"/>
          </rPr>
          <t>27,72€: Comisiones traspaso fondos a VFX (30 usd al Tc 1,0821).
-------------------------------------
12€: Comisiones y gastos
Cargado BBVA: 19/06/23
-------------------------------------</t>
        </r>
      </text>
    </comment>
    <comment ref="BV27" authorId="0" shapeId="0" xr:uid="{6B2623B1-C7DF-4DD4-ADFB-36C19AE2D918}">
      <text>
        <r>
          <rPr>
            <sz val="9"/>
            <color indexed="81"/>
            <rFont val="Tahoma"/>
            <family val="2"/>
          </rPr>
          <t>18,73€: Comisión por emisión y mantenimiento tarjeta crédito
Cargado BBVA: 26/07/23
-------------------------------------
18,73€: Comisión por emisión y mantenimiento tarjeta crédito
Cargado BBVA: 26/07/23
-------------------------------------
12€: Comisiones y gastos
Cargado BBVA: 17/07/23
-------------------------------------</t>
        </r>
      </text>
    </comment>
    <comment ref="BW27" authorId="0" shapeId="0" xr:uid="{D155A60F-3220-48AE-8286-0BD4DCFFFE59}">
      <text>
        <r>
          <rPr>
            <sz val="9"/>
            <color indexed="81"/>
            <rFont val="Tahoma"/>
            <family val="2"/>
          </rPr>
          <t>12€: Comisiones y gastos
Cargado BBVA: 16/08/23
-------------------------------------
63,26€: comision por ingreso del IVA. 
Cargado: 26/08/23.
-63,26€: Devolución comision por ingreso del IVA. 
Abonado: 30/08/23.</t>
        </r>
      </text>
    </comment>
    <comment ref="BY27" authorId="0" shapeId="0" xr:uid="{584AA36E-D3C3-431E-AAFD-74EF495BA919}">
      <text>
        <r>
          <rPr>
            <sz val="9"/>
            <color indexed="81"/>
            <rFont val="Tahoma"/>
            <family val="2"/>
          </rPr>
          <t xml:space="preserve">12€: Comisiones y gastos
Cargado BBVA: 18/09/23
-------------------------------------
</t>
        </r>
      </text>
    </comment>
    <comment ref="BZ27" authorId="0" shapeId="0" xr:uid="{6F4C090E-3879-4977-BB38-83DCE5A8C727}">
      <text>
        <r>
          <rPr>
            <sz val="9"/>
            <color indexed="81"/>
            <rFont val="Tahoma"/>
            <family val="2"/>
          </rPr>
          <t>12€: Comisiones y gastos
Cargado BBVA: 16/10/23
-------------------------------------
48,59 E: Intereses financiacion pago proveedores.
Cargado: 13/10/23
-----------------------------
349,54 E: Intereses financiacion pago proveedores.
Cargado: 25/10/23
-----------------------------
95,95 E: Intereses financiacion pago proveedores.
Cargado: 25/10/23
-------------------------------
52,82 E: Intereses financiacion pago proveedores.
Cargado: 26/10/23
----------------------------
48,43 E: Intereses financiacion pago proveedores.
Cargado: 26/10/23
-----------------------------
68,38€: Comisiones operaciones Paragon (73,95 usd al Tc 1,0815).</t>
        </r>
      </text>
    </comment>
    <comment ref="CA27" authorId="0" shapeId="0" xr:uid="{470351A7-BF60-4396-91F7-0BA93E8CE087}">
      <text>
        <r>
          <rPr>
            <sz val="9"/>
            <color indexed="81"/>
            <rFont val="Tahoma"/>
            <family val="2"/>
          </rPr>
          <t>15,08 E: Intereses financiacion pago proveedores.
Cargado: 14/11/23
-----------------------------
972,68€: Comisiones operaciones Paragon (1.051,80 usd al Tc 1,0813).
---------------------------
12€: Comisiones y gastos
Cargado BBVA: 15/11/23</t>
        </r>
      </text>
    </comment>
    <comment ref="CB27" authorId="0" shapeId="0" xr:uid="{8241447C-F153-4778-8BD0-3307E350CA5A}">
      <text>
        <r>
          <rPr>
            <sz val="9"/>
            <color indexed="81"/>
            <rFont val="Tahoma"/>
            <family val="2"/>
          </rPr>
          <t>12€: Comisiones y gastos
Cargado BBVA: 18/12/23</t>
        </r>
      </text>
    </comment>
    <comment ref="CC27" authorId="0" shapeId="0" xr:uid="{C8F60ABB-5D5E-4E39-886F-C8B4D6358F3D}">
      <text>
        <r>
          <rPr>
            <sz val="9"/>
            <color indexed="81"/>
            <rFont val="Tahoma"/>
            <family val="2"/>
          </rPr>
          <t>12€: Comisiones y gastos
Cargado BBVA: 16/01/24
-----------------------------
40€: Comisiones y emisión tarjeta crédito
Cargado BBVA: 15/01/24
-----------------------------
40€: Comisiones y emisión tarjeta crédito
Cargado BBVA: 15/01/24
-----------------------------
527,20€: Comisiones operaciones Paragon (572,86 usd al Tc 1,0866).
---------------------------</t>
        </r>
      </text>
    </comment>
    <comment ref="CD27" authorId="0" shapeId="0" xr:uid="{780F7A11-F41E-4A7B-A29E-D818965B485E}">
      <text>
        <r>
          <rPr>
            <sz val="9"/>
            <color indexed="81"/>
            <rFont val="Tahoma"/>
            <family val="2"/>
          </rPr>
          <t>12€: Comisiones y gastos
Cargado BBVA: 16/02/24
-----------------------------
90,34€: Intereses financiacion pago proveedores.
Cargado: 20/02/24</t>
        </r>
        <r>
          <rPr>
            <b/>
            <sz val="9"/>
            <color indexed="81"/>
            <rFont val="Tahoma"/>
            <family val="2"/>
          </rPr>
          <t xml:space="preserve">
---------------------------
</t>
        </r>
        <r>
          <rPr>
            <sz val="9"/>
            <color indexed="81"/>
            <rFont val="Tahoma"/>
            <family val="2"/>
          </rPr>
          <t>66,31€: Intereses financiacion pago proveedores.
Cargado: 21/02/24
---------------------------</t>
        </r>
      </text>
    </comment>
    <comment ref="CE27" authorId="0" shapeId="0" xr:uid="{6E1D2CA0-5234-4FF5-8054-BF4CEA2BEA94}">
      <text>
        <r>
          <rPr>
            <sz val="9"/>
            <color indexed="81"/>
            <rFont val="Tahoma"/>
            <family val="2"/>
          </rPr>
          <t>89,68€: Intereses financiacion pago proveedores.
Cargado: 15/03/24
---------------------------
12€: Comisiones y gastos
Cargado BBVA: 18/03/24
-----------------------------
94,84€: Comisiones operaciones Paragon (103,05 usd al Tc 1,0866).
--------------------------
153,85€: Intereses financiacion pago proveedores.
Cargado: 27/03/24
---------------------
8,82€: Intereses financiacion pago proveedores.
Cargado: 15/03/24</t>
        </r>
      </text>
    </comment>
    <comment ref="CF27" authorId="0" shapeId="0" xr:uid="{8B9E4E56-878A-4BF7-9A4F-933538849BB2}">
      <text>
        <r>
          <rPr>
            <sz val="9"/>
            <color indexed="81"/>
            <rFont val="Tahoma"/>
            <family val="2"/>
          </rPr>
          <t>39,45€: Intereses financiacion pago proveedores Felipe Fontes.
Cargado: 02/04/24
---------------------------
119,60€: Intereses financiacion pago proveedores Menroc
Cargado: 03/04/24
--------------------------
2,09€: Intereses financiacion pago proveedores Legalsur
Cargado: 05/04/24
---------------------------
12,64€: Comisiones y gastos
Cargado BBVA: 16/04/24
------------------------------
63,22€: Comisiones operaciones Paragon (68,70 usd al Tc 1,0866).
--------------------------</t>
        </r>
      </text>
    </comment>
    <comment ref="CG27" authorId="0" shapeId="0" xr:uid="{EC521549-498D-435A-A7EF-C0987F44AC05}">
      <text>
        <r>
          <rPr>
            <sz val="9"/>
            <color indexed="81"/>
            <rFont val="Tahoma"/>
            <family val="2"/>
          </rPr>
          <t>12€: Comisiones y gastos
Cargado BBVA: 16/05/24
------------------------------
94,84€: Comisiones operaciones Paragon (103,05 usd al Tc 1,0866).
--------------------------</t>
        </r>
      </text>
    </comment>
    <comment ref="CH27" authorId="0" shapeId="0" xr:uid="{BBCFAD91-7FD0-4B5C-BE1D-41068A11AA86}">
      <text>
        <r>
          <rPr>
            <sz val="9"/>
            <color indexed="81"/>
            <rFont val="Tahoma"/>
            <family val="2"/>
          </rPr>
          <t>46,65€: Intereses financiacion pago proveedores Control Union
Cargado: 13/06/24
------------------------------
33,10€: Intereses financiacion pago proveedores Agricola
Cargado: 14/06/24
----------------------------
150,62€: Intereses financiacion pago proveedores Pombero
Cargado: 24/06/24
---------------------------
111,49€: Intereses financiacion pago proveedores Iberica Feeding
Cargado: 25/06/24
----------------------------
8,03€: Intereses financiacion pago proveedores Sierra Jabugo
Cargado: 25/06/24
---------------------------
63,22€: Comisiones operaciones Paragon (68,70 usd al Tc 1,0866).
--------------------------
100€: Comisión cargada por error pndte devolución en julio
Cargado Caixa: 19/06/24
----------------------------------
12€: Comisiones y gastos
Cargado BBVA: 15/06/24
------------------------------</t>
        </r>
      </text>
    </comment>
    <comment ref="CI27" authorId="0" shapeId="0" xr:uid="{9B881208-C0B2-4FA8-966E-9F9BC163A823}">
      <text>
        <r>
          <rPr>
            <sz val="9"/>
            <color indexed="81"/>
            <rFont val="Tahoma"/>
            <family val="2"/>
          </rPr>
          <t>12,71€: Intereses financiacion pago proveedores Whitebite
Cargado: 01/07/24
----------------------------------
-100€: Devolución Comisión cargada por error en junio
Abonado Caixa: 02/07/24
----------------------------
7,42€: Intereses financiacion pago proveedores Sierra Jabugo
Cargado: 17/07/24
---------------------------
174,08€: Intereses financiacion pago proveedores Fra Honorarios Arquitecto
Cargado: 17/07/24
---------------------------
118,26€: Intereses financiacion pago proveedores Fra Menroc
Cargado: 17/07/24
---------------------------
3,03€: Intereses financiacion pago proveedores Fra Legalsur
Cargado: 17/07/24
---------------------------
1.052,78€: Comisiones operaciones Paragon (1.143 usd al Tc 1,0857).
---------------------------
24,04€: Intereses financiacion pago proveedores Fra Jose Luis Yañez
Cargado: 30/07/24
---------------------------
12€: Comisiones y gastos
Cargado BBVA: 16/07/24
------------------------------</t>
        </r>
      </text>
    </comment>
    <comment ref="CJ27" authorId="0" shapeId="0" xr:uid="{B23F1416-8C3A-46FF-9CEA-203ED72AE82B}">
      <text>
        <r>
          <rPr>
            <sz val="9"/>
            <color indexed="81"/>
            <rFont val="Tahoma"/>
            <family val="2"/>
          </rPr>
          <t>-269,25 E: Pendiente devolución del cargo por Timbre el 30/12/20 por ingreso de pagaré de Ladercos
14/01/21: Solicitada devolución a Caixa.
13/10/21: Reclamado a Sinver
01/06/22: Reclamado a Sinver
21/09/23: Reclamado a Sinver
-------------------------------------
2,70€: Intereses financiacion pago proveedores Samtek
Cargado: 22/08/24
----------------------------------
12€: Comisiones y gastos
Cargado BBVA: 15/08/24
------------------------------
2.074,19€: Comisiones operaciones Paragon (2.286 usd al Tc 1,1021).
---------------------------</t>
        </r>
      </text>
    </comment>
    <comment ref="CL27" authorId="0" shapeId="0" xr:uid="{25D4432E-ABA7-437C-B7F0-70A0DBA553C5}">
      <text>
        <r>
          <rPr>
            <sz val="9"/>
            <color indexed="81"/>
            <rFont val="Tahoma"/>
            <family val="2"/>
          </rPr>
          <t>6,34€: Intereses financiacion pago proveedores Sierra de Jabugo
Cargado: 03/09/24
---------------------------------
3,95€: Intereses financiacion pago proveedores ISCC
Cargado: 03/09/24
-------------------------------
16,28€: Intereses financiacion pago proveedores Carpinteria JMJ
Cargado: 05/09/24
-------------------------------
2,77€: Intereses financiacion pago proveedores Samtek
Cargado: 27/09/24
----------------------------------
50,95€: Intereses financiacion pago proveedores Oteradiz
Cargado: 27/09/24
-------------------------------
27,22€: Comisiones traspaso fondos a VFX (30 usd al Tc 1,1021).
-------------------------------------
12€: Comisiones y gastos
Cargado BBVA: 14/09/24
------------------------------</t>
        </r>
      </text>
    </comment>
    <comment ref="CM27" authorId="0" shapeId="0" xr:uid="{8DFD6B1B-14AE-4DD8-A619-1F83EEBE3AD3}">
      <text>
        <r>
          <rPr>
            <sz val="9"/>
            <color indexed="81"/>
            <rFont val="Tahoma"/>
            <family val="2"/>
          </rPr>
          <t>20,12€: Intereses financiacion pago proveedores Talleres López
Cargado: 29/10/24
-------------------------------
12€: Comisiones y gastos
Cargado BBVA: 16/10/24
------------------------------
186,78€: Comisiones operaciones Paragon (206,10 usd al Tc 1,1034).
---------------------------
23,77€: Intereses financiacion pago proveedores José Luis Yañez
Cargado: 17/10/24
-------------------------------
21,16€: Intereses financiacion pago proveedores Miriam Postigo
Cargado: 17/10/24
-------------------------------</t>
        </r>
      </text>
    </comment>
    <comment ref="CN27" authorId="0" shapeId="0" xr:uid="{0C51603E-6C2F-4451-85D2-A708F270E097}">
      <text>
        <r>
          <rPr>
            <sz val="9"/>
            <color indexed="81"/>
            <rFont val="Tahoma"/>
            <family val="2"/>
          </rPr>
          <t>12€: Comisiones y gastos
Cargado BBVA: 16/11/24
------------------------------
814,63€: Comisiones operaciones Paragon (892,14 usd al Tc 1,0951).
---------------------------
299,55€: Intereses financiacion pago proveedores Hierros Román
Cargado: 19/11/24
-------------------------------
27,19€: Comisiones operaciones Paragon (30 usd al Tc 1,0951).
---------------------------</t>
        </r>
      </text>
    </comment>
    <comment ref="CO27" authorId="0" shapeId="0" xr:uid="{D8840B6F-AC39-4366-B62E-200CE101F83C}">
      <text>
        <r>
          <rPr>
            <sz val="9"/>
            <color indexed="81"/>
            <rFont val="Tahoma"/>
            <family val="2"/>
          </rPr>
          <t>228,80€: Intereses financiacion pago proveedores Federico Santa Ana
Cargado: 18/12/24
-------------------------------
12€: Comisiones y gastos
Cargado BBVA: 14/12/24
------------------------------</t>
        </r>
      </text>
    </comment>
    <comment ref="CP27" authorId="0" shapeId="0" xr:uid="{BC40A237-CB51-40EB-B465-60A93507B448}">
      <text>
        <r>
          <rPr>
            <sz val="9"/>
            <color indexed="81"/>
            <rFont val="Tahoma"/>
            <family val="2"/>
          </rPr>
          <t>3€: Comisión por devolución recibo Reale Seguros 0602BYN
Cargado: 13/01/25
3€: Comisión por devolución recibo Reale Seguros H4437Z
Cargado: 13/01/25
------------------------------
12€: Comisión por ingreso Totsa pndte devolución
Cargado Bankinter: 22/01/25
-----------------------------
12€: Comisión por ingreso Totsa pndte devolución
Cargado Bankinter: 27/01/25
----------------------------------
12€: Comisión por ingreso Totsa pndte devolución
Cargado Bankinter: 28/01/25
-------------------------------------
293,14€+293,14€+146,57€+123,28€: Intereses financiacion pago proveedores fra Alvinesa
Cargado: 17/01/25
-------------------------------
275,73€: Comisiones operaciones Paragon (293,29 usd al Tc 1,0637).
---------------------------
12€: Comisiones y gastos
Cargado BBVA: 16/01/25
-----------------------------
40€: Comisiones y emisión tarjeta crédito
Cargado BBVA: 15/01/25
-----------------------------
40€: Comisiones y emisión tarjeta crédito
Cargado BBVA: 15/01/25
----------------------------
35,47€: Comisión por cuenta sin saldo
Cargado Bankinter: 17/01/25</t>
        </r>
      </text>
    </comment>
    <comment ref="CQ27" authorId="0" shapeId="0" xr:uid="{68E4970F-1484-49B0-BCF2-C31E5E247939}">
      <text>
        <r>
          <rPr>
            <sz val="9"/>
            <color indexed="81"/>
            <rFont val="Tahoma"/>
            <family val="2"/>
          </rPr>
          <t>12€: Comisión por ingreso Totsa pndte devolución
Cargado Bankinter: 04/02/25
--------------------------------------
12€: Comisión por ingreso Totsa pndte devolución
Cargado Bankinter: 11/02/25
-------------------------------
267,88€: Comisiones operaciones Paragon (275,40 usd al Tc 1,0281).
---------------------------
32,25€: Comisiones y gastos
Cargado BBVA: 15/02/25</t>
        </r>
      </text>
    </comment>
    <comment ref="CR27" authorId="0" shapeId="0" xr:uid="{063F2C16-08EC-40D7-8DE7-D04033E20E91}">
      <text>
        <r>
          <rPr>
            <b/>
            <sz val="9"/>
            <color indexed="81"/>
            <rFont val="Tahoma"/>
            <family val="2"/>
          </rPr>
          <t xml:space="preserve">
</t>
        </r>
        <r>
          <rPr>
            <sz val="9"/>
            <color indexed="81"/>
            <rFont val="Tahoma"/>
            <family val="2"/>
          </rPr>
          <t>-12€: Devolución Comisión por ingreso Totsa del 22/01/25
Abonado Bankinter: 13/03/25
-----------------------------
-12€: Devolución Comisión por ingreso Totsa del 27/01/25
Abonado Bankinter: 13/03/25
---------------------------------
-12€: Devolución Comisión por ingreso Totsa del 28/01/25
Abonado Bankinter: 13/03/25
-----------------------------
-12€: Devolución Comisión por ingreso Totsa del 04/02/25
Abonado Bankinter: 13/03/25
-----------------------------
-12€: Devolución Comisión por ingreso Totsa del 11/02/25
Abonado Bankinter: 13/03/25</t>
        </r>
        <r>
          <rPr>
            <b/>
            <sz val="9"/>
            <color indexed="81"/>
            <rFont val="Tahoma"/>
            <family val="2"/>
          </rPr>
          <t xml:space="preserve">
-----------------------------
</t>
        </r>
        <r>
          <rPr>
            <sz val="9"/>
            <color indexed="81"/>
            <rFont val="Tahoma"/>
            <family val="2"/>
          </rPr>
          <t xml:space="preserve">32,90€: Intereses financiacion pago proveedores De los Reyes
Cargado: 04/03/25 
</t>
        </r>
        <r>
          <rPr>
            <b/>
            <sz val="9"/>
            <color indexed="81"/>
            <rFont val="Tahoma"/>
            <family val="2"/>
          </rPr>
          <t xml:space="preserve">-------------------------------
</t>
        </r>
        <r>
          <rPr>
            <sz val="9"/>
            <color indexed="81"/>
            <rFont val="Tahoma"/>
            <family val="2"/>
          </rPr>
          <t>137,37€: Intereses financiacion pago proveedores Foskito
Cargado: 26/03/25</t>
        </r>
        <r>
          <rPr>
            <b/>
            <sz val="9"/>
            <color indexed="81"/>
            <rFont val="Tahoma"/>
            <family val="2"/>
          </rPr>
          <t xml:space="preserve">
-------------------------------
</t>
        </r>
        <r>
          <rPr>
            <sz val="9"/>
            <color indexed="81"/>
            <rFont val="Tahoma"/>
            <family val="2"/>
          </rPr>
          <t>12€: Comisiones y gastos
Cargado BBVA: 17/03/25</t>
        </r>
      </text>
    </comment>
    <comment ref="CS27" authorId="0" shapeId="0" xr:uid="{59A0EE64-AB92-4795-955A-B2F7946DDA31}">
      <text>
        <r>
          <rPr>
            <sz val="9"/>
            <color indexed="81"/>
            <rFont val="Tahoma"/>
            <family val="2"/>
          </rPr>
          <t>189,89€: Intereses financiacion pago proveedores Foskito
Cargado: 02/04/25</t>
        </r>
        <r>
          <rPr>
            <b/>
            <sz val="9"/>
            <color indexed="81"/>
            <rFont val="Tahoma"/>
            <family val="2"/>
          </rPr>
          <t xml:space="preserve">
-------------------------------
</t>
        </r>
        <r>
          <rPr>
            <sz val="9"/>
            <color indexed="81"/>
            <rFont val="Tahoma"/>
            <family val="2"/>
          </rPr>
          <t>1.125€: Comisión apertura: 1,25% por la financiación del IS 90.000€
Cargado Bankinter: 07/04/25
-------------------------------
12€: Comisiones y gastos
Cargado BBVA: 15/04/25
-------------------------------
100,23€: Comisiones operaciones Paragon (103,05 usd al Tc 1,0281).</t>
        </r>
      </text>
    </comment>
    <comment ref="CT27" authorId="0" shapeId="0" xr:uid="{79151D07-746C-45B1-9719-7E91C671E94C}">
      <text>
        <r>
          <rPr>
            <sz val="9"/>
            <color indexed="81"/>
            <rFont val="Tahoma"/>
            <family val="2"/>
          </rPr>
          <t>207,40€: Intereses financiacion pago proveedores Mª Eugenia
Cargado: 28/05/25</t>
        </r>
        <r>
          <rPr>
            <b/>
            <sz val="9"/>
            <color indexed="81"/>
            <rFont val="Tahoma"/>
            <family val="2"/>
          </rPr>
          <t xml:space="preserve">
-------------------------------
</t>
        </r>
        <r>
          <rPr>
            <sz val="9"/>
            <color indexed="81"/>
            <rFont val="Tahoma"/>
            <family val="2"/>
          </rPr>
          <t>12€: Comisiones y gastos
Cargado BBVA: 16/05/25
------------------------------------------
128,93€: Intereses financiacion pago proveedores Alvinesa
Cargado: 19/05/25
--------------------------------------------
160,39€: Intereses financiacion pago proveedores Alvinesa
Cargado: 19/05/25
-------------------------------</t>
        </r>
      </text>
    </comment>
    <comment ref="CU27" authorId="0" shapeId="0" xr:uid="{62F9698D-CA24-4CE8-ADDF-3A5AED9A4847}">
      <text>
        <r>
          <rPr>
            <sz val="9"/>
            <color indexed="81"/>
            <rFont val="Tahoma"/>
            <family val="2"/>
          </rPr>
          <t>38,78€: Intereses financiacion pago proveedores Felipe Fontes
Cargado: 20/06/25</t>
        </r>
        <r>
          <rPr>
            <b/>
            <sz val="9"/>
            <color indexed="81"/>
            <rFont val="Tahoma"/>
            <family val="2"/>
          </rPr>
          <t xml:space="preserve">
-------------------------------</t>
        </r>
        <r>
          <rPr>
            <sz val="9"/>
            <color indexed="81"/>
            <rFont val="Tahoma"/>
            <family val="2"/>
          </rPr>
          <t xml:space="preserve">
144,83€: Intereses financiacion pago proveedores Foskito
Cargado: 20/06/25
-------------------------------
132,27€: Intereses financiacion pago proveedores Pombero
Cargado: 26/06/25
-------------------------------
12€: Comisiones y gastos
Cargado BBVA: 16/06/25
-------------------------------
131,30€: Comisiones operaciones Paragon (137,40 usd al Tc 1,0465).</t>
        </r>
      </text>
    </comment>
    <comment ref="CV27" authorId="0" shapeId="0" xr:uid="{D26E533F-F042-46E4-AA25-2FCC900BB7D3}">
      <text>
        <r>
          <rPr>
            <sz val="9"/>
            <color indexed="81"/>
            <rFont val="Tahoma"/>
            <family val="2"/>
          </rPr>
          <t>12€: Comisiones y gastos
Cargado BBVA: 16/07/25
-------------------------------
28,67€: Comisiones operaciones Paragon (30 usd al Tc 1,0465).
-------------------------------
22,77€: Comisiones financiación
Cargado Caixa: 28/07/25
-------------------------------</t>
        </r>
      </text>
    </comment>
    <comment ref="CW27" authorId="0" shapeId="0" xr:uid="{616D4B9D-4C6D-4975-BF64-6D54DFC21103}">
      <text>
        <r>
          <rPr>
            <sz val="9"/>
            <color indexed="81"/>
            <rFont val="Tahoma"/>
            <family val="2"/>
          </rPr>
          <t>12€: Comisiones y gastos
Cargado BBVA: 18/08/25
-------------------------------
98,47€: Comisiones operaciones Paragon (103,05 usd al Tc 1,0465).
-------------------------------</t>
        </r>
      </text>
    </comment>
    <comment ref="CY27" authorId="0" shapeId="0" xr:uid="{EB3D2BA3-47D7-4229-925D-068F9C4E7DF5}">
      <text>
        <r>
          <rPr>
            <sz val="9"/>
            <color indexed="81"/>
            <rFont val="Tahoma"/>
            <family val="2"/>
          </rPr>
          <t>12€: Comisiones y gastos
Cargado BBVA: 17/09/25
-------------------------------
32,82€: Comisiones operaciones Paragon (34,35 usd al Tc 1,0465).
-------------------------------</t>
        </r>
      </text>
    </comment>
    <comment ref="CZ27" authorId="0" shapeId="0" xr:uid="{09BCD5E7-9EA1-4D9D-8D61-52730C506DEA}">
      <text>
        <r>
          <rPr>
            <sz val="9"/>
            <color indexed="81"/>
            <rFont val="Tahoma"/>
            <family val="2"/>
          </rPr>
          <t>202,56€: Comisión apertura: 1,25% por la financiación del pago a cuenta IS 16.205,05€
Cargado Bankinter: 20/10/25
-------------------------------
12€: Comisiones y gastos
Cargado BBVA: 16/10/25
-------------------------------
32,82€: Comisiones operaciones Paragon (34,35 usd al Tc 1,0465).
-------------------------------</t>
        </r>
      </text>
    </comment>
    <comment ref="DA27" authorId="0" shapeId="0" xr:uid="{5D02522B-F2F5-4688-8FA5-4BD12405C8A9}">
      <text>
        <r>
          <rPr>
            <sz val="9"/>
            <color indexed="81"/>
            <rFont val="Tahoma"/>
            <family val="2"/>
          </rPr>
          <t>26€: Comisiones y gastos por traspaso a VFX
Ingresado en VFX 26€ de menos el 06/11/25
-------------------------------
187€: Comisión renovación póliza Bankinter
Cargado Bankinter: 10/11/25
-------------------------------
236,34€: Comisiones operaciones Paragon (247,32 usd al Tc 1,0465).
-------------------------------
12€: Comisiones y gastos
Cargado BBVA: 17/11/25
-------------------------------</t>
        </r>
      </text>
    </comment>
    <comment ref="DB27" authorId="0" shapeId="0" xr:uid="{50B6F229-79F0-4349-9236-7966EBCA8C9A}">
      <text>
        <r>
          <rPr>
            <sz val="9"/>
            <color indexed="81"/>
            <rFont val="Tahoma"/>
            <family val="2"/>
          </rPr>
          <t>-27,82€: Intereses por devolución IVA Marzo
-5.811,94€+27,82€ intereses= 5.839,76€: Abonado en Cta BBVA crédito el 23/12/25
---------------------------------------
3€: Comisión por devolución recibo Tradipaq
Cargado Caixa: 10/12/25
-----------------------------------
12€: Comisiones y gastos
Cargado BBVA: 17/12/25
-------------------------------</t>
        </r>
      </text>
    </comment>
    <comment ref="DC27" authorId="0" shapeId="0" xr:uid="{6B779B16-6FC6-45CE-AE22-F1B4E2E415CF}">
      <text>
        <r>
          <rPr>
            <sz val="9"/>
            <color indexed="81"/>
            <rFont val="Tahoma"/>
            <family val="2"/>
          </rPr>
          <t>722,93€: Intereses financiacion pago proveedores Alvinesa
Cargado: 15/01/26</t>
        </r>
        <r>
          <rPr>
            <b/>
            <sz val="9"/>
            <color indexed="81"/>
            <rFont val="Tahoma"/>
            <family val="2"/>
          </rPr>
          <t xml:space="preserve">
-------------------------------</t>
        </r>
        <r>
          <rPr>
            <sz val="9"/>
            <color indexed="81"/>
            <rFont val="Tahoma"/>
            <family val="2"/>
          </rPr>
          <t xml:space="preserve">
360,43€: Intereses financiacion pago proveedores Alvinesa
Cargado: 15/01/26
------------------------------
2,41€: Comisión por certificado de cuenta
Cargado: 08/01/26
-------------------------------
56€: Comisión por ingreso Greenergy 
Solicitada devolución sin RE 22/01/26
Cargado Caixa: 22/01/26
-------------------------------
56€: Comisión por ingreso Vivergo 
Solicitada devolución sin RE 23/01/26
Cargado Caixa: 23/01/26
-----------------------------
40€: Comisiones y emisión tarjeta crédito
Cargado BBVA: 15/01/26
-----------------------------
40€: Comisiones y emisión tarjeta crédito
Cargado BBVA: 15/01/26
----------------------------
12€: Comisiones y gastos
Cargado BBVA: 16/01/26
-------------------------------</t>
        </r>
      </text>
    </comment>
    <comment ref="DD27" authorId="0" shapeId="0" xr:uid="{E0059A26-B45E-44CA-B3A7-BDFA402ECAC0}">
      <text>
        <r>
          <rPr>
            <sz val="9"/>
            <color indexed="81"/>
            <rFont val="Tahoma"/>
            <family val="2"/>
          </rPr>
          <t>56€: Devolución comisión por ingreso Greenergy 
Abonado Caixa: 19/02/26
-------------------------------
56€: Devolución comisión por ingreso Vivergo 
Abonado Caixa: 19/02/26
-----------------------------
19,36€: Comisiones operaciones Paragon (20,61 usd al Tc 1,0648).
-------------------------------
3€: Comisión por devolución recibo Dialtel de enero
Cargado Caixa: 17/02/26
-----------------------------------
3€: Comisión por devolución recibo Dialtel de febrero
Cargado Caixa: 20/02/26
-----------------------------------
12€: Comisiones y gastos
Cargado BBVA: 16/02/26
-------------------------------</t>
        </r>
      </text>
    </comment>
    <comment ref="DE27" authorId="0" shapeId="0" xr:uid="{F03D3DDC-6BDC-4C58-BD08-14412F88FF57}">
      <text>
        <r>
          <rPr>
            <sz val="9"/>
            <color indexed="81"/>
            <rFont val="Tahoma"/>
            <family val="2"/>
          </rPr>
          <t>-56,97€: Intereses por devolución IVA Mayo
-7.997,65€-56,97€ intereses=          -8.054,62€: Abonado en Cta BBVA crédito el 06/03/26
---------------------------------------
950€: Comisión apertura: 0,95% por la financiación del IS 100.000€
Cargado Bankinter: 20/03/26
-------------------------------
151,90€: Comisión apertura: 0,1% por la financiación del vivienda Iceberg 151.900€
Cargado Bankinter: 30/03/26
-------------------------------
3€: Comisión por devolución recibo Dialtel de marzo
Cargado Caixa: 13/03/26
-----------------------------------
12€: Comisiones y gastos
Cargado BBVA: 16/03/26
-----------------------------
19,36€: Comisiones operaciones Paragon (20,61 usd al Tc 1,0648).</t>
        </r>
      </text>
    </comment>
    <comment ref="DF27" authorId="0" shapeId="0" xr:uid="{533C31F4-DD48-46C1-AC4E-60BC4A9968A5}">
      <text>
        <r>
          <rPr>
            <sz val="9"/>
            <color indexed="81"/>
            <rFont val="Tahoma"/>
            <family val="2"/>
          </rPr>
          <t>12€: Comisiones y gastos
Cargado BBVA: 16/04/26
-----------------------------
74,47€: Comisiones operaciones Paragon (80,61 usd al Tc 1,0825).</t>
        </r>
      </text>
    </comment>
    <comment ref="DG27" authorId="0" shapeId="0" xr:uid="{B2FE6AF7-B59B-4B57-8942-35FB90FDAE8D}">
      <text>
        <r>
          <rPr>
            <sz val="9"/>
            <color indexed="81"/>
            <rFont val="Tahoma"/>
            <family val="2"/>
          </rPr>
          <t>747,69€: Intereses financiacion pago proveedores Alvinesa
Cargado: 21/05/26</t>
        </r>
        <r>
          <rPr>
            <b/>
            <sz val="9"/>
            <color indexed="81"/>
            <rFont val="Tahoma"/>
            <family val="2"/>
          </rPr>
          <t xml:space="preserve">
-------------------------------</t>
        </r>
        <r>
          <rPr>
            <sz val="9"/>
            <color indexed="81"/>
            <rFont val="Tahoma"/>
            <family val="2"/>
          </rPr>
          <t xml:space="preserve">
247,04€: Intereses Abril 2026
Cargado Paragon: 04/05/26
-------------------------------
27,71€: Comisiones operaciones Paragon 07/05/26 (30 usd al Tc 1,0825).
-------------------------------
18,96€: Comisiones operaciones Paragon (20,61 usd al Tc 1,0868).
-------------------------------
12€: Comisiones y gastos
Cargado BBVA: 18/05/26
-----------------------------
2€: Comisiones por certificado
Cargado BBVA: 26/05/26
-----------------------------</t>
        </r>
      </text>
    </comment>
    <comment ref="DH27" authorId="0" shapeId="0" xr:uid="{857B9F9A-6EB6-4310-8043-FCCAEC1F754D}">
      <text>
        <r>
          <rPr>
            <sz val="9"/>
            <color indexed="81"/>
            <rFont val="Tahoma"/>
            <family val="2"/>
          </rPr>
          <t>12€: Comisiones y gastos
Cargado BBVA: 
-----------------------------
15€: Comisión por transferencia a Felipe Fontes
Cargado BBVA: 15/06/26
-----------------------------
0,91€: Comisiones por servicios telemáticos
Cargado BBVA: 02/06/26
---------------------------------</t>
        </r>
      </text>
    </comment>
    <comment ref="CG28" authorId="0" shapeId="0" xr:uid="{485C94E0-C1AD-464F-B512-90EF55372C15}">
      <text>
        <r>
          <rPr>
            <b/>
            <sz val="9"/>
            <color indexed="81"/>
            <rFont val="Tahoma"/>
            <family val="2"/>
          </rPr>
          <t xml:space="preserve">Fra GYSA (30/04/24):
</t>
        </r>
        <r>
          <rPr>
            <sz val="9"/>
            <color indexed="81"/>
            <rFont val="Tahoma"/>
            <family val="2"/>
          </rPr>
          <t>411,30€: Revisión Defender
Transf. Caixa: Ok Alberto, pagar en próxima remesa
Transferencia Caixa realizada el 29/05/24</t>
        </r>
      </text>
    </comment>
    <comment ref="CJ28" authorId="0" shapeId="0" xr:uid="{FBA93519-FE48-4B4D-92D2-78649C6A9C90}">
      <text>
        <r>
          <rPr>
            <b/>
            <sz val="9"/>
            <color indexed="81"/>
            <rFont val="Tahoma"/>
            <family val="2"/>
          </rPr>
          <t xml:space="preserve">Fra Antonio Movellan (26/07/24):
</t>
        </r>
        <r>
          <rPr>
            <sz val="9"/>
            <color indexed="81"/>
            <rFont val="Tahoma"/>
            <family val="2"/>
          </rPr>
          <t>287€: Compra neumático Land Rover Defender
Pagado con VISA Alberto el 26/07/24
237€: Cargado Caixa: 05/09/24</t>
        </r>
      </text>
    </comment>
    <comment ref="CU28" authorId="0" shapeId="0" xr:uid="{A9F1DB4C-CC02-4D93-B619-CC5169F93AA8}">
      <text>
        <r>
          <rPr>
            <b/>
            <sz val="9"/>
            <color indexed="81"/>
            <rFont val="Tahoma"/>
            <family val="2"/>
          </rPr>
          <t xml:space="preserve">Fra Autos Pisa- Porsche (29/05/25):
</t>
        </r>
        <r>
          <rPr>
            <sz val="9"/>
            <color indexed="81"/>
            <rFont val="Tahoma"/>
            <family val="2"/>
          </rPr>
          <t>3.052,81€: Reparación Land Rover Defender
29/05/25: OK Alberto pagar solo el importe de a pagar por el cliente 
829,83€: Transferencia Caixa realizada el 16/06/25</t>
        </r>
      </text>
    </comment>
    <comment ref="CZ28" authorId="0" shapeId="0" xr:uid="{86D0A3C3-29F1-48AA-94C2-4BE11602938E}">
      <text>
        <r>
          <rPr>
            <b/>
            <sz val="9"/>
            <color indexed="81"/>
            <rFont val="Tahoma"/>
            <family val="2"/>
          </rPr>
          <t xml:space="preserve">Fra GYSA Jerez Land Rover (26/09/25):
</t>
        </r>
        <r>
          <rPr>
            <sz val="9"/>
            <color indexed="81"/>
            <rFont val="Tahoma"/>
            <family val="2"/>
          </rPr>
          <t>484,39€: Revisión Land Rover Defender
17/10/25: OK Alberto pagar 
484,39€: Transferencia Caixa realizada el 17/10/25</t>
        </r>
      </text>
    </comment>
    <comment ref="DH28" authorId="0" shapeId="0" xr:uid="{8D51DF7F-52AD-4F58-A1E7-D6B6EDD9AB2F}">
      <text>
        <r>
          <rPr>
            <b/>
            <sz val="9"/>
            <color indexed="81"/>
            <rFont val="Tahoma"/>
            <family val="2"/>
          </rPr>
          <t xml:space="preserve">Fra Classic Car del Sur (03/06/26):
</t>
        </r>
        <r>
          <rPr>
            <sz val="9"/>
            <color indexed="81"/>
            <rFont val="Tahoma"/>
            <family val="2"/>
          </rPr>
          <t>1.261,68€€: Reparación Land Rover Defender
05/06/26: OK Alberto pagar sólo el IVA y la BI a él
218,97€: Transferencia Caixa realizada a Classic Car el 05/06/26
1.042,71€: Transferencia Caixa realizada a Alberto el 05/06/26</t>
        </r>
      </text>
    </comment>
    <comment ref="AC29" authorId="0" shapeId="0" xr:uid="{2CB68ABF-E25A-4B6A-A998-16B36921FE94}">
      <text>
        <r>
          <rPr>
            <b/>
            <sz val="9"/>
            <color indexed="81"/>
            <rFont val="Tahoma"/>
            <family val="2"/>
          </rPr>
          <t>rosa:</t>
        </r>
        <r>
          <rPr>
            <sz val="9"/>
            <color indexed="81"/>
            <rFont val="Tahoma"/>
            <family val="2"/>
          </rPr>
          <t xml:space="preserve">
200 E Alambique decoración (Alcohol Distilling House, S.L.</t>
        </r>
      </text>
    </comment>
    <comment ref="AO29" authorId="4" shapeId="0" xr:uid="{64EADC58-58AA-45F6-AD63-FF981AF606F3}">
      <text>
        <r>
          <rPr>
            <b/>
            <sz val="9"/>
            <color indexed="81"/>
            <rFont val="Tahoma"/>
            <family val="2"/>
          </rPr>
          <t>Alberto Carmona:</t>
        </r>
        <r>
          <rPr>
            <sz val="9"/>
            <color indexed="81"/>
            <rFont val="Tahoma"/>
            <family val="2"/>
          </rPr>
          <t xml:space="preserve">
Regalos a clientes previsión dic 1500 E
200€ E: previsión ene 21
-----------------------------
389,47€: Sierra de Jabugo
Factura Nº: A/10770 (17/12/2020)
-----------------------------
389,80€: Sierra de Jabugo
Factura Nº: A/10771 (17/12/2020)
-----------------------------
779,27€: Transferencia Caixa realizada el 28/12/20</t>
        </r>
      </text>
    </comment>
    <comment ref="AP29" authorId="0" shapeId="0" xr:uid="{52BB1F8C-91E3-4C2B-92AC-5BDA2F90ED78}">
      <text>
        <r>
          <rPr>
            <b/>
            <sz val="9"/>
            <color indexed="81"/>
            <rFont val="Tahoma"/>
            <family val="2"/>
          </rPr>
          <t xml:space="preserve">Alberto Carmona:
</t>
        </r>
        <r>
          <rPr>
            <sz val="9"/>
            <color indexed="81"/>
            <rFont val="Tahoma"/>
            <family val="2"/>
          </rPr>
          <t>1500 E: Regalos a clientes previsión dic 2020
200 E: previsión ene 21
-------------------------------
354,84€: Sierra de Jabugo
Factura Nº: A/11249 (23/12/2020)
336,36€: Sierra de Jabugo
Factura Nº: A/11223 (23/12/2020)
691,20€: Realizar Transferencia Caixa 07/01/21
Transferencia Caixa realizada el 07/01/21
-----------------------------
343,07 E: Sierra de Jabugo
Factura Nº: A/64 (08/01/21)
343,07 E: Realizar Transferencia Caixa 14/01/21
Transferencia Caixa realizada el 15/01/21
-----------------------------</t>
        </r>
      </text>
    </comment>
    <comment ref="AQ29" authorId="0" shapeId="0" xr:uid="{010537FC-971F-4AE0-8E05-667EF347CFBB}">
      <text>
        <r>
          <rPr>
            <b/>
            <sz val="9"/>
            <color indexed="81"/>
            <rFont val="Tahoma"/>
            <family val="2"/>
          </rPr>
          <t xml:space="preserve">Alberto Carmona:
</t>
        </r>
        <r>
          <rPr>
            <sz val="9"/>
            <color indexed="81"/>
            <rFont val="Tahoma"/>
            <family val="2"/>
          </rPr>
          <t>1500 E: Regalos a clientes previsión dic 2020
200 E: previsión ene 21
-----------------------------
347,82 E: Sierra de Jabugo
Factura Nº: A/798 (05/02/21)
194,57: Sierra de Jabugo
Factura Nº: A/1001 (12/02/21)
309,10 E: Sierra de Jabugo
Factura Nº: A/1005 (12/02/21)
851,49 E: Realizar Transferencia Caixa: 12/02/21
Transf. Caixa realizada el 12/02/21</t>
        </r>
      </text>
    </comment>
    <comment ref="AT29" authorId="1" shapeId="0" xr:uid="{92B4B8B4-25AA-42CC-A03B-84C8511A7EC0}">
      <text>
        <r>
          <rPr>
            <sz val="9"/>
            <color indexed="81"/>
            <rFont val="Tahoma"/>
            <family val="2"/>
          </rPr>
          <t xml:space="preserve">312,33 E: Sierra de Jabugo
Factura Nº: A / 3350 (04/05/21)
Transferencia caixa realizada el 12/05/21. </t>
        </r>
      </text>
    </comment>
    <comment ref="BB29" authorId="1" shapeId="0" xr:uid="{0676F69B-3B0F-456C-9A32-CAB991F40E5D}">
      <text>
        <r>
          <rPr>
            <sz val="9"/>
            <color indexed="81"/>
            <rFont val="Tahoma"/>
            <family val="2"/>
          </rPr>
          <t xml:space="preserve">715 E: Sierra de Jabugo
Factura Nº: A / 11844 (14/12/21)
2406,07 E: Sierra de Jabugo
Factura Nº: A / 11843 (14/12/21)
3121,07€: Transferencia caixa realizada el 24/12/21. </t>
        </r>
      </text>
    </comment>
    <comment ref="BG29" authorId="1" shapeId="0" xr:uid="{A7101619-D453-4656-868C-D9763B11E18B}">
      <text>
        <r>
          <rPr>
            <sz val="9"/>
            <color indexed="81"/>
            <rFont val="Tahoma"/>
            <family val="2"/>
          </rPr>
          <t>339,63 E: Sierra de Jabugo
Factura Nº: A / 3867 (24/05/22)
Realizar Transferencia caixa 
Transferencia Caixa realizada el 26/05/22.</t>
        </r>
      </text>
    </comment>
    <comment ref="BJ29" authorId="1" shapeId="0" xr:uid="{DDC7C6F4-8937-42DF-A65A-ECE1A4A3B5BE}">
      <text>
        <r>
          <rPr>
            <sz val="9"/>
            <color indexed="81"/>
            <rFont val="Tahoma"/>
            <family val="2"/>
          </rPr>
          <t>162,45 E: Sierra de Jabugo
Factura Nº: A / 5886 (09/08/22)
Transferencia realizada el 18/08/22.</t>
        </r>
      </text>
    </comment>
    <comment ref="BP29" authorId="1" shapeId="0" xr:uid="{6E2BBFB2-791A-4436-A177-B99DA65A05F8}">
      <text>
        <r>
          <rPr>
            <sz val="9"/>
            <color indexed="81"/>
            <rFont val="Tahoma"/>
            <family val="2"/>
          </rPr>
          <t>4526,01 E: Sierra de Jabugo
Factura Nº: A / 11262 (29/12/22)
4526,01€: Realizar Transferencia caixa 
Transferencia Caixa realizada el 24/01/23</t>
        </r>
      </text>
    </comment>
    <comment ref="BR29" authorId="1" shapeId="0" xr:uid="{458AD3F5-571F-432B-8140-8639AE77401E}">
      <text>
        <r>
          <rPr>
            <sz val="9"/>
            <color indexed="81"/>
            <rFont val="Tahoma"/>
            <family val="2"/>
          </rPr>
          <t>466,75 E: Sierra de Jabugo
Factura Nº: A / 2240 (21/03/23)
466,75€: Realizar Transferencia caixa 
Transf. Caixa realizada el 24/03/23</t>
        </r>
      </text>
    </comment>
    <comment ref="BS29" authorId="1" shapeId="0" xr:uid="{D393C8B5-18D6-4FF2-9B63-26376174FCC6}">
      <text>
        <r>
          <rPr>
            <sz val="9"/>
            <color indexed="81"/>
            <rFont val="Tahoma"/>
            <family val="2"/>
          </rPr>
          <t>-466,75 E: Sierra de Jabugo
Eliminar esta Factura Nº: A / 2240 (21/03/23) de contab:
-466,75€: Pndte transferencia por pago duplicado 
04/04/23: Facilitada cuenta
Abonado Caixa: 11/04/23</t>
        </r>
      </text>
    </comment>
    <comment ref="CA29" authorId="1" shapeId="0" xr:uid="{0CDC9B7F-CC0F-4182-8433-0D6A1757CE0D}">
      <text>
        <r>
          <rPr>
            <sz val="9"/>
            <color indexed="81"/>
            <rFont val="Tahoma"/>
            <family val="2"/>
          </rPr>
          <t>933,15€: Sierra de Jabugo
Factura Nº: A / 5087 (23/06/23)
933,15€: Realizar Transferencia caixa en proxima remesa
Transf. Caixa realizada el 14/11/23</t>
        </r>
      </text>
    </comment>
    <comment ref="CB29" authorId="0" shapeId="0" xr:uid="{70FF1E67-5B44-4655-9E2C-B9E7E95744AD}">
      <text>
        <r>
          <rPr>
            <sz val="9"/>
            <color indexed="81"/>
            <rFont val="Tahoma"/>
            <family val="2"/>
          </rPr>
          <t xml:space="preserve">477,95€: Sierra de Jabugo
Factura Nº: A / 9654 (17/11/23)
477,95€: Vcmto: 17/12/23
Transf. Caixa realizada el 15/12/23
------------------------
</t>
        </r>
      </text>
    </comment>
    <comment ref="CE29" authorId="3" shapeId="0" xr:uid="{02281040-9B0F-4153-A494-16523553B615}">
      <text>
        <r>
          <rPr>
            <sz val="9"/>
            <color indexed="81"/>
            <rFont val="Tahoma"/>
            <family val="2"/>
          </rPr>
          <t>933,15€: Sierra de Jabugo
Factura Nº: A / 5087 (23/06/23)
933,15€: Realizar Transferencia caixa en proxima remesa
77,21€: Transf. Caixa realizada el 14/11/23
855,94€: Importe financiado
VENCIMIENTO EL 11/03/24.
Cargado Caixa: 11/03/24</t>
        </r>
      </text>
    </comment>
    <comment ref="CG29" authorId="3" shapeId="0" xr:uid="{9076A52A-2D80-4BFD-A127-4D3177156C79}">
      <text>
        <r>
          <rPr>
            <sz val="9"/>
            <color indexed="81"/>
            <rFont val="Tahoma"/>
            <family val="2"/>
          </rPr>
          <t>121,01€: Sierra de Jabugo
Factura Nº: A / 3249 (10/04/24)
121,01€: Realizar Transferencia caixa Vcmto: 10/05/24
Transferencia Caixa: 14/05/24</t>
        </r>
      </text>
    </comment>
    <comment ref="CM29" authorId="3" shapeId="0" xr:uid="{C716E0FF-9887-479B-8F98-74F10A5C5860}">
      <text>
        <r>
          <rPr>
            <sz val="9"/>
            <color indexed="81"/>
            <rFont val="Tahoma"/>
            <family val="2"/>
          </rPr>
          <t>477,88€: Sierra de Jabugo
Factura Nº: A / 4744 (23/05/24)
477,88€: Realizar Transferencia caixa Vcmto: 22/06/24 OK Alberto
Transferencia Caixa: 25/06/24
VENCIMIENTO EL 23/10/24.
Cargado Caixa: 23/10/24</t>
        </r>
      </text>
    </comment>
    <comment ref="CN29" authorId="3" shapeId="0" xr:uid="{2DA8B8FD-E401-41F0-A869-23CA7044AD01}">
      <text>
        <r>
          <rPr>
            <sz val="9"/>
            <color indexed="81"/>
            <rFont val="Tahoma"/>
            <family val="2"/>
          </rPr>
          <t>444,07€: Sierra de Jabugo
Factura Nº: A / 5621 (20/06/24)
444,07€: Realizar Transferencia caixa Vcmto: 20/07/24 OK Alberto
Transferencia Caixa: 17/07/24
VENCIMIENTO EL 14/11/24.
Cargado Caixa: 14/11/24</t>
        </r>
      </text>
    </comment>
    <comment ref="CO29" authorId="3" shapeId="0" xr:uid="{8A531283-49F4-4046-B4DB-040490A280EB}">
      <text>
        <r>
          <rPr>
            <sz val="9"/>
            <color indexed="81"/>
            <rFont val="Tahoma"/>
            <family val="2"/>
          </rPr>
          <t xml:space="preserve">400,91€: Sierra de Jabugo
Factura Nº: A / 7154 (06/08/24)
400,91€: Realizar Transferencia caixa Vcmto: 05/09/24 OK Alberto
Realizar transferencia Caixa mediante financiación
Transferencia Caixa: 03/09/24
VENCIMIENTO EL 31/12/24.
Cargado Caixa: 31/12/24 
</t>
        </r>
      </text>
    </comment>
    <comment ref="AF30" authorId="0" shapeId="0" xr:uid="{06C2D762-A345-4897-870B-571F953AE48F}">
      <text>
        <r>
          <rPr>
            <b/>
            <sz val="9"/>
            <color indexed="81"/>
            <rFont val="Tahoma"/>
            <family val="2"/>
          </rPr>
          <t>rosa:</t>
        </r>
        <r>
          <rPr>
            <sz val="9"/>
            <color indexed="81"/>
            <rFont val="Tahoma"/>
            <family val="2"/>
          </rPr>
          <t xml:space="preserve">
20000+IVA: Estudio potencial adquisición de la sociedad brasileña y análisis impositivo del negocio de importación de bioetanol en Brasil
Pagado IVA: 30/04/20</t>
        </r>
      </text>
    </comment>
    <comment ref="AI30" authorId="0" shapeId="0" xr:uid="{2B8804EF-92B9-4244-8021-95E37E119F42}">
      <text>
        <r>
          <rPr>
            <b/>
            <sz val="9"/>
            <color indexed="81"/>
            <rFont val="Tahoma"/>
            <family val="2"/>
          </rPr>
          <t>devolucion pago realizado en Abril con factura de abono por anulacion del contrato de servicios
Abonado Caixa: 31/07/20</t>
        </r>
      </text>
    </comment>
    <comment ref="AE31" authorId="0" shapeId="0" xr:uid="{B83CD9FE-277E-40B6-A34A-315899AD20C7}">
      <text>
        <r>
          <rPr>
            <b/>
            <sz val="9"/>
            <color indexed="81"/>
            <rFont val="Tahoma"/>
            <family val="2"/>
          </rPr>
          <t>rosa:</t>
        </r>
        <r>
          <rPr>
            <sz val="9"/>
            <color indexed="81"/>
            <rFont val="Tahoma"/>
            <family val="2"/>
          </rPr>
          <t xml:space="preserve">
636 E Traducción jurídica
600 + IVA - IRPF</t>
        </r>
      </text>
    </comment>
    <comment ref="AC32" authorId="0" shapeId="0" xr:uid="{FABB8E66-ACB4-4859-A94B-99C3072DE0D1}">
      <text>
        <r>
          <rPr>
            <sz val="9"/>
            <color indexed="81"/>
            <rFont val="Tahoma"/>
            <family val="2"/>
          </rPr>
          <t>9,78 E: Mensajería Tradipak</t>
        </r>
      </text>
    </comment>
    <comment ref="AE32" authorId="0" shapeId="0" xr:uid="{2409DB9F-9A5C-4BC4-8037-D9769610DA46}">
      <text>
        <r>
          <rPr>
            <b/>
            <sz val="9"/>
            <color indexed="81"/>
            <rFont val="Tahoma"/>
            <family val="2"/>
          </rPr>
          <t>rosa:</t>
        </r>
        <r>
          <rPr>
            <sz val="9"/>
            <color indexed="81"/>
            <rFont val="Tahoma"/>
            <family val="2"/>
          </rPr>
          <t xml:space="preserve">
9,68 E Tradipak</t>
        </r>
      </text>
    </comment>
    <comment ref="AF32" authorId="0" shapeId="0" xr:uid="{5606EBF8-A94E-4D4C-9907-74480D1982BA}">
      <text>
        <r>
          <rPr>
            <b/>
            <sz val="9"/>
            <color indexed="81"/>
            <rFont val="Tahoma"/>
            <family val="2"/>
          </rPr>
          <t>rosa:</t>
        </r>
        <r>
          <rPr>
            <sz val="9"/>
            <color indexed="81"/>
            <rFont val="Tahoma"/>
            <family val="2"/>
          </rPr>
          <t xml:space="preserve">
5,12 E: Mensajería Tradipak</t>
        </r>
      </text>
    </comment>
    <comment ref="AP32" authorId="0" shapeId="0" xr:uid="{BDED98C8-8649-4EDD-A90B-6CAD0E0AB989}">
      <text>
        <r>
          <rPr>
            <b/>
            <sz val="9"/>
            <color indexed="81"/>
            <rFont val="Tahoma"/>
            <family val="2"/>
          </rPr>
          <t>rosa:</t>
        </r>
        <r>
          <rPr>
            <sz val="9"/>
            <color indexed="81"/>
            <rFont val="Tahoma"/>
            <family val="2"/>
          </rPr>
          <t xml:space="preserve">
10,67 E: Mensajería Tradipak
Fra: N 2020/002058 (31/12/20)
Cargado: 07/01/21</t>
        </r>
      </text>
    </comment>
    <comment ref="AQ32" authorId="0" shapeId="0" xr:uid="{22A12F57-0B62-413B-9032-3F848C61D90D}">
      <text>
        <r>
          <rPr>
            <b/>
            <sz val="9"/>
            <color indexed="81"/>
            <rFont val="Tahoma"/>
            <family val="2"/>
          </rPr>
          <t>rosa:</t>
        </r>
        <r>
          <rPr>
            <sz val="9"/>
            <color indexed="81"/>
            <rFont val="Tahoma"/>
            <family val="2"/>
          </rPr>
          <t xml:space="preserve">
18,61 E: Mensajería Tradipak
Fra: N 2021/002160 (31/01/21)
Cargado: 05/02/21</t>
        </r>
      </text>
    </comment>
    <comment ref="AR32" authorId="0" shapeId="0" xr:uid="{7EFC20E0-9374-4FDC-8509-956BDEA6456B}">
      <text>
        <r>
          <rPr>
            <sz val="9"/>
            <color indexed="81"/>
            <rFont val="Tahoma"/>
            <family val="2"/>
          </rPr>
          <t xml:space="preserve">26,56 E: Mensajería Tradipak
Fra: N 2021/002257 (28/02/21)
Cargado: 08/03/21
</t>
        </r>
      </text>
    </comment>
    <comment ref="AS32" authorId="0" shapeId="0" xr:uid="{EB51B28B-F389-4CD8-9DF0-D568977A89C2}">
      <text>
        <r>
          <rPr>
            <sz val="9"/>
            <color indexed="81"/>
            <rFont val="Tahoma"/>
            <family val="2"/>
          </rPr>
          <t xml:space="preserve">4,68 E: Mensajería Tradipak
Fra: N 2021/002352 (31/03/21)
Cargado: 13/04/21
</t>
        </r>
      </text>
    </comment>
    <comment ref="AU32" authorId="0" shapeId="0" xr:uid="{065A96B3-9C99-4924-A78B-5B557469B8BB}">
      <text>
        <r>
          <rPr>
            <sz val="9"/>
            <color indexed="81"/>
            <rFont val="Tahoma"/>
            <family val="2"/>
          </rPr>
          <t xml:space="preserve">5,63 E: Mensajería Tradipak
Fra: N 2021/002537
(31/05/21)
Cargado: 08/06/21
</t>
        </r>
      </text>
    </comment>
    <comment ref="AW32" authorId="1" shapeId="0" xr:uid="{5D668FEF-BBEF-4337-B101-EA44548530D3}">
      <text>
        <r>
          <rPr>
            <sz val="9"/>
            <color indexed="81"/>
            <rFont val="Tahoma"/>
            <family val="2"/>
          </rPr>
          <t>20,93 €: Tradipaq
Fra del 31/07/21. 
Cargado: 05/08/21.</t>
        </r>
      </text>
    </comment>
    <comment ref="BC32" authorId="1" shapeId="0" xr:uid="{27CC6438-F2FC-4485-A765-4611A00B1AF0}">
      <text>
        <r>
          <rPr>
            <sz val="9"/>
            <color indexed="81"/>
            <rFont val="Tahoma"/>
            <family val="2"/>
          </rPr>
          <t>9,37 €: Tradipaq
Fra del 31/12/21. 
Cargado:14/01/21</t>
        </r>
      </text>
    </comment>
    <comment ref="BF32" authorId="1" shapeId="0" xr:uid="{48D21D8E-9878-4E22-BA0B-B592F70F5A19}">
      <text>
        <r>
          <rPr>
            <sz val="9"/>
            <color indexed="81"/>
            <rFont val="Tahoma"/>
            <family val="2"/>
          </rPr>
          <t>165,50€: DHL 
Fra: 05/04/22 
Cargado: 20/04/22</t>
        </r>
      </text>
    </comment>
    <comment ref="BG32" authorId="1" shapeId="0" xr:uid="{AFAF2E0A-E09B-4B66-BCCC-69A8DDC7E110}">
      <text>
        <r>
          <rPr>
            <sz val="9"/>
            <color indexed="81"/>
            <rFont val="Tahoma"/>
            <family val="2"/>
          </rPr>
          <t>8,26 €: Tradipaq
Fra del 30/04/22. 
Cargado: 12/05/22</t>
        </r>
      </text>
    </comment>
    <comment ref="BM32" authorId="0" shapeId="0" xr:uid="{18D71994-5DD9-43FB-B1E1-181ADC22E9EE}">
      <text>
        <r>
          <rPr>
            <b/>
            <sz val="9"/>
            <color indexed="81"/>
            <rFont val="Tahoma"/>
            <family val="2"/>
          </rPr>
          <t>13,18€: Fra DHL (30/09/22)
Cargado Caixa: 21/10/22</t>
        </r>
      </text>
    </comment>
    <comment ref="BN32" authorId="1" shapeId="0" xr:uid="{60E47C5B-7CBC-4DCD-A821-57317F1210D9}">
      <text>
        <r>
          <rPr>
            <sz val="9"/>
            <color indexed="81"/>
            <rFont val="Tahoma"/>
            <family val="2"/>
          </rPr>
          <t>7,15€: Tradipaq
Fra del 31/10/22. 
Cargado: 10/11/22</t>
        </r>
      </text>
    </comment>
    <comment ref="BP32" authorId="1" shapeId="0" xr:uid="{FE596182-88E8-400E-9911-48367B0DFA01}">
      <text>
        <r>
          <rPr>
            <sz val="9"/>
            <color indexed="81"/>
            <rFont val="Tahoma"/>
            <family val="2"/>
          </rPr>
          <t>5,37€: Tradipaq
Fra del 31/12/22. 
Cargado: 11/01/23</t>
        </r>
      </text>
    </comment>
    <comment ref="BS32" authorId="1" shapeId="0" xr:uid="{9108DA86-9AA7-4385-8A1E-A98A97FD8CD2}">
      <text>
        <r>
          <rPr>
            <sz val="9"/>
            <color indexed="81"/>
            <rFont val="Tahoma"/>
            <family val="2"/>
          </rPr>
          <t>7,39€: Tradipaq
Fra del 31/03/23. 
Cargado: 13/04/23</t>
        </r>
      </text>
    </comment>
    <comment ref="BU32" authorId="1" shapeId="0" xr:uid="{90AA0A16-CF6F-4D08-AE0B-18CDC53D502F}">
      <text>
        <r>
          <rPr>
            <sz val="9"/>
            <color indexed="81"/>
            <rFont val="Tahoma"/>
            <family val="2"/>
          </rPr>
          <t>5,67€: Tradipaq
Fra del 31/05/23. 
Cargado: 16/06/23</t>
        </r>
      </text>
    </comment>
    <comment ref="BV32" authorId="1" shapeId="0" xr:uid="{9B8ECFCC-6F96-47EF-8CED-172DB253009D}">
      <text>
        <r>
          <rPr>
            <sz val="9"/>
            <color indexed="81"/>
            <rFont val="Tahoma"/>
            <family val="2"/>
          </rPr>
          <t>6,23€: Tradipaq
Fra del 30/06/23. 
Cargado: 20/07/23</t>
        </r>
      </text>
    </comment>
    <comment ref="CC32" authorId="1" shapeId="0" xr:uid="{FD452143-F96A-4A81-B233-D71D307A904F}">
      <text>
        <r>
          <rPr>
            <sz val="9"/>
            <color indexed="81"/>
            <rFont val="Tahoma"/>
            <family val="2"/>
          </rPr>
          <t>11,16€: Tradipaq
Fra del 31/12/23. 
Cargado: 15/01/24</t>
        </r>
      </text>
    </comment>
    <comment ref="CI32" authorId="1" shapeId="0" xr:uid="{42C3827C-80AB-4FAA-AFF6-A896FE2B8382}">
      <text>
        <r>
          <rPr>
            <sz val="9"/>
            <color indexed="81"/>
            <rFont val="Tahoma"/>
            <family val="2"/>
          </rPr>
          <t>5,97€: Tradipaq
Fra del 30/06/24. 
Cargado: 09/07/24
-------------------------------
35€: Fra DHL del 30/06/24 
Cargado Caixa: 15/07/24</t>
        </r>
      </text>
    </comment>
    <comment ref="CJ32" authorId="0" shapeId="0" xr:uid="{6219C418-DD30-4014-A0A0-6E1C63D49F12}">
      <text>
        <r>
          <rPr>
            <b/>
            <sz val="9"/>
            <color indexed="81"/>
            <rFont val="Tahoma"/>
            <family val="2"/>
          </rPr>
          <t xml:space="preserve">10,22€: Tradipaq
</t>
        </r>
        <r>
          <rPr>
            <sz val="9"/>
            <color indexed="81"/>
            <rFont val="Tahoma"/>
            <family val="2"/>
          </rPr>
          <t>Fra del 31/07/24. 
Cargado: 09/08/24
---------------------------</t>
        </r>
        <r>
          <rPr>
            <b/>
            <sz val="9"/>
            <color indexed="81"/>
            <rFont val="Tahoma"/>
            <family val="2"/>
          </rPr>
          <t xml:space="preserve">
202,74€: Fra DHL (29/07/24)
</t>
        </r>
        <r>
          <rPr>
            <sz val="9"/>
            <color indexed="81"/>
            <rFont val="Tahoma"/>
            <family val="2"/>
          </rPr>
          <t>Cargado Caixa: 15/08/24</t>
        </r>
      </text>
    </comment>
    <comment ref="CO32" authorId="0" shapeId="0" xr:uid="{7EBBCBEE-FAC3-44E4-BBC6-D422CAC9D268}">
      <text>
        <r>
          <rPr>
            <b/>
            <sz val="9"/>
            <color indexed="81"/>
            <rFont val="Tahoma"/>
            <family val="2"/>
          </rPr>
          <t xml:space="preserve">98,31€: Fra DHL (25/11/24)
</t>
        </r>
        <r>
          <rPr>
            <sz val="9"/>
            <color indexed="81"/>
            <rFont val="Tahoma"/>
            <family val="2"/>
          </rPr>
          <t>Cargado Caixa: 10/12/24</t>
        </r>
      </text>
    </comment>
    <comment ref="CP32" authorId="1" shapeId="0" xr:uid="{F0D604B1-7FEB-4D66-887F-47607E88381D}">
      <text>
        <r>
          <rPr>
            <sz val="9"/>
            <color indexed="81"/>
            <rFont val="Tahoma"/>
            <family val="2"/>
          </rPr>
          <t xml:space="preserve">28,04€: Tradipaq
Fra del 31/12/24. 
Cargado: 10/01/25
-------------------------------
</t>
        </r>
      </text>
    </comment>
    <comment ref="CR32" authorId="1" shapeId="0" xr:uid="{4375C1CD-4856-428B-BA3A-3F0CC5BB8E16}">
      <text>
        <r>
          <rPr>
            <sz val="9"/>
            <color indexed="81"/>
            <rFont val="Tahoma"/>
            <family val="2"/>
          </rPr>
          <t xml:space="preserve">40,85€: Tradipaq
Fra del 28/02/25. 
Cargado: 07/03/25
-------------------------------
</t>
        </r>
      </text>
    </comment>
    <comment ref="CS32" authorId="1" shapeId="0" xr:uid="{6CDA8577-9A41-43A0-ADA3-12CB989EEF67}">
      <text>
        <r>
          <rPr>
            <sz val="9"/>
            <color indexed="81"/>
            <rFont val="Tahoma"/>
            <family val="2"/>
          </rPr>
          <t xml:space="preserve">26,97€: Tradipaq
Fra del 31/03/25. 
Cargado: 10/04/25
-------------------------------
</t>
        </r>
      </text>
    </comment>
    <comment ref="CT32" authorId="1" shapeId="0" xr:uid="{1ED507FF-5559-41BF-98DB-AA96200F32FD}">
      <text>
        <r>
          <rPr>
            <sz val="9"/>
            <color indexed="81"/>
            <rFont val="Tahoma"/>
            <family val="2"/>
          </rPr>
          <t xml:space="preserve">62,24€: Tradipaq
Fra del 30/04/25. 
Cargado: 23/05/25
-------------------------------
</t>
        </r>
      </text>
    </comment>
    <comment ref="CU32" authorId="1" shapeId="0" xr:uid="{DC69500A-A2DA-4DD5-8AC7-DEDFCB30676B}">
      <text>
        <r>
          <rPr>
            <sz val="9"/>
            <color indexed="81"/>
            <rFont val="Tahoma"/>
            <family val="2"/>
          </rPr>
          <t xml:space="preserve">54,37€: Tradipaq
Fra del 31/05/25. 
Cargado: 11/06/25
-------------------------------
</t>
        </r>
      </text>
    </comment>
    <comment ref="CV32" authorId="1" shapeId="0" xr:uid="{99FFF718-B110-41FB-8A92-0D036C132422}">
      <text>
        <r>
          <rPr>
            <sz val="9"/>
            <color indexed="81"/>
            <rFont val="Tahoma"/>
            <family val="2"/>
          </rPr>
          <t xml:space="preserve">74,31€: Tradipaq
Fra del 30/06/25. 
Cargado: 08/07/25
-------------------------------
</t>
        </r>
      </text>
    </comment>
    <comment ref="DA32" authorId="1" shapeId="0" xr:uid="{82698E47-0B18-47F4-B2E6-1DA8E9E0B25E}">
      <text>
        <r>
          <rPr>
            <sz val="9"/>
            <color indexed="81"/>
            <rFont val="Tahoma"/>
            <family val="2"/>
          </rPr>
          <t xml:space="preserve">382,06€: Tradipaq
Fra del 31/10/25. 
Cargado: 07/11/25
-------------------------------
</t>
        </r>
      </text>
    </comment>
    <comment ref="DB32" authorId="1" shapeId="0" xr:uid="{33BEF478-FF3F-4A23-8E08-FF6FB2C940A0}">
      <text>
        <r>
          <rPr>
            <sz val="9"/>
            <color indexed="81"/>
            <rFont val="Tahoma"/>
            <family val="2"/>
          </rPr>
          <t xml:space="preserve">-382,06€: Tradipaq
Fra rectificativa del 14/11/25. 
09/12/25: OK Tradipaq devolver recibo
Abonado: 10/12/25
-------------------------------
</t>
        </r>
      </text>
    </comment>
    <comment ref="DE32" authorId="1" shapeId="0" xr:uid="{B96D52F4-F8E8-4DF6-A92F-53FEAA246615}">
      <text>
        <r>
          <rPr>
            <sz val="9"/>
            <color indexed="81"/>
            <rFont val="Tahoma"/>
            <family val="2"/>
          </rPr>
          <t xml:space="preserve">14,34€: Tradipaq
Fra del 28/02/26. 
Cargado: 09/03/26
-------------------------------
</t>
        </r>
      </text>
    </comment>
    <comment ref="AE33" authorId="0" shapeId="0" xr:uid="{8D72C163-EA18-4D3A-87B5-40A6EBE145AC}">
      <text>
        <r>
          <rPr>
            <b/>
            <sz val="9"/>
            <color indexed="81"/>
            <rFont val="Tahoma"/>
            <family val="2"/>
          </rPr>
          <t>rosa:</t>
        </r>
        <r>
          <rPr>
            <sz val="9"/>
            <color indexed="81"/>
            <rFont val="Tahoma"/>
            <family val="2"/>
          </rPr>
          <t xml:space="preserve">
168,26 E Vodafone</t>
        </r>
      </text>
    </comment>
    <comment ref="AN33" authorId="0" shapeId="0" xr:uid="{42AE724B-6461-4084-85E6-56FA628E9DDE}">
      <text>
        <r>
          <rPr>
            <b/>
            <sz val="9"/>
            <color indexed="81"/>
            <rFont val="Tahoma"/>
            <family val="2"/>
          </rPr>
          <t>Fra octubre</t>
        </r>
      </text>
    </comment>
    <comment ref="AO33" authorId="0" shapeId="0" xr:uid="{85B3BB65-A710-4A3D-8FB4-C745749313E4}">
      <text>
        <r>
          <rPr>
            <b/>
            <sz val="9"/>
            <color indexed="81"/>
            <rFont val="Tahoma"/>
            <family val="2"/>
          </rPr>
          <t>Fra noviembre: 121,81 E
Fra diciembre: 5,53 E</t>
        </r>
      </text>
    </comment>
    <comment ref="AQ33" authorId="0" shapeId="0" xr:uid="{1E564EDB-76C4-4FFD-B055-36D95EF9162F}">
      <text>
        <r>
          <rPr>
            <b/>
            <sz val="9"/>
            <color indexed="81"/>
            <rFont val="Tahoma"/>
            <family val="2"/>
          </rPr>
          <t>Fra enero: Pndte fra con CIF correcto</t>
        </r>
      </text>
    </comment>
    <comment ref="AR33" authorId="1" shapeId="0" xr:uid="{6C5940A1-F857-47D7-BD1E-6176BDA844ED}">
      <text>
        <r>
          <rPr>
            <sz val="9"/>
            <color indexed="81"/>
            <rFont val="Tahoma"/>
            <family val="2"/>
          </rPr>
          <t>126,43 €: Fra del 15/02/31 
Cargado en Caixa el 01/03/21.
168,18 €: Fra del 15/03/21
Cargado en caixa 25/03/21</t>
        </r>
      </text>
    </comment>
    <comment ref="AS33" authorId="1" shapeId="0" xr:uid="{FB5ADC22-3F8C-44C2-B5DC-73511800CF71}">
      <text>
        <r>
          <rPr>
            <sz val="9"/>
            <color indexed="81"/>
            <rFont val="Tahoma"/>
            <family val="2"/>
          </rPr>
          <t>170,33 €: Fra del 15/04/21.
Cargado en caixa 26/04/21</t>
        </r>
      </text>
    </comment>
    <comment ref="AT33" authorId="1" shapeId="0" xr:uid="{C788AD08-E340-442A-955D-42C01A00DB3D}">
      <text>
        <r>
          <rPr>
            <sz val="9"/>
            <color indexed="81"/>
            <rFont val="Tahoma"/>
            <family val="2"/>
          </rPr>
          <t xml:space="preserve">176,6 €: Fra PENDIENTE
Cargado en caixa 26/05/21
</t>
        </r>
      </text>
    </comment>
    <comment ref="AU33" authorId="1" shapeId="0" xr:uid="{68E5B89E-74BB-4960-8BAF-6C8F78CD9C70}">
      <text>
        <r>
          <rPr>
            <sz val="9"/>
            <color indexed="81"/>
            <rFont val="Tahoma"/>
            <family val="2"/>
          </rPr>
          <t xml:space="preserve">183,21€: Fra PENDIENTE
Cargado en caixa 24/06/21
</t>
        </r>
      </text>
    </comment>
    <comment ref="AV33" authorId="1" shapeId="0" xr:uid="{124AF465-AC67-4696-8C2A-939009D532B1}">
      <text>
        <r>
          <rPr>
            <sz val="9"/>
            <color indexed="81"/>
            <rFont val="Tahoma"/>
            <family val="2"/>
          </rPr>
          <t xml:space="preserve">185,18€: Fra del 15/07/21.
Cargado en caixa 26/07/21
</t>
        </r>
      </text>
    </comment>
    <comment ref="AW33" authorId="1" shapeId="0" xr:uid="{B83E5D4A-692B-48A2-9F0B-17A31419A15E}">
      <text>
        <r>
          <rPr>
            <sz val="9"/>
            <color indexed="81"/>
            <rFont val="Tahoma"/>
            <family val="2"/>
          </rPr>
          <t>178,86: Fra del 15/08/21
Cargado en caixa 26/08/21</t>
        </r>
      </text>
    </comment>
    <comment ref="AY33" authorId="1" shapeId="0" xr:uid="{2894AC9E-7BF2-47F3-A830-6C4D860FEAAF}">
      <text>
        <r>
          <rPr>
            <sz val="9"/>
            <color indexed="81"/>
            <rFont val="Tahoma"/>
            <family val="2"/>
          </rPr>
          <t>180,16: Fra del 15/09/21
Cargado en caixa 27/09/21</t>
        </r>
      </text>
    </comment>
    <comment ref="AZ33" authorId="1" shapeId="0" xr:uid="{F585285B-9CC7-421D-B1C2-86184BA1C255}">
      <text>
        <r>
          <rPr>
            <sz val="9"/>
            <color indexed="81"/>
            <rFont val="Tahoma"/>
            <family val="2"/>
          </rPr>
          <t>181,51: Fra del 15/10/21
Cargado en caixa 27/10/21</t>
        </r>
      </text>
    </comment>
    <comment ref="BB33" authorId="0" shapeId="0" xr:uid="{557C97CC-5738-4859-9D42-526D96EE62E8}">
      <text>
        <r>
          <rPr>
            <sz val="9"/>
            <color indexed="81"/>
            <rFont val="Tahoma"/>
            <family val="2"/>
          </rPr>
          <t>176,26€: Fra del 15/11/21
Cargado en caixa: 01/12/21
------------------------------
177,87€: Fra del 15/12/21
Cargado en caixa: 28/12/21</t>
        </r>
      </text>
    </comment>
    <comment ref="BC33" authorId="0" shapeId="0" xr:uid="{1EB5508D-0C28-47A6-9FE7-C81E27C1D0EB}">
      <text>
        <r>
          <rPr>
            <sz val="9"/>
            <color indexed="81"/>
            <rFont val="Tahoma"/>
            <family val="2"/>
          </rPr>
          <t>181,42€: Fra del 15/01/22
Cargado en caixa: 26/01/22</t>
        </r>
      </text>
    </comment>
    <comment ref="BE33" authorId="0" shapeId="0" xr:uid="{28C2742C-B758-4929-A985-B25E637BEC4E}">
      <text>
        <r>
          <rPr>
            <sz val="9"/>
            <color indexed="81"/>
            <rFont val="Tahoma"/>
            <family val="2"/>
          </rPr>
          <t>194,14€: Fra del 15/02/22
Cargado en caixa: 01/03/22
182,59€: Fra del 15/03/22
Cargado en caixa: 28/03/22</t>
        </r>
      </text>
    </comment>
    <comment ref="BF33" authorId="0" shapeId="0" xr:uid="{A1C49E94-8D28-4F50-8592-2799CD1FF3D8}">
      <text>
        <r>
          <rPr>
            <sz val="9"/>
            <color indexed="81"/>
            <rFont val="Tahoma"/>
            <family val="2"/>
          </rPr>
          <t>177,11€: Fra del 15/04/22
Cargado en caixa: 22/04/22</t>
        </r>
      </text>
    </comment>
    <comment ref="BG33" authorId="0" shapeId="0" xr:uid="{D4651BE3-96C3-4FB3-8BD9-DF0BB2A106B6}">
      <text>
        <r>
          <rPr>
            <sz val="9"/>
            <color indexed="81"/>
            <rFont val="Tahoma"/>
            <family val="2"/>
          </rPr>
          <t>177,34€: Fra del 15/05/22
Cargado en caixa: 26/05/22</t>
        </r>
      </text>
    </comment>
    <comment ref="BH33" authorId="0" shapeId="0" xr:uid="{171B5F02-2771-49D8-935F-2AFA1E1E9D18}">
      <text>
        <r>
          <rPr>
            <sz val="9"/>
            <color indexed="81"/>
            <rFont val="Tahoma"/>
            <family val="2"/>
          </rPr>
          <t>2,50€: Fra del 22/05/22
Cargado en caixa: 01/06/22</t>
        </r>
      </text>
    </comment>
    <comment ref="BI33" authorId="0" shapeId="0" xr:uid="{90C0F193-5576-43AC-8462-03E22C672DF4}">
      <text>
        <r>
          <rPr>
            <sz val="9"/>
            <color indexed="81"/>
            <rFont val="Tahoma"/>
            <family val="2"/>
          </rPr>
          <t>200,65€: Fra del 15/06/22
Cargado en caixa: 01/07/22
---------------------------
28,45€: Fra del 22/06/22
Cargado en caixa: 01/07/22</t>
        </r>
      </text>
    </comment>
    <comment ref="BJ33" authorId="0" shapeId="0" xr:uid="{167F4132-0D65-49F2-866E-96A0BE130279}">
      <text>
        <r>
          <rPr>
            <sz val="9"/>
            <color indexed="81"/>
            <rFont val="Tahoma"/>
            <family val="2"/>
          </rPr>
          <t>198,74€: Fra del 15/07/22
Cargado en caixa: 01/08/22
---------------------------
25,98€: Fra del 22/07/22
Cargado en caixa: 01/08/22
-------------------------
14,94€: Fra del 08/08/22.
Cargado en caixa: 22/08/22</t>
        </r>
      </text>
    </comment>
    <comment ref="BL33" authorId="0" shapeId="0" xr:uid="{9D72DBD0-ADFF-45CD-A6E8-AE9ECEE0806F}">
      <text>
        <r>
          <rPr>
            <sz val="9"/>
            <color indexed="81"/>
            <rFont val="Tahoma"/>
            <family val="2"/>
          </rPr>
          <t xml:space="preserve">299,64€: Fra del 15/08/22
Cargado en caixa: 01/09/22
---------------------------
</t>
        </r>
      </text>
    </comment>
    <comment ref="BM33" authorId="0" shapeId="0" xr:uid="{0715F641-AFD2-4D49-8A0C-57F730C73F4B}">
      <text>
        <r>
          <rPr>
            <sz val="9"/>
            <color indexed="81"/>
            <rFont val="Tahoma"/>
            <family val="2"/>
          </rPr>
          <t>95,42€: Fra del 15/09/22
Cargado en caixa: 01/10/22
---------------------------
80,66€: Fra del 15/09/22
Cargado en caixa: 01/10/22
-------------------------
425,91€: Fra del 15/10/22
Cargado en caixa: 27/10/22
--------------------------
63,98€: Fra del 15/10/22
Cargado en caixa: 27/10/22</t>
        </r>
      </text>
    </comment>
    <comment ref="BO33" authorId="0" shapeId="0" xr:uid="{F2D7C392-689C-408C-BDFD-FBCDE530F5D9}">
      <text>
        <r>
          <rPr>
            <sz val="9"/>
            <color indexed="81"/>
            <rFont val="Tahoma"/>
            <family val="2"/>
          </rPr>
          <t>63,98€: Fra del 15/11/22
Cargado en caixa: 01/12/22
---------------------------
452,96€: Fra del 15/11/22
Cargado en caixa: 01/12/22
-------------------------
456,97€: Fra del 15/12/22
Cargado en caixa: 28/12/22
--------------------------
63,98€: Fra del 15/12/22
Cargado en caixa: 28/12/22</t>
        </r>
      </text>
    </comment>
    <comment ref="BP33" authorId="0" shapeId="0" xr:uid="{126446D8-19CA-44E5-87E2-A23319663092}">
      <text>
        <r>
          <rPr>
            <sz val="9"/>
            <color indexed="81"/>
            <rFont val="Tahoma"/>
            <family val="2"/>
          </rPr>
          <t>477,90€: Fra del 15/01/23
Cargado en caixa: 26/01/23
--------------------------
63,98€: Fra del 15/01/23
Cargado en caixa: 26/01/23</t>
        </r>
      </text>
    </comment>
    <comment ref="BQ33" authorId="0" shapeId="0" xr:uid="{D2AFADDB-8F6B-452B-A377-6296A76B87A5}">
      <text>
        <r>
          <rPr>
            <sz val="9"/>
            <color indexed="81"/>
            <rFont val="Tahoma"/>
            <family val="2"/>
          </rPr>
          <t>499,78€: Fra del 15/02/23
Cargado en caixa: 23/02/23
--------------------------
67,24€: Fra del 15/02/23
Cargado en caixa: 23/02/23
-----------------</t>
        </r>
      </text>
    </comment>
    <comment ref="BR33" authorId="0" shapeId="0" xr:uid="{405A7416-4D94-4B3E-B4D1-F904604B821D}">
      <text>
        <r>
          <rPr>
            <sz val="9"/>
            <color indexed="81"/>
            <rFont val="Tahoma"/>
            <family val="2"/>
          </rPr>
          <t>496,55€: Fra del 15/03/23
Cargado en caixa: 28/03/23
--------------------------
68,20€: Fra del 15/03/23
Cargado en caixa: 28/03/23
-----------------</t>
        </r>
      </text>
    </comment>
    <comment ref="BS33" authorId="0" shapeId="0" xr:uid="{EA11C3D0-EF91-430C-A32F-6B818461C1F6}">
      <text>
        <r>
          <rPr>
            <sz val="9"/>
            <color indexed="81"/>
            <rFont val="Tahoma"/>
            <family val="2"/>
          </rPr>
          <t>495,48€: Fra del 15/04/23
Cargado en caixa: 24/04/23
--------------------------
68,20€: Fra del 15/04/23
Cargado en caixa: 24/04/23
-----------------</t>
        </r>
      </text>
    </comment>
    <comment ref="BT33" authorId="0" shapeId="0" xr:uid="{CB8361F4-1221-4DAA-8E7B-FDF7E47D91AC}">
      <text>
        <r>
          <rPr>
            <sz val="9"/>
            <color indexed="81"/>
            <rFont val="Tahoma"/>
            <family val="2"/>
          </rPr>
          <t>525,08€: Fra del 15/05/23
Cargado en caixa: 24/05/23 
--------------------------
68,20€: Fra del 15/05/23
Cargado en caixa: 24/05/23 
-----------------</t>
        </r>
      </text>
    </comment>
    <comment ref="BU33" authorId="0" shapeId="0" xr:uid="{AB036DA8-3296-424B-A8CC-4202B18F2C52}">
      <text>
        <r>
          <rPr>
            <sz val="9"/>
            <color indexed="81"/>
            <rFont val="Tahoma"/>
            <family val="2"/>
          </rPr>
          <t>523,99€: Fra del 15/06/23
Cargado en caixa: 26/06/23 
--------------------------
65,99€: Fra del 15/06/23
Cargado en caixa: 26/06/23 
-----------------</t>
        </r>
      </text>
    </comment>
    <comment ref="BV33" authorId="0" shapeId="0" xr:uid="{E018F06C-4297-432E-9683-A1223D610841}">
      <text>
        <r>
          <rPr>
            <sz val="9"/>
            <color indexed="81"/>
            <rFont val="Tahoma"/>
            <family val="2"/>
          </rPr>
          <t xml:space="preserve">480,35€: Fra del 15/07/23
Cargado en caixa:  25/07/23
--------------------------
</t>
        </r>
      </text>
    </comment>
    <comment ref="BW33" authorId="0" shapeId="0" xr:uid="{C95EACB8-1880-4BA6-8F0F-2822A07516FA}">
      <text>
        <r>
          <rPr>
            <sz val="9"/>
            <color indexed="81"/>
            <rFont val="Tahoma"/>
            <family val="2"/>
          </rPr>
          <t>651,54€: Fra del 15/08/23
Cargado en caixa: 25/08/23 
--------------------------
80,01€: Fra del 15/08/23
Cargado en caixa: 25/08/23 
-----------------</t>
        </r>
      </text>
    </comment>
    <comment ref="BY33" authorId="0" shapeId="0" xr:uid="{C8628E8B-B50C-422F-BA11-45ADAA65609B}">
      <text>
        <r>
          <rPr>
            <sz val="9"/>
            <color indexed="81"/>
            <rFont val="Tahoma"/>
            <family val="2"/>
          </rPr>
          <t>2000€: Info Alf 01/09/23: Facturar a Welfare 2000 Eur de nov 22 a oct 23
Fra del 01/09/23
Cobro previsto: septiembre
Abonado Caixa: 05/09/23
Info Alf 04/09/23: Cuando entren los fondos realizar devolución de aportación a Alberto por el mismo importe. 
Transf. Caixa realizada a Alberto: 05/09/23
--------------------------------------
671,30€: Fra del 15/09/23
Pndte cargo en caixa: 25/09/23 
Cargado Caixa: 25/09/23
--------------------------</t>
        </r>
      </text>
    </comment>
    <comment ref="BZ33" authorId="0" shapeId="0" xr:uid="{D4CE08B6-EFA8-4FE7-A702-9BC36C25D059}">
      <text>
        <r>
          <rPr>
            <sz val="9"/>
            <color indexed="81"/>
            <rFont val="Tahoma"/>
            <family val="2"/>
          </rPr>
          <t xml:space="preserve">499,40€: Fra del 15/10/23
Cargado en caixa:  25/10/23
--------------------------
</t>
        </r>
      </text>
    </comment>
    <comment ref="CA33" authorId="0" shapeId="0" xr:uid="{D1CA3E95-DA11-4E17-83BD-44CBFDB33E18}">
      <text>
        <r>
          <rPr>
            <sz val="9"/>
            <color indexed="81"/>
            <rFont val="Tahoma"/>
            <family val="2"/>
          </rPr>
          <t xml:space="preserve">777,20€: Fra del 15/11/23
Cargado en caixa:  24/11/23
--------------------------
</t>
        </r>
      </text>
    </comment>
    <comment ref="CB33" authorId="0" shapeId="0" xr:uid="{7C1BF313-E503-4C1F-9C51-860AB43726F4}">
      <text>
        <r>
          <rPr>
            <sz val="9"/>
            <color indexed="81"/>
            <rFont val="Tahoma"/>
            <family val="2"/>
          </rPr>
          <t>80,01€: Devolución pago factura 
Abonado Caixa: 01/12/23</t>
        </r>
        <r>
          <rPr>
            <b/>
            <sz val="9"/>
            <color indexed="81"/>
            <rFont val="Tahoma"/>
            <family val="2"/>
          </rPr>
          <t xml:space="preserve">
--------------------------
</t>
        </r>
        <r>
          <rPr>
            <sz val="9"/>
            <color indexed="81"/>
            <rFont val="Tahoma"/>
            <family val="2"/>
          </rPr>
          <t>488,11€: Fra del 15/12/23
Cargado en caixa:  21/12/23</t>
        </r>
        <r>
          <rPr>
            <b/>
            <sz val="9"/>
            <color indexed="81"/>
            <rFont val="Tahoma"/>
            <family val="2"/>
          </rPr>
          <t xml:space="preserve">
----------------------</t>
        </r>
      </text>
    </comment>
    <comment ref="CC33" authorId="0" shapeId="0" xr:uid="{C5F26D80-02D4-4B5B-A19A-4BF05A9E4E23}">
      <text>
        <r>
          <rPr>
            <sz val="9"/>
            <color indexed="81"/>
            <rFont val="Tahoma"/>
            <family val="2"/>
          </rPr>
          <t>592,61€: Fra del 15/01/24
Cargado en caixa:  26/01/24</t>
        </r>
        <r>
          <rPr>
            <b/>
            <sz val="9"/>
            <color indexed="81"/>
            <rFont val="Tahoma"/>
            <family val="2"/>
          </rPr>
          <t xml:space="preserve">
----------------------</t>
        </r>
      </text>
    </comment>
    <comment ref="CD33" authorId="0" shapeId="0" xr:uid="{2AB46FC4-4D71-4828-AF91-557D110D5C56}">
      <text>
        <r>
          <rPr>
            <sz val="9"/>
            <color indexed="81"/>
            <rFont val="Tahoma"/>
            <family val="2"/>
          </rPr>
          <t>506,37€: Fra del 15/02/24
Cargado en caixa:  26/02/24</t>
        </r>
        <r>
          <rPr>
            <b/>
            <sz val="9"/>
            <color indexed="81"/>
            <rFont val="Tahoma"/>
            <family val="2"/>
          </rPr>
          <t xml:space="preserve">
----------------------</t>
        </r>
      </text>
    </comment>
    <comment ref="CE33" authorId="0" shapeId="0" xr:uid="{6BB82C0F-2C62-4D94-AD94-FDD2A63046FB}">
      <text>
        <r>
          <rPr>
            <sz val="9"/>
            <color indexed="81"/>
            <rFont val="Tahoma"/>
            <family val="2"/>
          </rPr>
          <t>509,88€: Fra del 15/03/24
Cargado en caixa:  25/03/24</t>
        </r>
        <r>
          <rPr>
            <b/>
            <sz val="9"/>
            <color indexed="81"/>
            <rFont val="Tahoma"/>
            <family val="2"/>
          </rPr>
          <t xml:space="preserve">
----------------------</t>
        </r>
      </text>
    </comment>
    <comment ref="CF33" authorId="0" shapeId="0" xr:uid="{9284B087-5DB6-497B-8EF6-C2AD25A5C956}">
      <text>
        <r>
          <rPr>
            <sz val="9"/>
            <color indexed="81"/>
            <rFont val="Tahoma"/>
            <family val="2"/>
          </rPr>
          <t>513,77€: Fra del 15/04/24
Cargado en caixa:  24/04/24</t>
        </r>
        <r>
          <rPr>
            <b/>
            <sz val="9"/>
            <color indexed="81"/>
            <rFont val="Tahoma"/>
            <family val="2"/>
          </rPr>
          <t xml:space="preserve">
----------------------</t>
        </r>
      </text>
    </comment>
    <comment ref="CG33" authorId="0" shapeId="0" xr:uid="{DD646232-C14E-4128-8FF6-6227BFE2D6B2}">
      <text>
        <r>
          <rPr>
            <sz val="9"/>
            <color indexed="81"/>
            <rFont val="Tahoma"/>
            <family val="2"/>
          </rPr>
          <t>513,09€: Fra del 15/05/24
Cargado en caixa:  24/05/24</t>
        </r>
        <r>
          <rPr>
            <b/>
            <sz val="9"/>
            <color indexed="81"/>
            <rFont val="Tahoma"/>
            <family val="2"/>
          </rPr>
          <t xml:space="preserve">
----------------------</t>
        </r>
      </text>
    </comment>
    <comment ref="CH33" authorId="0" shapeId="0" xr:uid="{A0A6BEC5-E44E-4C68-B692-36E911EA7545}">
      <text>
        <r>
          <rPr>
            <sz val="9"/>
            <color indexed="81"/>
            <rFont val="Tahoma"/>
            <family val="2"/>
          </rPr>
          <t>524,35€: Fra del 15/06/24
Cargado en caixa:  25/06/24</t>
        </r>
        <r>
          <rPr>
            <b/>
            <sz val="9"/>
            <color indexed="81"/>
            <rFont val="Tahoma"/>
            <family val="2"/>
          </rPr>
          <t xml:space="preserve">
----------------------</t>
        </r>
      </text>
    </comment>
    <comment ref="CI33" authorId="0" shapeId="0" xr:uid="{FB34911D-311B-4A8C-BFE1-EFD0552EFC62}">
      <text>
        <r>
          <rPr>
            <sz val="9"/>
            <color indexed="81"/>
            <rFont val="Tahoma"/>
            <family val="2"/>
          </rPr>
          <t>518,29€: Fra del 15/07/24
Cargado en caixa:  24/07/24</t>
        </r>
        <r>
          <rPr>
            <b/>
            <sz val="9"/>
            <color indexed="81"/>
            <rFont val="Tahoma"/>
            <family val="2"/>
          </rPr>
          <t xml:space="preserve">
----------------------</t>
        </r>
      </text>
    </comment>
    <comment ref="CJ33" authorId="0" shapeId="0" xr:uid="{B8F602EE-CF08-4D34-9E1F-DEC54222A894}">
      <text>
        <r>
          <rPr>
            <sz val="9"/>
            <color indexed="81"/>
            <rFont val="Tahoma"/>
            <family val="2"/>
          </rPr>
          <t>603,61€: Fra del 15/08/24
Cargado en caixa:  27/08/24</t>
        </r>
        <r>
          <rPr>
            <b/>
            <sz val="9"/>
            <color indexed="81"/>
            <rFont val="Tahoma"/>
            <family val="2"/>
          </rPr>
          <t xml:space="preserve">
----------------------</t>
        </r>
      </text>
    </comment>
    <comment ref="CL33" authorId="0" shapeId="0" xr:uid="{34FDDF82-167F-4390-9549-120E594D1241}">
      <text>
        <r>
          <rPr>
            <sz val="9"/>
            <color indexed="81"/>
            <rFont val="Tahoma"/>
            <family val="2"/>
          </rPr>
          <t>517,01€: Fra del 15/09/24
Cargado en caixa:  25/09/24</t>
        </r>
        <r>
          <rPr>
            <b/>
            <sz val="9"/>
            <color indexed="81"/>
            <rFont val="Tahoma"/>
            <family val="2"/>
          </rPr>
          <t xml:space="preserve">
----------------------</t>
        </r>
      </text>
    </comment>
    <comment ref="CM33" authorId="0" shapeId="0" xr:uid="{27CD6450-EBBB-4ED7-B72C-3B14A03D71B0}">
      <text>
        <r>
          <rPr>
            <sz val="9"/>
            <color indexed="81"/>
            <rFont val="Tahoma"/>
            <family val="2"/>
          </rPr>
          <t>521,12€: Fra del 15/10/24
Cargado en caixa:  25/10/24</t>
        </r>
        <r>
          <rPr>
            <b/>
            <sz val="9"/>
            <color indexed="81"/>
            <rFont val="Tahoma"/>
            <family val="2"/>
          </rPr>
          <t xml:space="preserve">
----------------------</t>
        </r>
      </text>
    </comment>
    <comment ref="CN33" authorId="0" shapeId="0" xr:uid="{CA60F729-AA4C-45E3-8F6A-7BC353BCB723}">
      <text>
        <r>
          <rPr>
            <sz val="9"/>
            <color indexed="81"/>
            <rFont val="Tahoma"/>
            <family val="2"/>
          </rPr>
          <t>522,05€: Fra del 15/11/24
Cargado en caixa:  25/11/24</t>
        </r>
        <r>
          <rPr>
            <b/>
            <sz val="9"/>
            <color indexed="81"/>
            <rFont val="Tahoma"/>
            <family val="2"/>
          </rPr>
          <t xml:space="preserve">
----------------------
</t>
        </r>
        <r>
          <rPr>
            <sz val="9"/>
            <color indexed="81"/>
            <rFont val="Tahoma"/>
            <family val="2"/>
          </rPr>
          <t>420€: Mail Alf 01/09/23: a devolver en diciembre 23, de Vodafone, de errores que he encontrado revisando la factura
Info Alf 08/01: Retrasar 2 meses
05/11/24: OK ALF eliminar</t>
        </r>
        <r>
          <rPr>
            <b/>
            <sz val="9"/>
            <color indexed="81"/>
            <rFont val="Tahoma"/>
            <family val="2"/>
          </rPr>
          <t xml:space="preserve">
------------------------------------</t>
        </r>
      </text>
    </comment>
    <comment ref="CO33" authorId="0" shapeId="0" xr:uid="{33D63252-02BD-4E66-B72C-9703C0A52D2C}">
      <text>
        <r>
          <rPr>
            <sz val="9"/>
            <color indexed="81"/>
            <rFont val="Tahoma"/>
            <family val="2"/>
          </rPr>
          <t xml:space="preserve">553,31€: Fra del 15/12/24
Cargado en caixa:  23/12/24
--------------------------------------
</t>
        </r>
      </text>
    </comment>
    <comment ref="CP33" authorId="0" shapeId="0" xr:uid="{E3DAE505-BFF6-4E8F-842B-4F571EC79A04}">
      <text>
        <r>
          <rPr>
            <sz val="9"/>
            <color indexed="81"/>
            <rFont val="Tahoma"/>
            <family val="2"/>
          </rPr>
          <t xml:space="preserve">535,36€: Fra del 15/01/25
Cargado en caixa: 23/01/25
--------------------------------------
2000 aprox a facturar a Welfare de nov 23 a oct 24, preguntar cifra a Alf.
2000€: Info Alf 22/10/24: Facturar a Welfare 2000 Eur de nov 23 a oct 24
Fra del 22/10/24
Cobro previsto: noviembre
Abonado Caixa: 22/01/25
-------------------------------
</t>
        </r>
      </text>
    </comment>
    <comment ref="CQ33" authorId="0" shapeId="0" xr:uid="{92404928-07FD-4818-BF7E-5767F2AF2CC3}">
      <text>
        <r>
          <rPr>
            <sz val="9"/>
            <color indexed="81"/>
            <rFont val="Tahoma"/>
            <family val="2"/>
          </rPr>
          <t xml:space="preserve">545,89€: Fra del 15/02/25
Cargado en caixa: 21/02/25
--------------------------------------
</t>
        </r>
      </text>
    </comment>
    <comment ref="CR33" authorId="0" shapeId="0" xr:uid="{A2BCE76F-2A8F-4514-97D4-6E60DD043E66}">
      <text>
        <r>
          <rPr>
            <b/>
            <sz val="9"/>
            <color indexed="81"/>
            <rFont val="Tahoma"/>
            <family val="2"/>
          </rPr>
          <t>Vodafone</t>
        </r>
        <r>
          <rPr>
            <sz val="9"/>
            <color indexed="81"/>
            <rFont val="Tahoma"/>
            <family val="2"/>
          </rPr>
          <t xml:space="preserve">
637,95€: Fra del 15/03/25
Cargado en caixa: 21/03/25
--------------------------------------
</t>
        </r>
        <r>
          <rPr>
            <b/>
            <sz val="9"/>
            <color indexed="81"/>
            <rFont val="Tahoma"/>
            <family val="2"/>
          </rPr>
          <t>Orange</t>
        </r>
        <r>
          <rPr>
            <sz val="9"/>
            <color indexed="81"/>
            <rFont val="Tahoma"/>
            <family val="2"/>
          </rPr>
          <t xml:space="preserve">
96,82€: Fra del 05/03/25
Cargado en caixa: 20/03/25</t>
        </r>
      </text>
    </comment>
    <comment ref="CS33" authorId="0" shapeId="0" xr:uid="{030D36A8-CB42-4132-841A-0D78EFED059C}">
      <text>
        <r>
          <rPr>
            <b/>
            <sz val="9"/>
            <color indexed="81"/>
            <rFont val="Tahoma"/>
            <family val="2"/>
          </rPr>
          <t>Vodafone</t>
        </r>
        <r>
          <rPr>
            <sz val="9"/>
            <color indexed="81"/>
            <rFont val="Tahoma"/>
            <family val="2"/>
          </rPr>
          <t xml:space="preserve">
258,99€: Fra del 15/04/25
Cargado en caixa: 24/04/25
--------------------------------------
</t>
        </r>
      </text>
    </comment>
    <comment ref="CT33" authorId="0" shapeId="0" xr:uid="{46099704-DCB2-473E-85FC-16FA2223D524}">
      <text>
        <r>
          <rPr>
            <b/>
            <sz val="9"/>
            <color indexed="81"/>
            <rFont val="Tahoma"/>
            <family val="2"/>
          </rPr>
          <t>Vodafone</t>
        </r>
        <r>
          <rPr>
            <sz val="9"/>
            <color indexed="81"/>
            <rFont val="Tahoma"/>
            <family val="2"/>
          </rPr>
          <t xml:space="preserve">
257,20€: Fra del 15/05/25
Cargado en caixa: 22/05/25
--------------------------------------
</t>
        </r>
      </text>
    </comment>
    <comment ref="CU33" authorId="0" shapeId="0" xr:uid="{FEA5945D-1718-4F7A-AE79-8B2BCB2617C9}">
      <text>
        <r>
          <rPr>
            <b/>
            <sz val="9"/>
            <color indexed="81"/>
            <rFont val="Tahoma"/>
            <family val="2"/>
          </rPr>
          <t>Vodafone</t>
        </r>
        <r>
          <rPr>
            <sz val="9"/>
            <color indexed="81"/>
            <rFont val="Tahoma"/>
            <family val="2"/>
          </rPr>
          <t xml:space="preserve">
257,20€: Fra del 15/06/25 pndte ya solicitada
Cargado en caixa: 23/06/25
--------------------------------------
</t>
        </r>
        <r>
          <rPr>
            <b/>
            <sz val="9"/>
            <color indexed="81"/>
            <rFont val="Tahoma"/>
            <family val="2"/>
          </rPr>
          <t>Orange</t>
        </r>
        <r>
          <rPr>
            <sz val="9"/>
            <color indexed="81"/>
            <rFont val="Tahoma"/>
            <family val="2"/>
          </rPr>
          <t xml:space="preserve">
379,94€: Fra del 05/06/25
Cargado en caixa: 20/06/25
</t>
        </r>
      </text>
    </comment>
    <comment ref="CV33" authorId="0" shapeId="0" xr:uid="{21CC897E-6E02-465E-8D7A-BECCA2FB2963}">
      <text>
        <r>
          <rPr>
            <b/>
            <sz val="9"/>
            <color indexed="81"/>
            <rFont val="Tahoma"/>
            <family val="2"/>
          </rPr>
          <t>Vodafone</t>
        </r>
        <r>
          <rPr>
            <sz val="9"/>
            <color indexed="81"/>
            <rFont val="Tahoma"/>
            <family val="2"/>
          </rPr>
          <t xml:space="preserve">
257,45€: Fra del 15/07/25 pndte ya solicitada
Cargado en caixa: 23/07/25
--------------------------------------
</t>
        </r>
        <r>
          <rPr>
            <b/>
            <sz val="9"/>
            <color indexed="81"/>
            <rFont val="Tahoma"/>
            <family val="2"/>
          </rPr>
          <t>Orange</t>
        </r>
        <r>
          <rPr>
            <sz val="9"/>
            <color indexed="81"/>
            <rFont val="Tahoma"/>
            <family val="2"/>
          </rPr>
          <t xml:space="preserve">
534,63€: Fra del 05/07/25
Cargado en caixa: 22/07/25
</t>
        </r>
      </text>
    </comment>
    <comment ref="CW33" authorId="0" shapeId="0" xr:uid="{0B3B8762-6711-4A22-8095-1080D1362826}">
      <text>
        <r>
          <rPr>
            <b/>
            <sz val="9"/>
            <color indexed="81"/>
            <rFont val="Tahoma"/>
            <family val="2"/>
          </rPr>
          <t>Vodafone</t>
        </r>
        <r>
          <rPr>
            <sz val="9"/>
            <color indexed="81"/>
            <rFont val="Tahoma"/>
            <family val="2"/>
          </rPr>
          <t xml:space="preserve">
257,21€: Fra del 15/08/25 pndte ya solicitada
Cargado en caixa: 22/08/25
--------------------------------------
</t>
        </r>
        <r>
          <rPr>
            <b/>
            <sz val="9"/>
            <color indexed="81"/>
            <rFont val="Tahoma"/>
            <family val="2"/>
          </rPr>
          <t>Orange</t>
        </r>
        <r>
          <rPr>
            <sz val="9"/>
            <color indexed="81"/>
            <rFont val="Tahoma"/>
            <family val="2"/>
          </rPr>
          <t xml:space="preserve">
746,12€: Fra del 05/08/25
Cargado en caixa: 21/08/25
</t>
        </r>
      </text>
    </comment>
    <comment ref="CY33" authorId="0" shapeId="0" xr:uid="{BE0EA9B8-9130-4D8F-9F33-C2C45A1CC271}">
      <text>
        <r>
          <rPr>
            <b/>
            <sz val="9"/>
            <color indexed="81"/>
            <rFont val="Tahoma"/>
            <family val="2"/>
          </rPr>
          <t>Vodafone</t>
        </r>
        <r>
          <rPr>
            <sz val="9"/>
            <color indexed="81"/>
            <rFont val="Tahoma"/>
            <family val="2"/>
          </rPr>
          <t xml:space="preserve">
258,06€: Fra del 15/09/25 
Cargado en caixa: 23/09/25
--------------------------------------
</t>
        </r>
        <r>
          <rPr>
            <b/>
            <sz val="9"/>
            <color indexed="81"/>
            <rFont val="Tahoma"/>
            <family val="2"/>
          </rPr>
          <t>Orange</t>
        </r>
        <r>
          <rPr>
            <sz val="9"/>
            <color indexed="81"/>
            <rFont val="Tahoma"/>
            <family val="2"/>
          </rPr>
          <t xml:space="preserve">
697,48€: Fra del 05/09/25
Cargado en caixa: 19/09/25
</t>
        </r>
      </text>
    </comment>
    <comment ref="CZ33" authorId="0" shapeId="0" xr:uid="{8B64E373-817F-47D7-A697-CA837D043013}">
      <text>
        <r>
          <rPr>
            <b/>
            <sz val="9"/>
            <color indexed="81"/>
            <rFont val="Tahoma"/>
            <family val="2"/>
          </rPr>
          <t>Vodafone</t>
        </r>
        <r>
          <rPr>
            <sz val="9"/>
            <color indexed="81"/>
            <rFont val="Tahoma"/>
            <family val="2"/>
          </rPr>
          <t xml:space="preserve">
261,19€: Fra del 15/10/25 
Cargado en caixa: 23/10/25
--------------------------------------
</t>
        </r>
        <r>
          <rPr>
            <b/>
            <sz val="9"/>
            <color indexed="81"/>
            <rFont val="Tahoma"/>
            <family val="2"/>
          </rPr>
          <t>Orange</t>
        </r>
        <r>
          <rPr>
            <sz val="9"/>
            <color indexed="81"/>
            <rFont val="Tahoma"/>
            <family val="2"/>
          </rPr>
          <t xml:space="preserve">
538,92€: Fra del 05/10/25
Cargado en caixa: 21/10/25
</t>
        </r>
      </text>
    </comment>
    <comment ref="DA33" authorId="0" shapeId="0" xr:uid="{58BD5CF5-2E1B-4A1E-87BB-30F8646039BF}">
      <text>
        <r>
          <rPr>
            <b/>
            <sz val="9"/>
            <color indexed="81"/>
            <rFont val="Tahoma"/>
            <family val="2"/>
          </rPr>
          <t>Vodafone</t>
        </r>
        <r>
          <rPr>
            <sz val="9"/>
            <color indexed="81"/>
            <rFont val="Tahoma"/>
            <family val="2"/>
          </rPr>
          <t xml:space="preserve">
261,19€: Fra del 15/10/25 
Cargado en caixa: 23/10/25
--------------------------------------
</t>
        </r>
        <r>
          <rPr>
            <b/>
            <sz val="9"/>
            <color indexed="81"/>
            <rFont val="Tahoma"/>
            <family val="2"/>
          </rPr>
          <t>Orange</t>
        </r>
        <r>
          <rPr>
            <sz val="9"/>
            <color indexed="81"/>
            <rFont val="Tahoma"/>
            <family val="2"/>
          </rPr>
          <t xml:space="preserve">
538,92€: Fra del 05/11/25
Cargado en caixa: 21/10/25
</t>
        </r>
      </text>
    </comment>
    <comment ref="DB33" authorId="0" shapeId="0" xr:uid="{82AE1435-56A6-4702-B80C-EE317F056DAB}">
      <text>
        <r>
          <rPr>
            <b/>
            <sz val="9"/>
            <color indexed="81"/>
            <rFont val="Tahoma"/>
            <family val="2"/>
          </rPr>
          <t>Vodafone</t>
        </r>
        <r>
          <rPr>
            <sz val="9"/>
            <color indexed="81"/>
            <rFont val="Tahoma"/>
            <family val="2"/>
          </rPr>
          <t xml:space="preserve">
261,54€: Fra del 15/12/25 
Cargado en caixa: 23/12/25
--------------------------------------
</t>
        </r>
        <r>
          <rPr>
            <b/>
            <sz val="9"/>
            <color indexed="81"/>
            <rFont val="Tahoma"/>
            <family val="2"/>
          </rPr>
          <t>Orange</t>
        </r>
        <r>
          <rPr>
            <sz val="9"/>
            <color indexed="81"/>
            <rFont val="Tahoma"/>
            <family val="2"/>
          </rPr>
          <t xml:space="preserve">
782,70€: Fra del 05/12/25
Cargado en caixa: 19/12/25
</t>
        </r>
      </text>
    </comment>
    <comment ref="DC33" authorId="0" shapeId="0" xr:uid="{40265637-3DE4-4761-85B5-23129B4A2C82}">
      <text>
        <r>
          <rPr>
            <b/>
            <sz val="9"/>
            <color indexed="81"/>
            <rFont val="Tahoma"/>
            <family val="2"/>
          </rPr>
          <t>Vodafone</t>
        </r>
        <r>
          <rPr>
            <sz val="9"/>
            <color indexed="81"/>
            <rFont val="Tahoma"/>
            <family val="2"/>
          </rPr>
          <t xml:space="preserve">
365,14€: Fra del 15/01/26 
Cargado en caixa: 23/01/26
--------------------------------------
</t>
        </r>
        <r>
          <rPr>
            <b/>
            <sz val="9"/>
            <color indexed="81"/>
            <rFont val="Tahoma"/>
            <family val="2"/>
          </rPr>
          <t>Orange</t>
        </r>
        <r>
          <rPr>
            <sz val="9"/>
            <color indexed="81"/>
            <rFont val="Tahoma"/>
            <family val="2"/>
          </rPr>
          <t xml:space="preserve">
443,86€: Fra del 05/01/26
Cargado en caixa: 20/01/26
</t>
        </r>
      </text>
    </comment>
    <comment ref="DD33" authorId="0" shapeId="0" xr:uid="{57055659-D3A8-47AB-91A3-83A14CBB7620}">
      <text>
        <r>
          <rPr>
            <b/>
            <sz val="9"/>
            <color indexed="81"/>
            <rFont val="Tahoma"/>
            <family val="2"/>
          </rPr>
          <t>Vodafone</t>
        </r>
        <r>
          <rPr>
            <sz val="9"/>
            <color indexed="81"/>
            <rFont val="Tahoma"/>
            <family val="2"/>
          </rPr>
          <t xml:space="preserve">
373,87€: Fra del 15/02/26 
Cargado en caixa: 24/02/26
--------------------------------------
</t>
        </r>
        <r>
          <rPr>
            <b/>
            <sz val="9"/>
            <color indexed="81"/>
            <rFont val="Tahoma"/>
            <family val="2"/>
          </rPr>
          <t>Orange</t>
        </r>
        <r>
          <rPr>
            <sz val="9"/>
            <color indexed="81"/>
            <rFont val="Tahoma"/>
            <family val="2"/>
          </rPr>
          <t xml:space="preserve">
627,38€: Fra del 05/02/26
Cargado en caixa: 19/02/26
</t>
        </r>
      </text>
    </comment>
    <comment ref="DE33" authorId="0" shapeId="0" xr:uid="{945386E6-7BB3-41F2-9388-FB94B4A5E4C9}">
      <text>
        <r>
          <rPr>
            <b/>
            <sz val="9"/>
            <color indexed="81"/>
            <rFont val="Tahoma"/>
            <family val="2"/>
          </rPr>
          <t>Vodafone</t>
        </r>
        <r>
          <rPr>
            <sz val="9"/>
            <color indexed="81"/>
            <rFont val="Tahoma"/>
            <family val="2"/>
          </rPr>
          <t xml:space="preserve">
373,87€: Fra del 15/03/26 
Cargado en caixa: 24/03/26
--------------------------------------
</t>
        </r>
        <r>
          <rPr>
            <b/>
            <sz val="9"/>
            <color indexed="81"/>
            <rFont val="Tahoma"/>
            <family val="2"/>
          </rPr>
          <t>Orange</t>
        </r>
        <r>
          <rPr>
            <sz val="9"/>
            <color indexed="81"/>
            <rFont val="Tahoma"/>
            <family val="2"/>
          </rPr>
          <t xml:space="preserve">
497,57€: Fra del 05/03/26
Cargado en caixa: 20/03/26
</t>
        </r>
      </text>
    </comment>
    <comment ref="DF33" authorId="0" shapeId="0" xr:uid="{EE54C034-EF72-4CC4-8AA8-71A97E929D57}">
      <text>
        <r>
          <rPr>
            <b/>
            <sz val="9"/>
            <color indexed="81"/>
            <rFont val="Tahoma"/>
            <family val="2"/>
          </rPr>
          <t>Vodafone</t>
        </r>
        <r>
          <rPr>
            <sz val="9"/>
            <color indexed="81"/>
            <rFont val="Tahoma"/>
            <family val="2"/>
          </rPr>
          <t xml:space="preserve">
373,87€: Fra del 15/04/26 
Cargado en caixa: 23/04/26
--------------------------------------
</t>
        </r>
        <r>
          <rPr>
            <b/>
            <sz val="9"/>
            <color indexed="81"/>
            <rFont val="Tahoma"/>
            <family val="2"/>
          </rPr>
          <t>Orange</t>
        </r>
        <r>
          <rPr>
            <sz val="9"/>
            <color indexed="81"/>
            <rFont val="Tahoma"/>
            <family val="2"/>
          </rPr>
          <t xml:space="preserve">
909,71€: Fra del 05/04/26
Cargado en caixa: 21/04/26
</t>
        </r>
      </text>
    </comment>
    <comment ref="DG33" authorId="0" shapeId="0" xr:uid="{2BB302EF-9EDA-4E75-BF41-F5AC50799B49}">
      <text>
        <r>
          <rPr>
            <b/>
            <sz val="9"/>
            <color indexed="81"/>
            <rFont val="Tahoma"/>
            <family val="2"/>
          </rPr>
          <t>Vodafone</t>
        </r>
        <r>
          <rPr>
            <sz val="9"/>
            <color indexed="81"/>
            <rFont val="Tahoma"/>
            <family val="2"/>
          </rPr>
          <t xml:space="preserve">
373,87€: Fra del 15/05/26 
Cargado en caixa: 22/05/26
--------------------------------------
</t>
        </r>
        <r>
          <rPr>
            <b/>
            <sz val="9"/>
            <color indexed="81"/>
            <rFont val="Tahoma"/>
            <family val="2"/>
          </rPr>
          <t>Orange</t>
        </r>
        <r>
          <rPr>
            <sz val="9"/>
            <color indexed="81"/>
            <rFont val="Tahoma"/>
            <family val="2"/>
          </rPr>
          <t xml:space="preserve">
508,07€: Fra del 05/05/26
Cargado en caixa: 20/05/26
</t>
        </r>
      </text>
    </comment>
    <comment ref="DH33" authorId="0" shapeId="0" xr:uid="{34C88CB8-58C6-45DA-9E82-F8763DE8EB90}">
      <text>
        <r>
          <rPr>
            <sz val="9"/>
            <color indexed="81"/>
            <rFont val="Tahoma"/>
            <family val="2"/>
          </rPr>
          <t>1.800€: Info Alf 10/03/25: La facturación anual a Welfare debe ser 150 Eur/mes (1800 EUr/año), excepto este primero con los 5 meses de facturación a cero de abril a agosto 25 que será 1050 Eur
Facturar a Welfare 1.050 Eur de nov 24 a oct 25
Fra del</t>
        </r>
      </text>
    </comment>
    <comment ref="DI33" authorId="0" shapeId="0" xr:uid="{97FD736D-B244-4431-B821-E3FD78BFDAB5}">
      <text>
        <r>
          <rPr>
            <sz val="9"/>
            <color indexed="81"/>
            <rFont val="Tahoma"/>
            <family val="2"/>
          </rPr>
          <t>1.800€: Info Alf 10/03/25: La facturación anual a Welfare debe ser 150 Eur/mes (1800 EUr/año), excepto este primero con los 5 meses de facturación a cero de abril a agosto 25 que será 1050 Eur
Facturar a Welfare 1.050 Eur de nov 24 a oct 25
Fra del</t>
        </r>
      </text>
    </comment>
    <comment ref="DN33" authorId="0" shapeId="0" xr:uid="{37F17342-8625-491E-803A-F82F8689B1F7}">
      <text>
        <r>
          <rPr>
            <sz val="9"/>
            <color indexed="81"/>
            <rFont val="Tahoma"/>
            <family val="2"/>
          </rPr>
          <t>1.800€: Info Alf 10/03/25: La facturación anual a Welfare debe ser 150 Eur/mes (1800 EUr/año), excepto este primero con los 5 meses de facturación a cero de abril a agosto 25 que será 1050 Eur
Facturar a Welfare 1.050 Eur de nov 24 a oct 25
Y facturar de nov25 a oct26 por 1800</t>
        </r>
      </text>
    </comment>
    <comment ref="AI34" authorId="0" shapeId="0" xr:uid="{9F44D6B5-3442-49D8-AE99-6358E0E89424}">
      <text>
        <r>
          <rPr>
            <b/>
            <sz val="9"/>
            <color indexed="81"/>
            <rFont val="Tahoma"/>
            <family val="2"/>
          </rPr>
          <t xml:space="preserve">rosa:
180,11 E: Seguro AXA junio 2020 Alfonso Carmona 
180,11 E: Seguro AXA julio 2020 Alfonso Carmona 
</t>
        </r>
        <r>
          <rPr>
            <sz val="9"/>
            <color indexed="81"/>
            <rFont val="Tahoma"/>
            <family val="2"/>
          </rPr>
          <t xml:space="preserve">
</t>
        </r>
      </text>
    </comment>
    <comment ref="AJ34" authorId="0" shapeId="0" xr:uid="{E5D737F4-0D88-4CD8-9B68-48385575A224}">
      <text>
        <r>
          <rPr>
            <b/>
            <sz val="9"/>
            <color indexed="81"/>
            <rFont val="Tahoma"/>
            <family val="2"/>
          </rPr>
          <t xml:space="preserve">rosa:
180,11 E: Seguro AXA agosto 2020 Alfonso Carmona 
</t>
        </r>
        <r>
          <rPr>
            <sz val="9"/>
            <color indexed="81"/>
            <rFont val="Tahoma"/>
            <family val="2"/>
          </rPr>
          <t xml:space="preserve">
</t>
        </r>
      </text>
    </comment>
    <comment ref="AL34" authorId="0" shapeId="0" xr:uid="{43DED8F9-F7A4-493C-A477-ABDE5B1E0EFE}">
      <text>
        <r>
          <rPr>
            <b/>
            <sz val="9"/>
            <color indexed="81"/>
            <rFont val="Tahoma"/>
            <family val="2"/>
          </rPr>
          <t xml:space="preserve">rosa:
180,11 E: Seguro AXA septiembre 2020 Alfonso Carmona 
</t>
        </r>
        <r>
          <rPr>
            <sz val="9"/>
            <color indexed="81"/>
            <rFont val="Tahoma"/>
            <family val="2"/>
          </rPr>
          <t xml:space="preserve">
</t>
        </r>
      </text>
    </comment>
    <comment ref="AM34" authorId="0" shapeId="0" xr:uid="{F3BF6A11-37F6-46B3-9FCF-0ED6F00A1B83}">
      <text>
        <r>
          <rPr>
            <b/>
            <sz val="9"/>
            <color indexed="81"/>
            <rFont val="Tahoma"/>
            <family val="2"/>
          </rPr>
          <t xml:space="preserve">rosa:
180,11 E: Seguro AXA octubre 2020 Alfonso Carmona 
</t>
        </r>
        <r>
          <rPr>
            <sz val="9"/>
            <color indexed="81"/>
            <rFont val="Tahoma"/>
            <family val="2"/>
          </rPr>
          <t xml:space="preserve">
</t>
        </r>
      </text>
    </comment>
    <comment ref="AN34" authorId="0" shapeId="0" xr:uid="{876654B1-E240-4F52-84CD-628BE97EAC70}">
      <text>
        <r>
          <rPr>
            <b/>
            <sz val="9"/>
            <color indexed="81"/>
            <rFont val="Tahoma"/>
            <family val="2"/>
          </rPr>
          <t xml:space="preserve">rosa:
180,11 E: Seguro AXA noviembre 2020 Alfonso Carmona 
</t>
        </r>
        <r>
          <rPr>
            <sz val="9"/>
            <color indexed="81"/>
            <rFont val="Tahoma"/>
            <family val="2"/>
          </rPr>
          <t xml:space="preserve">
</t>
        </r>
      </text>
    </comment>
    <comment ref="AO34" authorId="0" shapeId="0" xr:uid="{F5E6264D-DBA5-4BA1-85E2-49661AE5552E}">
      <text>
        <r>
          <rPr>
            <b/>
            <sz val="9"/>
            <color indexed="81"/>
            <rFont val="Tahoma"/>
            <family val="2"/>
          </rPr>
          <t xml:space="preserve">rosa:
180,11 E: Seguro AXA diciembre 2020 Alfonso Carmona 
</t>
        </r>
        <r>
          <rPr>
            <sz val="9"/>
            <color indexed="81"/>
            <rFont val="Tahoma"/>
            <family val="2"/>
          </rPr>
          <t xml:space="preserve">
</t>
        </r>
      </text>
    </comment>
    <comment ref="AP34" authorId="0" shapeId="0" xr:uid="{8C74BD76-E6E7-43F3-85CF-DC51B95726FC}">
      <text>
        <r>
          <rPr>
            <b/>
            <sz val="9"/>
            <color indexed="81"/>
            <rFont val="Tahoma"/>
            <family val="2"/>
          </rPr>
          <t xml:space="preserve">rosa:
180,11 E: Seguro AXA enero 2021 Alfonso Carmona 
</t>
        </r>
        <r>
          <rPr>
            <sz val="9"/>
            <color indexed="81"/>
            <rFont val="Tahoma"/>
            <family val="2"/>
          </rPr>
          <t xml:space="preserve">
</t>
        </r>
      </text>
    </comment>
    <comment ref="AQ34" authorId="0" shapeId="0" xr:uid="{7143EC0E-1005-4D62-A863-F3E50138986A}">
      <text>
        <r>
          <rPr>
            <b/>
            <sz val="9"/>
            <color indexed="81"/>
            <rFont val="Tahoma"/>
            <family val="2"/>
          </rPr>
          <t xml:space="preserve">rosa:
182,84 E: Seguro AXA febrero 2021 Alfonso Carmona.
</t>
        </r>
        <r>
          <rPr>
            <sz val="9"/>
            <color indexed="81"/>
            <rFont val="Tahoma"/>
            <family val="2"/>
          </rPr>
          <t xml:space="preserve">
</t>
        </r>
      </text>
    </comment>
    <comment ref="AR34" authorId="0" shapeId="0" xr:uid="{F0B8ED25-1ACD-4834-B8A6-5688CA76D794}">
      <text>
        <r>
          <rPr>
            <b/>
            <sz val="9"/>
            <color indexed="81"/>
            <rFont val="Tahoma"/>
            <family val="2"/>
          </rPr>
          <t xml:space="preserve">rosa:
182,84 E: Seguro AXA marzo 2021 Alfonso Carmona.
</t>
        </r>
        <r>
          <rPr>
            <sz val="9"/>
            <color indexed="81"/>
            <rFont val="Tahoma"/>
            <family val="2"/>
          </rPr>
          <t xml:space="preserve">
</t>
        </r>
      </text>
    </comment>
    <comment ref="AS34" authorId="0" shapeId="0" xr:uid="{3A338605-2287-419E-9EEF-11905BC3C2D0}">
      <text>
        <r>
          <rPr>
            <b/>
            <sz val="9"/>
            <color indexed="81"/>
            <rFont val="Tahoma"/>
            <family val="2"/>
          </rPr>
          <t xml:space="preserve">rosa:
182,84 E: Seguro AXA abril 2021 Alfonso Carmona.
</t>
        </r>
        <r>
          <rPr>
            <sz val="9"/>
            <color indexed="81"/>
            <rFont val="Tahoma"/>
            <family val="2"/>
          </rPr>
          <t xml:space="preserve">
</t>
        </r>
      </text>
    </comment>
    <comment ref="AT34" authorId="0" shapeId="0" xr:uid="{DFA43AB4-7776-4397-A0A7-84E00A7F21EF}">
      <text>
        <r>
          <rPr>
            <sz val="9"/>
            <color indexed="81"/>
            <rFont val="Tahoma"/>
            <family val="2"/>
          </rPr>
          <t xml:space="preserve">182,84 E: Seguro AXA mayo 2021 Alfonso Carmona.
 </t>
        </r>
        <r>
          <rPr>
            <b/>
            <sz val="9"/>
            <color indexed="81"/>
            <rFont val="Tahoma"/>
            <family val="2"/>
          </rPr>
          <t xml:space="preserve">
</t>
        </r>
        <r>
          <rPr>
            <sz val="9"/>
            <color indexed="81"/>
            <rFont val="Tahoma"/>
            <family val="2"/>
          </rPr>
          <t xml:space="preserve">
</t>
        </r>
      </text>
    </comment>
    <comment ref="AU34" authorId="0" shapeId="0" xr:uid="{7C3E3430-C94B-42A9-B752-E07CCF856607}">
      <text>
        <r>
          <rPr>
            <sz val="9"/>
            <color indexed="81"/>
            <rFont val="Tahoma"/>
            <family val="2"/>
          </rPr>
          <t xml:space="preserve">182,84 E: Seguro AXA junio 2021 Alfonso Carmona.
 </t>
        </r>
        <r>
          <rPr>
            <b/>
            <sz val="9"/>
            <color indexed="81"/>
            <rFont val="Tahoma"/>
            <family val="2"/>
          </rPr>
          <t xml:space="preserve">
</t>
        </r>
        <r>
          <rPr>
            <sz val="9"/>
            <color indexed="81"/>
            <rFont val="Tahoma"/>
            <family val="2"/>
          </rPr>
          <t xml:space="preserve">
</t>
        </r>
      </text>
    </comment>
    <comment ref="AV34" authorId="0" shapeId="0" xr:uid="{D4E38CD3-5BFE-4D4F-9A07-3A7D36A9AA1C}">
      <text>
        <r>
          <rPr>
            <sz val="9"/>
            <color indexed="81"/>
            <rFont val="Tahoma"/>
            <family val="2"/>
          </rPr>
          <t xml:space="preserve">182,84 E: Seguro AXA julio 2021 Alfonso Carmona.
 </t>
        </r>
        <r>
          <rPr>
            <b/>
            <sz val="9"/>
            <color indexed="81"/>
            <rFont val="Tahoma"/>
            <family val="2"/>
          </rPr>
          <t xml:space="preserve">
</t>
        </r>
        <r>
          <rPr>
            <sz val="9"/>
            <color indexed="81"/>
            <rFont val="Tahoma"/>
            <family val="2"/>
          </rPr>
          <t xml:space="preserve">
</t>
        </r>
      </text>
    </comment>
    <comment ref="AW34" authorId="0" shapeId="0" xr:uid="{0C06A332-593F-495E-8D75-895E732E3D7D}">
      <text>
        <r>
          <rPr>
            <sz val="9"/>
            <color indexed="81"/>
            <rFont val="Tahoma"/>
            <family val="2"/>
          </rPr>
          <t xml:space="preserve">182,84 E: Seguro AXA agosto 2021 Alfonso Carmona.
 </t>
        </r>
        <r>
          <rPr>
            <b/>
            <sz val="9"/>
            <color indexed="81"/>
            <rFont val="Tahoma"/>
            <family val="2"/>
          </rPr>
          <t xml:space="preserve">
</t>
        </r>
        <r>
          <rPr>
            <sz val="9"/>
            <color indexed="81"/>
            <rFont val="Tahoma"/>
            <family val="2"/>
          </rPr>
          <t xml:space="preserve">
</t>
        </r>
      </text>
    </comment>
    <comment ref="AY34" authorId="0" shapeId="0" xr:uid="{BE8A2631-592D-49C6-BC36-95AE30C81A03}">
      <text>
        <r>
          <rPr>
            <sz val="9"/>
            <color indexed="81"/>
            <rFont val="Tahoma"/>
            <family val="2"/>
          </rPr>
          <t xml:space="preserve">182,84 E: Seguro AXA septiembre 2021 Alfonso Carmona.
 </t>
        </r>
        <r>
          <rPr>
            <b/>
            <sz val="9"/>
            <color indexed="81"/>
            <rFont val="Tahoma"/>
            <family val="2"/>
          </rPr>
          <t xml:space="preserve">
</t>
        </r>
        <r>
          <rPr>
            <sz val="9"/>
            <color indexed="81"/>
            <rFont val="Tahoma"/>
            <family val="2"/>
          </rPr>
          <t xml:space="preserve">
</t>
        </r>
      </text>
    </comment>
    <comment ref="AZ34" authorId="0" shapeId="0" xr:uid="{19DCB63D-DAD6-40E0-B6BD-3578D795ED35}">
      <text>
        <r>
          <rPr>
            <sz val="9"/>
            <color indexed="81"/>
            <rFont val="Tahoma"/>
            <family val="2"/>
          </rPr>
          <t xml:space="preserve">182,84 E: Seguro AXA octubre 2021 Alfonso Carmona.
 </t>
        </r>
        <r>
          <rPr>
            <b/>
            <sz val="9"/>
            <color indexed="81"/>
            <rFont val="Tahoma"/>
            <family val="2"/>
          </rPr>
          <t xml:space="preserve">
</t>
        </r>
        <r>
          <rPr>
            <sz val="9"/>
            <color indexed="81"/>
            <rFont val="Tahoma"/>
            <family val="2"/>
          </rPr>
          <t xml:space="preserve">
</t>
        </r>
      </text>
    </comment>
    <comment ref="BA34" authorId="0" shapeId="0" xr:uid="{C6F3E8EF-CAEA-4C0A-BCA3-EDF4B09CB301}">
      <text>
        <r>
          <rPr>
            <sz val="9"/>
            <color indexed="81"/>
            <rFont val="Tahoma"/>
            <family val="2"/>
          </rPr>
          <t xml:space="preserve">182,84 E: Seguro AXA noviembre 2021 Alfonso Carmona.
Cargado: 03/11/21
 </t>
        </r>
        <r>
          <rPr>
            <b/>
            <sz val="9"/>
            <color indexed="81"/>
            <rFont val="Tahoma"/>
            <family val="2"/>
          </rPr>
          <t xml:space="preserve">
</t>
        </r>
        <r>
          <rPr>
            <sz val="9"/>
            <color indexed="81"/>
            <rFont val="Tahoma"/>
            <family val="2"/>
          </rPr>
          <t xml:space="preserve">
</t>
        </r>
      </text>
    </comment>
    <comment ref="BB34" authorId="0" shapeId="0" xr:uid="{2DD12F26-3CFA-43A6-8638-9CCCF1370697}">
      <text>
        <r>
          <rPr>
            <sz val="9"/>
            <color indexed="81"/>
            <rFont val="Tahoma"/>
            <family val="2"/>
          </rPr>
          <t xml:space="preserve">182,86 E: Seguro AXA diciembre 2021 Alfonso Carmona.
Cargado: 03/12/21
 </t>
        </r>
        <r>
          <rPr>
            <b/>
            <sz val="9"/>
            <color indexed="81"/>
            <rFont val="Tahoma"/>
            <family val="2"/>
          </rPr>
          <t xml:space="preserve">
</t>
        </r>
        <r>
          <rPr>
            <sz val="9"/>
            <color indexed="81"/>
            <rFont val="Tahoma"/>
            <family val="2"/>
          </rPr>
          <t xml:space="preserve">
</t>
        </r>
      </text>
    </comment>
    <comment ref="BC34" authorId="0" shapeId="0" xr:uid="{AD766065-E7E9-47CE-8850-25256943117D}">
      <text>
        <r>
          <rPr>
            <sz val="9"/>
            <color indexed="81"/>
            <rFont val="Tahoma"/>
            <family val="2"/>
          </rPr>
          <t xml:space="preserve">182,84 E: Seguro AXA enero 2022 Alfonso Carmona.
Cargado: 05/01/22
 </t>
        </r>
        <r>
          <rPr>
            <b/>
            <sz val="9"/>
            <color indexed="81"/>
            <rFont val="Tahoma"/>
            <family val="2"/>
          </rPr>
          <t xml:space="preserve">
</t>
        </r>
        <r>
          <rPr>
            <sz val="9"/>
            <color indexed="81"/>
            <rFont val="Tahoma"/>
            <family val="2"/>
          </rPr>
          <t xml:space="preserve">
</t>
        </r>
      </text>
    </comment>
    <comment ref="BD34" authorId="0" shapeId="0" xr:uid="{85CFC350-3F73-4EC4-A8E3-8A06CF5F9F45}">
      <text>
        <r>
          <rPr>
            <sz val="9"/>
            <color indexed="81"/>
            <rFont val="Tahoma"/>
            <family val="2"/>
          </rPr>
          <t xml:space="preserve">191,07 E: Seguro AXA febrero 2022 Alfonso Carmona.
Cargado: 03/02/22
 </t>
        </r>
        <r>
          <rPr>
            <b/>
            <sz val="9"/>
            <color indexed="81"/>
            <rFont val="Tahoma"/>
            <family val="2"/>
          </rPr>
          <t xml:space="preserve">
</t>
        </r>
        <r>
          <rPr>
            <sz val="9"/>
            <color indexed="81"/>
            <rFont val="Tahoma"/>
            <family val="2"/>
          </rPr>
          <t xml:space="preserve">
</t>
        </r>
      </text>
    </comment>
    <comment ref="BE34" authorId="0" shapeId="0" xr:uid="{C7741FB1-E107-4751-B854-DC7B7D56F23A}">
      <text>
        <r>
          <rPr>
            <sz val="9"/>
            <color indexed="81"/>
            <rFont val="Tahoma"/>
            <family val="2"/>
          </rPr>
          <t xml:space="preserve">191,07 E: Seguro AXA marzo 2022 Alfonso Carmona.
Cargado: 03/03/22
 </t>
        </r>
        <r>
          <rPr>
            <b/>
            <sz val="9"/>
            <color indexed="81"/>
            <rFont val="Tahoma"/>
            <family val="2"/>
          </rPr>
          <t xml:space="preserve">
</t>
        </r>
        <r>
          <rPr>
            <sz val="9"/>
            <color indexed="81"/>
            <rFont val="Tahoma"/>
            <family val="2"/>
          </rPr>
          <t xml:space="preserve">
</t>
        </r>
      </text>
    </comment>
    <comment ref="BF34" authorId="0" shapeId="0" xr:uid="{81CBA580-94D7-42C8-95E1-5A819E531E9D}">
      <text>
        <r>
          <rPr>
            <sz val="9"/>
            <color indexed="81"/>
            <rFont val="Tahoma"/>
            <family val="2"/>
          </rPr>
          <t xml:space="preserve">191,07 E: Seguro AXA abril 2022 Alfonso Carmona.
Cargado: 05/04/22
 </t>
        </r>
        <r>
          <rPr>
            <b/>
            <sz val="9"/>
            <color indexed="81"/>
            <rFont val="Tahoma"/>
            <family val="2"/>
          </rPr>
          <t xml:space="preserve">
</t>
        </r>
        <r>
          <rPr>
            <sz val="9"/>
            <color indexed="81"/>
            <rFont val="Tahoma"/>
            <family val="2"/>
          </rPr>
          <t xml:space="preserve">
</t>
        </r>
      </text>
    </comment>
    <comment ref="BG34" authorId="0" shapeId="0" xr:uid="{E2E3FD36-EB5F-4FB2-B671-20CA4AA4CA51}">
      <text>
        <r>
          <rPr>
            <sz val="9"/>
            <color indexed="81"/>
            <rFont val="Tahoma"/>
            <family val="2"/>
          </rPr>
          <t xml:space="preserve">191,07 E: Seguro AXA mayo 2022 Alfonso Carmona.
Cargado: 04/05/22
 </t>
        </r>
        <r>
          <rPr>
            <b/>
            <sz val="9"/>
            <color indexed="81"/>
            <rFont val="Tahoma"/>
            <family val="2"/>
          </rPr>
          <t xml:space="preserve">
</t>
        </r>
        <r>
          <rPr>
            <sz val="9"/>
            <color indexed="81"/>
            <rFont val="Tahoma"/>
            <family val="2"/>
          </rPr>
          <t xml:space="preserve">
</t>
        </r>
      </text>
    </comment>
    <comment ref="BH34" authorId="0" shapeId="0" xr:uid="{173B7322-BE7C-41A4-83EC-9CDF5A93BBF9}">
      <text>
        <r>
          <rPr>
            <sz val="9"/>
            <color indexed="81"/>
            <rFont val="Tahoma"/>
            <family val="2"/>
          </rPr>
          <t xml:space="preserve">191,07 E: Seguro AXA junio 2022 Alfonso Carmona.
Cargado: 03/06/22
 </t>
        </r>
        <r>
          <rPr>
            <b/>
            <sz val="9"/>
            <color indexed="81"/>
            <rFont val="Tahoma"/>
            <family val="2"/>
          </rPr>
          <t xml:space="preserve">
</t>
        </r>
        <r>
          <rPr>
            <sz val="9"/>
            <color indexed="81"/>
            <rFont val="Tahoma"/>
            <family val="2"/>
          </rPr>
          <t xml:space="preserve">
</t>
        </r>
      </text>
    </comment>
    <comment ref="BI34" authorId="0" shapeId="0" xr:uid="{3842A62D-43A2-4C99-87F6-89723F56072C}">
      <text>
        <r>
          <rPr>
            <sz val="9"/>
            <color indexed="81"/>
            <rFont val="Tahoma"/>
            <family val="2"/>
          </rPr>
          <t xml:space="preserve">191,07 E: Seguro AXA juliio 2022 Alfonso Carmona.
Cargado: 05/07/22
 </t>
        </r>
        <r>
          <rPr>
            <b/>
            <sz val="9"/>
            <color indexed="81"/>
            <rFont val="Tahoma"/>
            <family val="2"/>
          </rPr>
          <t xml:space="preserve">
</t>
        </r>
        <r>
          <rPr>
            <sz val="9"/>
            <color indexed="81"/>
            <rFont val="Tahoma"/>
            <family val="2"/>
          </rPr>
          <t xml:space="preserve">
</t>
        </r>
      </text>
    </comment>
    <comment ref="BJ34" authorId="0" shapeId="0" xr:uid="{69C96BFC-D4EB-494B-951A-A19DBFF84865}">
      <text>
        <r>
          <rPr>
            <sz val="9"/>
            <color indexed="81"/>
            <rFont val="Tahoma"/>
            <family val="2"/>
          </rPr>
          <t xml:space="preserve">191,07 E: Seguro AXA agosto 2022 Alfonso Carmona.
Cargado: 03/08/22
 </t>
        </r>
        <r>
          <rPr>
            <b/>
            <sz val="9"/>
            <color indexed="81"/>
            <rFont val="Tahoma"/>
            <family val="2"/>
          </rPr>
          <t xml:space="preserve">
</t>
        </r>
        <r>
          <rPr>
            <sz val="9"/>
            <color indexed="81"/>
            <rFont val="Tahoma"/>
            <family val="2"/>
          </rPr>
          <t xml:space="preserve">
</t>
        </r>
      </text>
    </comment>
    <comment ref="BL34" authorId="0" shapeId="0" xr:uid="{73A856C3-6123-422F-8E6C-E700F1378EC8}">
      <text>
        <r>
          <rPr>
            <sz val="9"/>
            <color indexed="81"/>
            <rFont val="Tahoma"/>
            <family val="2"/>
          </rPr>
          <t xml:space="preserve">191,07 E: Seguro AXA septiembre 2022 Alfonso Carmona.
Cargado: 05/09/22
 </t>
        </r>
        <r>
          <rPr>
            <b/>
            <sz val="9"/>
            <color indexed="81"/>
            <rFont val="Tahoma"/>
            <family val="2"/>
          </rPr>
          <t xml:space="preserve">
</t>
        </r>
        <r>
          <rPr>
            <sz val="9"/>
            <color indexed="81"/>
            <rFont val="Tahoma"/>
            <family val="2"/>
          </rPr>
          <t xml:space="preserve">
</t>
        </r>
      </text>
    </comment>
    <comment ref="BM34" authorId="0" shapeId="0" xr:uid="{CABC3619-F315-4FBD-8B72-3CCFB9FA200C}">
      <text>
        <r>
          <rPr>
            <sz val="9"/>
            <color indexed="81"/>
            <rFont val="Tahoma"/>
            <family val="2"/>
          </rPr>
          <t xml:space="preserve">191,07 E: Seguro AXA octubre 2022 Alfonso Carmona.
Cargado: 05/10/22
 </t>
        </r>
        <r>
          <rPr>
            <b/>
            <sz val="9"/>
            <color indexed="81"/>
            <rFont val="Tahoma"/>
            <family val="2"/>
          </rPr>
          <t xml:space="preserve">
</t>
        </r>
        <r>
          <rPr>
            <sz val="9"/>
            <color indexed="81"/>
            <rFont val="Tahoma"/>
            <family val="2"/>
          </rPr>
          <t xml:space="preserve">
</t>
        </r>
      </text>
    </comment>
    <comment ref="BN34" authorId="0" shapeId="0" xr:uid="{DD3A5D23-647F-4A0D-AAFB-6891A7643D6E}">
      <text>
        <r>
          <rPr>
            <sz val="9"/>
            <color indexed="81"/>
            <rFont val="Tahoma"/>
            <family val="2"/>
          </rPr>
          <t xml:space="preserve">191,07 E: Seguro AXA noviembre 2022 Alfonso Carmona.
Cargado: 03/11/22
 </t>
        </r>
        <r>
          <rPr>
            <b/>
            <sz val="9"/>
            <color indexed="81"/>
            <rFont val="Tahoma"/>
            <family val="2"/>
          </rPr>
          <t xml:space="preserve">
</t>
        </r>
        <r>
          <rPr>
            <sz val="9"/>
            <color indexed="81"/>
            <rFont val="Tahoma"/>
            <family val="2"/>
          </rPr>
          <t xml:space="preserve">
</t>
        </r>
      </text>
    </comment>
    <comment ref="BO34" authorId="0" shapeId="0" xr:uid="{17FDB739-0D1B-4CB8-9A18-471D6AE367E7}">
      <text>
        <r>
          <rPr>
            <sz val="9"/>
            <color indexed="81"/>
            <rFont val="Tahoma"/>
            <family val="2"/>
          </rPr>
          <t xml:space="preserve">191,07 E: Seguro AXA diciembre 2022 Alfonso Carmona.
Cargado: 05/12/22
 </t>
        </r>
        <r>
          <rPr>
            <b/>
            <sz val="9"/>
            <color indexed="81"/>
            <rFont val="Tahoma"/>
            <family val="2"/>
          </rPr>
          <t xml:space="preserve">
</t>
        </r>
        <r>
          <rPr>
            <sz val="9"/>
            <color indexed="81"/>
            <rFont val="Tahoma"/>
            <family val="2"/>
          </rPr>
          <t xml:space="preserve">
</t>
        </r>
      </text>
    </comment>
    <comment ref="BP34" authorId="0" shapeId="0" xr:uid="{92D7F4A8-A86A-49FC-9959-54F7A891B017}">
      <text>
        <r>
          <rPr>
            <sz val="9"/>
            <color indexed="81"/>
            <rFont val="Tahoma"/>
            <family val="2"/>
          </rPr>
          <t xml:space="preserve">191,07 E: Seguro AXA enero 2023 Alfonso Carmona.
Cargado: 04/01/23
 </t>
        </r>
        <r>
          <rPr>
            <b/>
            <sz val="9"/>
            <color indexed="81"/>
            <rFont val="Tahoma"/>
            <family val="2"/>
          </rPr>
          <t xml:space="preserve">
</t>
        </r>
        <r>
          <rPr>
            <sz val="9"/>
            <color indexed="81"/>
            <rFont val="Tahoma"/>
            <family val="2"/>
          </rPr>
          <t xml:space="preserve">
</t>
        </r>
      </text>
    </comment>
    <comment ref="BQ34" authorId="0" shapeId="0" xr:uid="{6952D57A-20A3-4557-BB2D-513BC9659CC4}">
      <text>
        <r>
          <rPr>
            <sz val="9"/>
            <color indexed="81"/>
            <rFont val="Tahoma"/>
            <family val="2"/>
          </rPr>
          <t xml:space="preserve">203,10 E: Seguro AXA febrero 2023 Alfonso Carmona.
Cargado: 03/02/23
 </t>
        </r>
        <r>
          <rPr>
            <b/>
            <sz val="9"/>
            <color indexed="81"/>
            <rFont val="Tahoma"/>
            <family val="2"/>
          </rPr>
          <t xml:space="preserve">
</t>
        </r>
        <r>
          <rPr>
            <sz val="9"/>
            <color indexed="81"/>
            <rFont val="Tahoma"/>
            <family val="2"/>
          </rPr>
          <t xml:space="preserve">
</t>
        </r>
      </text>
    </comment>
    <comment ref="BR34" authorId="0" shapeId="0" xr:uid="{EA0D103A-686B-471C-98E5-915123B87347}">
      <text>
        <r>
          <rPr>
            <sz val="9"/>
            <color indexed="81"/>
            <rFont val="Tahoma"/>
            <family val="2"/>
          </rPr>
          <t xml:space="preserve">203,10 E: Seguro AXA marzo 2023 Alfonso Carmona.
Cargado: 03/03/23
-----------------
13,62€: Seguro AXA del 17/03 AL 17/04/23  Alfonso Carmona.
Cargado: 20/03/23
 </t>
        </r>
        <r>
          <rPr>
            <b/>
            <sz val="9"/>
            <color indexed="81"/>
            <rFont val="Tahoma"/>
            <family val="2"/>
          </rPr>
          <t xml:space="preserve">
</t>
        </r>
        <r>
          <rPr>
            <sz val="9"/>
            <color indexed="81"/>
            <rFont val="Tahoma"/>
            <family val="2"/>
          </rPr>
          <t xml:space="preserve">
</t>
        </r>
      </text>
    </comment>
    <comment ref="BS34" authorId="0" shapeId="0" xr:uid="{134E71E8-C8E2-4E11-A3D3-7488948E39AA}">
      <text>
        <r>
          <rPr>
            <sz val="9"/>
            <color indexed="81"/>
            <rFont val="Tahoma"/>
            <family val="2"/>
          </rPr>
          <t xml:space="preserve">203,10 E: Seguro AXA abril 2023 Alfonso Carmona.
Cargado: 05/04/23
-----------------
13,64€: Seguro AXA del 17/04 AL 17/05/23  Alfonso Carmona.
Cargado: 18/04/23
 </t>
        </r>
        <r>
          <rPr>
            <b/>
            <sz val="9"/>
            <color indexed="81"/>
            <rFont val="Tahoma"/>
            <family val="2"/>
          </rPr>
          <t xml:space="preserve">
</t>
        </r>
        <r>
          <rPr>
            <sz val="9"/>
            <color indexed="81"/>
            <rFont val="Tahoma"/>
            <family val="2"/>
          </rPr>
          <t xml:space="preserve">
</t>
        </r>
      </text>
    </comment>
    <comment ref="BT34" authorId="0" shapeId="0" xr:uid="{36AD3712-BB56-4323-949D-C48EABE45D3E}">
      <text>
        <r>
          <rPr>
            <sz val="9"/>
            <color indexed="81"/>
            <rFont val="Tahoma"/>
            <family val="2"/>
          </rPr>
          <t xml:space="preserve">203,10 E: Seguro AXA mayo 2023 Alfonso Carmona.
Cargado: 03/05/23
-----------------
13,64€: Seguro AXA del 17/05 AL 17/06/23  Alfonso Carmona.
Cargado: 18/05/23
 </t>
        </r>
        <r>
          <rPr>
            <b/>
            <sz val="9"/>
            <color indexed="81"/>
            <rFont val="Tahoma"/>
            <family val="2"/>
          </rPr>
          <t xml:space="preserve">
</t>
        </r>
        <r>
          <rPr>
            <sz val="9"/>
            <color indexed="81"/>
            <rFont val="Tahoma"/>
            <family val="2"/>
          </rPr>
          <t xml:space="preserve">
</t>
        </r>
      </text>
    </comment>
    <comment ref="BU34" authorId="0" shapeId="0" xr:uid="{EA3A6E78-213C-4359-9B17-D2262FB7878C}">
      <text>
        <r>
          <rPr>
            <sz val="9"/>
            <color indexed="81"/>
            <rFont val="Tahoma"/>
            <family val="2"/>
          </rPr>
          <t xml:space="preserve">203,10 E: Seguro AXA junio 2023 Alfonso Carmona.
Cargado: 05/06/23
-----------------
13,62€: Seguro AXA del 17/06 AL 17/07/23  Alfonso Carmona.
Cargado: 20/06/23
 </t>
        </r>
        <r>
          <rPr>
            <b/>
            <sz val="9"/>
            <color indexed="81"/>
            <rFont val="Tahoma"/>
            <family val="2"/>
          </rPr>
          <t xml:space="preserve">
</t>
        </r>
        <r>
          <rPr>
            <sz val="9"/>
            <color indexed="81"/>
            <rFont val="Tahoma"/>
            <family val="2"/>
          </rPr>
          <t xml:space="preserve">
</t>
        </r>
      </text>
    </comment>
    <comment ref="BV34" authorId="0" shapeId="0" xr:uid="{E1A5DAB0-6E81-43AA-8B15-1A10F55A792E}">
      <text>
        <r>
          <rPr>
            <sz val="9"/>
            <color indexed="81"/>
            <rFont val="Tahoma"/>
            <family val="2"/>
          </rPr>
          <t xml:space="preserve">203,10 E: Seguro AXA julio 2023 Alfonso Carmona.
Cargado: 05/07/23
-----------------
13,62€: Seguro AXA del 17/07 AL 17/08/23  Alfonso Carmona.
Cargado: 18/07/23
 </t>
        </r>
        <r>
          <rPr>
            <b/>
            <sz val="9"/>
            <color indexed="81"/>
            <rFont val="Tahoma"/>
            <family val="2"/>
          </rPr>
          <t xml:space="preserve">
</t>
        </r>
        <r>
          <rPr>
            <sz val="9"/>
            <color indexed="81"/>
            <rFont val="Tahoma"/>
            <family val="2"/>
          </rPr>
          <t xml:space="preserve">
</t>
        </r>
      </text>
    </comment>
    <comment ref="BW34" authorId="0" shapeId="0" xr:uid="{2253EA4A-F2E3-4A7E-AFC2-C783D6670E04}">
      <text>
        <r>
          <rPr>
            <sz val="9"/>
            <color indexed="81"/>
            <rFont val="Tahoma"/>
            <family val="2"/>
          </rPr>
          <t xml:space="preserve">203,11 E: Seguro AXA agosto 2023 Alfonso Carmona.
Cargado: 03/08/23
-----------------
13,62€: Seguro AXA del 17/08 AL 17/09/23  Alfonso Carmona.
Cargado: 18/08/23
 </t>
        </r>
        <r>
          <rPr>
            <b/>
            <sz val="9"/>
            <color indexed="81"/>
            <rFont val="Tahoma"/>
            <family val="2"/>
          </rPr>
          <t xml:space="preserve">
</t>
        </r>
        <r>
          <rPr>
            <sz val="9"/>
            <color indexed="81"/>
            <rFont val="Tahoma"/>
            <family val="2"/>
          </rPr>
          <t xml:space="preserve">
</t>
        </r>
      </text>
    </comment>
    <comment ref="BY34" authorId="0" shapeId="0" xr:uid="{558ED88F-4C1E-4CA0-9598-EE286383743A}">
      <text>
        <r>
          <rPr>
            <sz val="9"/>
            <color indexed="81"/>
            <rFont val="Tahoma"/>
            <family val="2"/>
          </rPr>
          <t xml:space="preserve">203,10 E: Seguro AXA sept 2023 Alfonso Carmona.
Cargado: 05/09/23
-----------------
13,64€: Seguro AXA del 17/09 AL 17/10/23  Alfonso Carmona.
Cargado: 19/09/23
 </t>
        </r>
        <r>
          <rPr>
            <b/>
            <sz val="9"/>
            <color indexed="81"/>
            <rFont val="Tahoma"/>
            <family val="2"/>
          </rPr>
          <t xml:space="preserve">
</t>
        </r>
        <r>
          <rPr>
            <sz val="9"/>
            <color indexed="81"/>
            <rFont val="Tahoma"/>
            <family val="2"/>
          </rPr>
          <t xml:space="preserve">
</t>
        </r>
      </text>
    </comment>
    <comment ref="BZ34" authorId="0" shapeId="0" xr:uid="{E0987527-5D5B-4348-9F88-37FAB3DBC8AA}">
      <text>
        <r>
          <rPr>
            <sz val="9"/>
            <color indexed="81"/>
            <rFont val="Tahoma"/>
            <family val="2"/>
          </rPr>
          <t xml:space="preserve">203,11 E: Seguro AXA oct 2023 Alfonso Carmona.
Cargado: 04/10/23
-----------------
13,62€: Seguro AXA del 17/10 AL 17/11/23  Alfonso Carmona.
Cargado: 18/10/23
 </t>
        </r>
        <r>
          <rPr>
            <b/>
            <sz val="9"/>
            <color indexed="81"/>
            <rFont val="Tahoma"/>
            <family val="2"/>
          </rPr>
          <t xml:space="preserve">
</t>
        </r>
        <r>
          <rPr>
            <sz val="9"/>
            <color indexed="81"/>
            <rFont val="Tahoma"/>
            <family val="2"/>
          </rPr>
          <t xml:space="preserve">
</t>
        </r>
      </text>
    </comment>
    <comment ref="CA34" authorId="0" shapeId="0" xr:uid="{5D489935-62BB-4087-9150-666E4F4E5CA4}">
      <text>
        <r>
          <rPr>
            <sz val="9"/>
            <color indexed="81"/>
            <rFont val="Tahoma"/>
            <family val="2"/>
          </rPr>
          <t xml:space="preserve">203,10 E: Seguro AXA nov 2023 Alfonso Carmona.
Cargado: 03/11/23
-----------------
13,64€: Seguro AXA del 17/11 AL 17/12/23  Alfonso Carmona.
Cargado: 20/11/23
 </t>
        </r>
        <r>
          <rPr>
            <b/>
            <sz val="9"/>
            <color indexed="81"/>
            <rFont val="Tahoma"/>
            <family val="2"/>
          </rPr>
          <t xml:space="preserve">
</t>
        </r>
        <r>
          <rPr>
            <sz val="9"/>
            <color indexed="81"/>
            <rFont val="Tahoma"/>
            <family val="2"/>
          </rPr>
          <t xml:space="preserve">
</t>
        </r>
      </text>
    </comment>
    <comment ref="CB34" authorId="0" shapeId="0" xr:uid="{D9F6640C-64E0-4372-8236-3E8758CF573A}">
      <text>
        <r>
          <rPr>
            <sz val="9"/>
            <color indexed="81"/>
            <rFont val="Tahoma"/>
            <family val="2"/>
          </rPr>
          <t xml:space="preserve">203,11 E: Seguro AXA dic 2023 Alfonso Carmona.
Cargado: 05/12/23
-----------------
13,62€: Seguro AXA del 17/12 AL 17/01/24  Alfonso Carmona.
Cargado: 19/12/23
 </t>
        </r>
        <r>
          <rPr>
            <b/>
            <sz val="9"/>
            <color indexed="81"/>
            <rFont val="Tahoma"/>
            <family val="2"/>
          </rPr>
          <t xml:space="preserve">
</t>
        </r>
        <r>
          <rPr>
            <sz val="9"/>
            <color indexed="81"/>
            <rFont val="Tahoma"/>
            <family val="2"/>
          </rPr>
          <t xml:space="preserve">
</t>
        </r>
      </text>
    </comment>
    <comment ref="CC34" authorId="0" shapeId="0" xr:uid="{9DEA88DE-EB36-4ACF-AF7C-9E608F35D6DB}">
      <text>
        <r>
          <rPr>
            <sz val="9"/>
            <color indexed="81"/>
            <rFont val="Tahoma"/>
            <family val="2"/>
          </rPr>
          <t xml:space="preserve">203,10 E: Seguro AXA ene 2024 Alfonso Carmona.
Cargado: 03/01/24
-----------------
13,64€: Seguro AXA del 17/01 AL 17/02/24  Alfonso Carmona.
Cargado: 18/01/24
 </t>
        </r>
        <r>
          <rPr>
            <b/>
            <sz val="9"/>
            <color indexed="81"/>
            <rFont val="Tahoma"/>
            <family val="2"/>
          </rPr>
          <t xml:space="preserve">
</t>
        </r>
        <r>
          <rPr>
            <sz val="9"/>
            <color indexed="81"/>
            <rFont val="Tahoma"/>
            <family val="2"/>
          </rPr>
          <t xml:space="preserve">
</t>
        </r>
      </text>
    </comment>
    <comment ref="CD34" authorId="0" shapeId="0" xr:uid="{CC13B3B7-2557-454B-9047-4C93F5F4A437}">
      <text>
        <r>
          <rPr>
            <sz val="9"/>
            <color indexed="81"/>
            <rFont val="Tahoma"/>
            <family val="2"/>
          </rPr>
          <t xml:space="preserve">209,22 E: Seguro AXA feb 2024 Alfonso Carmona.
Cargado: 05/02/24
-----------------
13,63€: Seguro AXA del 17/02 AL 17/03/24  Alfonso Carmona.
Cargado: 20/02/24
 </t>
        </r>
        <r>
          <rPr>
            <b/>
            <sz val="9"/>
            <color indexed="81"/>
            <rFont val="Tahoma"/>
            <family val="2"/>
          </rPr>
          <t xml:space="preserve">
</t>
        </r>
        <r>
          <rPr>
            <sz val="9"/>
            <color indexed="81"/>
            <rFont val="Tahoma"/>
            <family val="2"/>
          </rPr>
          <t xml:space="preserve">
</t>
        </r>
      </text>
    </comment>
    <comment ref="CE34" authorId="0" shapeId="0" xr:uid="{D7CF0249-CE14-46A4-B8C1-1C9DBC98D01D}">
      <text>
        <r>
          <rPr>
            <sz val="9"/>
            <color indexed="81"/>
            <rFont val="Tahoma"/>
            <family val="2"/>
          </rPr>
          <t xml:space="preserve">209,22 E: Seguro AXA marzo 2024 Alfonso Carmona.
Cargado: 05/03/24
-----------------
14,57€: Seguro AXA del 17/03 AL 17/04/24  Alfonso Carmona.
Cargado: 19/03/24
 </t>
        </r>
        <r>
          <rPr>
            <b/>
            <sz val="9"/>
            <color indexed="81"/>
            <rFont val="Tahoma"/>
            <family val="2"/>
          </rPr>
          <t xml:space="preserve">
</t>
        </r>
        <r>
          <rPr>
            <sz val="9"/>
            <color indexed="81"/>
            <rFont val="Tahoma"/>
            <family val="2"/>
          </rPr>
          <t xml:space="preserve">
</t>
        </r>
      </text>
    </comment>
    <comment ref="CF34" authorId="0" shapeId="0" xr:uid="{B497106A-2C71-403F-B18F-763A2BBE9AA2}">
      <text>
        <r>
          <rPr>
            <sz val="9"/>
            <color indexed="81"/>
            <rFont val="Tahoma"/>
            <family val="2"/>
          </rPr>
          <t xml:space="preserve">209,22 E: Seguro AXA abril 2024 Alfonso Carmona.
Cargado: 03/04/24
-----------------
14,58€: Seguro AXA del 17/04 AL 17/05/24  Alfonso Carmona.
Cargado: 18/04/24
 </t>
        </r>
        <r>
          <rPr>
            <b/>
            <sz val="9"/>
            <color indexed="81"/>
            <rFont val="Tahoma"/>
            <family val="2"/>
          </rPr>
          <t xml:space="preserve">
</t>
        </r>
        <r>
          <rPr>
            <sz val="9"/>
            <color indexed="81"/>
            <rFont val="Tahoma"/>
            <family val="2"/>
          </rPr>
          <t xml:space="preserve">
</t>
        </r>
      </text>
    </comment>
    <comment ref="CG34" authorId="0" shapeId="0" xr:uid="{4B081849-0B33-4F75-8DE4-9A7A94D73F06}">
      <text>
        <r>
          <rPr>
            <sz val="9"/>
            <color indexed="81"/>
            <rFont val="Tahoma"/>
            <family val="2"/>
          </rPr>
          <t xml:space="preserve">209,22 E: Seguro AXA mayo 2024 Alfonso Carmona.
Cargado: 06/05/24
-----------------
14,57€: Seguro AXA del 17/05 AL 17/06/24  Alfonso Carmona.
Cargado: 20/05/24
 </t>
        </r>
        <r>
          <rPr>
            <b/>
            <sz val="9"/>
            <color indexed="81"/>
            <rFont val="Tahoma"/>
            <family val="2"/>
          </rPr>
          <t xml:space="preserve">
</t>
        </r>
        <r>
          <rPr>
            <sz val="9"/>
            <color indexed="81"/>
            <rFont val="Tahoma"/>
            <family val="2"/>
          </rPr>
          <t xml:space="preserve">
</t>
        </r>
      </text>
    </comment>
    <comment ref="CH34" authorId="0" shapeId="0" xr:uid="{5F6C4F83-5E90-4802-B03B-BF7300DF80F0}">
      <text>
        <r>
          <rPr>
            <sz val="9"/>
            <color indexed="81"/>
            <rFont val="Tahoma"/>
            <family val="2"/>
          </rPr>
          <t xml:space="preserve">209,22 E: Seguro AXA junio 2024 Alfonso Carmona.
Cargado: 05/06/24
-----------------
14,57€: Seguro AXA del 17/06 AL 17/07/24  Alfonso Carmona.
Cargado: 18/06/24
 </t>
        </r>
        <r>
          <rPr>
            <b/>
            <sz val="9"/>
            <color indexed="81"/>
            <rFont val="Tahoma"/>
            <family val="2"/>
          </rPr>
          <t xml:space="preserve">
</t>
        </r>
        <r>
          <rPr>
            <sz val="9"/>
            <color indexed="81"/>
            <rFont val="Tahoma"/>
            <family val="2"/>
          </rPr>
          <t xml:space="preserve">
</t>
        </r>
      </text>
    </comment>
    <comment ref="CI34" authorId="0" shapeId="0" xr:uid="{E4FEE474-02E4-49A9-A651-13D528C3C99A}">
      <text>
        <r>
          <rPr>
            <sz val="9"/>
            <color indexed="81"/>
            <rFont val="Tahoma"/>
            <family val="2"/>
          </rPr>
          <t xml:space="preserve">209,22 E: Seguro AXA julio 2024 Alfonso Carmona.
Cargado: 03/07/24
-----------------
14,57€: Seguro AXA del 17/07 AL 17/08/24  Alfonso Carmona.
Cargado: 18/07/24
 </t>
        </r>
        <r>
          <rPr>
            <b/>
            <sz val="9"/>
            <color indexed="81"/>
            <rFont val="Tahoma"/>
            <family val="2"/>
          </rPr>
          <t xml:space="preserve">
</t>
        </r>
        <r>
          <rPr>
            <sz val="9"/>
            <color indexed="81"/>
            <rFont val="Tahoma"/>
            <family val="2"/>
          </rPr>
          <t xml:space="preserve">
</t>
        </r>
      </text>
    </comment>
    <comment ref="CJ34" authorId="0" shapeId="0" xr:uid="{3D77A7E1-8B74-4B64-A997-94DD016BBD45}">
      <text>
        <r>
          <rPr>
            <sz val="9"/>
            <color indexed="81"/>
            <rFont val="Tahoma"/>
            <family val="2"/>
          </rPr>
          <t xml:space="preserve">209,22 E: Seguro AXA agosto 2024 Alfonso Carmona.
Cargado: 05/08/24
-----------------
14,57€: Seguro AXA del 17/08 AL 17/09/24  Alfonso Carmona.
Cargado: 20/08/24
 </t>
        </r>
        <r>
          <rPr>
            <b/>
            <sz val="9"/>
            <color indexed="81"/>
            <rFont val="Tahoma"/>
            <family val="2"/>
          </rPr>
          <t xml:space="preserve">
</t>
        </r>
        <r>
          <rPr>
            <sz val="9"/>
            <color indexed="81"/>
            <rFont val="Tahoma"/>
            <family val="2"/>
          </rPr>
          <t xml:space="preserve">
</t>
        </r>
      </text>
    </comment>
    <comment ref="CL34" authorId="5" shapeId="0" xr:uid="{BE23E264-49A5-49E5-B6D8-531B67F81A53}">
      <text>
        <r>
          <rPr>
            <sz val="9"/>
            <color indexed="81"/>
            <rFont val="Tahoma"/>
            <family val="2"/>
          </rPr>
          <t xml:space="preserve">209,22 E: Seguro AXA septiembre 2024 Alfonso Carmona.
Cargado: 04/09/24
-----------------
14,58€: Seguro AXA del 17/09 AL 17/10/24  Alfonso Carmona.
Cargado: 18/09/24
 </t>
        </r>
      </text>
    </comment>
    <comment ref="CM34" authorId="5" shapeId="0" xr:uid="{75FAA44B-1A7C-4AF3-AC9C-73CEE3734E08}">
      <text>
        <r>
          <rPr>
            <sz val="9"/>
            <color indexed="81"/>
            <rFont val="Tahoma"/>
            <family val="2"/>
          </rPr>
          <t xml:space="preserve">209,22 E: Seguro AXA octubre 2024 Alfonso Carmona.
Cargado: 03/10/24
-----------------
14,57€: Seguro AXA del 17/10 AL 17/11/24  Alfonso Carmona.
Cargado: 18/10/24
 </t>
        </r>
      </text>
    </comment>
    <comment ref="CN34" authorId="5" shapeId="0" xr:uid="{313D2413-05CF-4C05-AFAF-170DDF78AF02}">
      <text>
        <r>
          <rPr>
            <sz val="9"/>
            <color indexed="81"/>
            <rFont val="Tahoma"/>
            <family val="2"/>
          </rPr>
          <t xml:space="preserve">209,22 E: Seguro AXA noviembre 2024 Alfonso Carmona.
Cargado: 03/11/24
-----------------
14,58€: Seguro AXA del 17/11 AL 17/12/24  Alfonso Carmona.
Cargado: 19/11/24
 </t>
        </r>
      </text>
    </comment>
    <comment ref="CO34" authorId="5" shapeId="0" xr:uid="{1B1ABC14-E213-4D9F-A737-2A5B08C39F29}">
      <text>
        <r>
          <rPr>
            <sz val="9"/>
            <color indexed="81"/>
            <rFont val="Tahoma"/>
            <family val="2"/>
          </rPr>
          <t xml:space="preserve">209,22 E: Seguro AXA diciembre 2024 Alfonso Carmona.
Cargado: 04/12/24
-----------------
14,57€: Seguro AXA del 17/12 AL 17/01/25  Alfonso Carmona.
Cargado: 18/12/24
 </t>
        </r>
      </text>
    </comment>
    <comment ref="CP34" authorId="5" shapeId="0" xr:uid="{7F979EB8-1285-4977-885F-423B297330DB}">
      <text>
        <r>
          <rPr>
            <sz val="9"/>
            <color indexed="81"/>
            <rFont val="Tahoma"/>
            <family val="2"/>
          </rPr>
          <t xml:space="preserve">209,22 E: Seguro AXA enero 2025 Alfonso Carmona.
Cargado: 03/01/25
-----------------
14,58€: Seguro AXA del 17/01 AL 17/02/25  Alfonso Carmona.
Cargado: 20/01/25
 </t>
        </r>
      </text>
    </comment>
    <comment ref="CQ34" authorId="5" shapeId="0" xr:uid="{342569AB-D3AE-49A3-BA5B-37368E916E65}">
      <text>
        <r>
          <rPr>
            <sz val="9"/>
            <color indexed="81"/>
            <rFont val="Tahoma"/>
            <family val="2"/>
          </rPr>
          <t xml:space="preserve">225,17 E: Seguro AXA febrero 2025 Alfonso Carmona.
Cargado: 05/02/25
-----------------
14,57€: Seguro AXA del 17/02 AL 17/03/25  Alfonso Carmona.
Cargado: 18/02/25
 </t>
        </r>
      </text>
    </comment>
    <comment ref="CR34" authorId="5" shapeId="0" xr:uid="{3F7B8AB6-8E95-437A-9913-C64E6C8EEA86}">
      <text>
        <r>
          <rPr>
            <sz val="9"/>
            <color indexed="81"/>
            <rFont val="Tahoma"/>
            <family val="2"/>
          </rPr>
          <t xml:space="preserve">225,17 E: Seguro AXA febrero 2025 Alfonso Carmona.
Cargado: 05/02/25
-----------------
14,57€: Seguro AXA del 17/02 AL 17/03/25  Alfonso Carmona.
Cargado: 18/02/25
 </t>
        </r>
      </text>
    </comment>
    <comment ref="CS34" authorId="5" shapeId="0" xr:uid="{5074131E-6B3D-44D7-A9D8-E55BCE79153B}">
      <text>
        <r>
          <rPr>
            <sz val="9"/>
            <color indexed="81"/>
            <rFont val="Tahoma"/>
            <family val="2"/>
          </rPr>
          <t xml:space="preserve">225,17 E: Seguro AXA abril 2025 Alfonso Carmona.
Cargado: 03/04/25
-----------------
15,58€: Seguro AXA del 17/04 AL 17/05/25  Alfonso Carmona.
Cargado: 22/04/25
 </t>
        </r>
      </text>
    </comment>
    <comment ref="CT34" authorId="5" shapeId="0" xr:uid="{ADE8B217-0118-41DE-AE84-F4959AE6BEA1}">
      <text>
        <r>
          <rPr>
            <sz val="9"/>
            <color indexed="81"/>
            <rFont val="Tahoma"/>
            <family val="2"/>
          </rPr>
          <t xml:space="preserve">225,17 E: Seguro AXA abril 2025 Alfonso Carmona.
Cargado: 05/05/25
-----------------
15,57€: Seguro AXA del 17/05 AL 17/06/25  Alfonso Carmona.
Cargado: 20/05/25
 </t>
        </r>
      </text>
    </comment>
    <comment ref="CU34" authorId="5" shapeId="0" xr:uid="{D961BB14-04D1-4394-9C40-1E6CB563C413}">
      <text>
        <r>
          <rPr>
            <sz val="9"/>
            <color indexed="81"/>
            <rFont val="Tahoma"/>
            <family val="2"/>
          </rPr>
          <t xml:space="preserve">225,17 E: Seguro AXA junio 2025 Alfonso Carmona.
Cargado: 04/06/25
-----------------
15,57€: Seguro AXA del 17/06 AL 17/07/25  Alfonso Carmona.
Cargado: 18/06/25
 </t>
        </r>
      </text>
    </comment>
    <comment ref="CV34" authorId="5" shapeId="0" xr:uid="{18CD738D-D67B-4115-AAB0-82AA05560811}">
      <text>
        <r>
          <rPr>
            <sz val="9"/>
            <color indexed="81"/>
            <rFont val="Tahoma"/>
            <family val="2"/>
          </rPr>
          <t xml:space="preserve">225,17 E: Seguro AXA julio 2025 Alfonso Carmona.
Cargado: 03/07/25
-----------------
15,57€: Seguro AXA del 17/07 AL 17/08/25  Alfonso Carmona.
Cargado: 18/07/25
 </t>
        </r>
      </text>
    </comment>
    <comment ref="CW34" authorId="5" shapeId="0" xr:uid="{69E7DDE4-AE8F-4DCF-B0F0-1F3B9CB23FE2}">
      <text>
        <r>
          <rPr>
            <sz val="9"/>
            <color indexed="81"/>
            <rFont val="Tahoma"/>
            <family val="2"/>
          </rPr>
          <t xml:space="preserve">225,17 E: Seguro AXA agosto 2025 Alfonso Carmona.
Cargado: 05/08/25
-----------------
15,57€: Seguro AXA del 17/08 AL 17/09/25  Alfonso Carmona.
Cargado: 19/08/25
 </t>
        </r>
      </text>
    </comment>
    <comment ref="CY34" authorId="5" shapeId="0" xr:uid="{E990B52E-302B-4E34-BD86-4B23AD91E2AA}">
      <text>
        <r>
          <rPr>
            <sz val="9"/>
            <color indexed="81"/>
            <rFont val="Tahoma"/>
            <family val="2"/>
          </rPr>
          <t xml:space="preserve">225,17 E: Seguro AXA septiembre 2025 Alfonso Carmona.
Cargado: 03/09/25
-----------------
15,58€: Seguro AXA del 17/09 AL 17/10/25  Alfonso Carmona.
Cargado: 18/09/25
 </t>
        </r>
      </text>
    </comment>
    <comment ref="CZ34" authorId="5" shapeId="0" xr:uid="{DECB7A27-871D-43C9-9C9F-3687E9F60509}">
      <text>
        <r>
          <rPr>
            <sz val="9"/>
            <color indexed="81"/>
            <rFont val="Tahoma"/>
            <family val="2"/>
          </rPr>
          <t xml:space="preserve">225,17 E: Seguro AXA octubre 2025 Alfonso Carmona.
Cargado: 03/10/25
-----------------
15,57€: Seguro AXA del 17/10 AL 17/11/25  Alfonso Carmona.
Cargado: 20/10/25
 </t>
        </r>
      </text>
    </comment>
    <comment ref="DA34" authorId="5" shapeId="0" xr:uid="{C6E2AC6D-203B-4D2A-ACDD-DEFA12A41167}">
      <text>
        <r>
          <rPr>
            <sz val="9"/>
            <color indexed="81"/>
            <rFont val="Tahoma"/>
            <family val="2"/>
          </rPr>
          <t xml:space="preserve">225,17 E: Seguro AXA noviembre 2025 Alfonso Carmona.
Cargado: 05/11/25
-----------------
15,58€: Seguro AXA del 17/11 AL 17/12/25  Alfonso Carmona.
Cargado: 18/11/25
 </t>
        </r>
      </text>
    </comment>
    <comment ref="DB34" authorId="5" shapeId="0" xr:uid="{548211A9-E03A-478A-BC34-9AEBB210AB7A}">
      <text>
        <r>
          <rPr>
            <sz val="9"/>
            <color indexed="81"/>
            <rFont val="Tahoma"/>
            <family val="2"/>
          </rPr>
          <t xml:space="preserve">225,17 E: Seguro AXA diciembre 2025 Alfonso Carmona.
Cargado: 03/12/25
-----------------
15,57€: Seguro AXA del 17/12 AL 17/01/26  Alfonso Carmona.
Cargado: 18/12/25
 </t>
        </r>
      </text>
    </comment>
    <comment ref="DC34" authorId="5" shapeId="0" xr:uid="{74A5FAD6-F2DF-488E-9A7E-7214B05AB8D0}">
      <text>
        <r>
          <rPr>
            <sz val="9"/>
            <color indexed="81"/>
            <rFont val="Tahoma"/>
            <family val="2"/>
          </rPr>
          <t xml:space="preserve">225,17 E: Seguro AXA enero 2026 Alfonso Carmona.
Cargado: 05/01/26
-----------------
15,59€: Seguro AXA del 17/01 AL 17/02/26  Alfonso Carmona.
Cargado: 20/01/26
 </t>
        </r>
      </text>
    </comment>
    <comment ref="DD34" authorId="5" shapeId="0" xr:uid="{035496B4-7E22-4165-9CE4-7AF38258C027}">
      <text>
        <r>
          <rPr>
            <sz val="9"/>
            <color indexed="81"/>
            <rFont val="Tahoma"/>
            <family val="2"/>
          </rPr>
          <t xml:space="preserve">249,22 E: Seguro AXA febrero 2026 Alfonso Carmona.
Cargado: 04/02/26
-----------------
15,58€: Seguro AXA del 17/02 AL 17/03/26  Alfonso Carmona.
Cargado: 18/02/26
 </t>
        </r>
      </text>
    </comment>
    <comment ref="DE34" authorId="5" shapeId="0" xr:uid="{0EBDD26C-5307-4464-8665-EE2450A345B0}">
      <text>
        <r>
          <rPr>
            <sz val="9"/>
            <color indexed="81"/>
            <rFont val="Tahoma"/>
            <family val="2"/>
          </rPr>
          <t xml:space="preserve">249,22 E: Seguro AXA marzo 2026 Alfonso Carmona.
Cargado: 04/03/26
-----------------
16,36€: Seguro AXA del 17/03 AL 17/04/26  Alfonso Carmona.
Cargado: 18/03/26
 </t>
        </r>
      </text>
    </comment>
    <comment ref="DF34" authorId="5" shapeId="0" xr:uid="{2C480195-91FC-48AD-AFCD-FB6125B10431}">
      <text>
        <r>
          <rPr>
            <sz val="9"/>
            <color indexed="81"/>
            <rFont val="Tahoma"/>
            <family val="2"/>
          </rPr>
          <t xml:space="preserve">249,22 E: Seguro AXA abril 2026 Alfonso Carmona.
Cargado: 07/04/26
-----------------
16,36€: Seguro AXA del 17/04 AL 17/05/26  Alfonso Carmona.
Cargado: 20/04/26
 </t>
        </r>
      </text>
    </comment>
    <comment ref="DG34" authorId="5" shapeId="0" xr:uid="{204039A1-3141-44E0-88A4-24F2BEF308EE}">
      <text>
        <r>
          <rPr>
            <sz val="9"/>
            <color indexed="81"/>
            <rFont val="Tahoma"/>
            <family val="2"/>
          </rPr>
          <t xml:space="preserve">249,22 E: Seguro AXA mayo 2026 Alfonso Carmona.
Cargado: 05/05/26
-----------------
16,35€: Seguro AXA del 17/05 AL 17/06/26  Alfonso Carmona.
Cargado: 19/05/26
 </t>
        </r>
      </text>
    </comment>
    <comment ref="BB35" authorId="0" shapeId="0" xr:uid="{92C86165-E78F-4625-B605-4F27B75461D4}">
      <text>
        <r>
          <rPr>
            <sz val="9"/>
            <color indexed="81"/>
            <rFont val="Tahoma"/>
            <family val="2"/>
          </rPr>
          <t>361,77€: Seguro a terceros del Land Rover
Cargado Caixa: 21/12/21
-------------------------
602,41€: Seguro 
todo riesgo
Cargado Caixa: 22/12/21</t>
        </r>
      </text>
    </comment>
    <comment ref="BO35" authorId="0" shapeId="0" xr:uid="{15D5C8A4-C798-4F35-AF93-320B9F9B46AE}">
      <text>
        <r>
          <rPr>
            <sz val="9"/>
            <color indexed="81"/>
            <rFont val="Tahoma"/>
            <family val="2"/>
          </rPr>
          <t xml:space="preserve">969,01€: Seguro a todo riesgo coche Land Rover
Cargado Caixa: 20/12/22
-------------------------
</t>
        </r>
      </text>
    </comment>
    <comment ref="CB35" authorId="0" shapeId="0" xr:uid="{B62D4A1F-424C-4284-9AED-9FC19A1B3755}">
      <text>
        <r>
          <rPr>
            <sz val="9"/>
            <color indexed="81"/>
            <rFont val="Tahoma"/>
            <family val="2"/>
          </rPr>
          <t xml:space="preserve">969,01 E: Previsión
996,85 E: Seguro a todo riesgo coche Land Rover
Lo cargarán en Caixa: 17/12/23
Cargado Caixa: 18/12/23
-------------------------
</t>
        </r>
      </text>
    </comment>
    <comment ref="CC35" authorId="0" shapeId="0" xr:uid="{9FBEFB7A-B27C-40A5-9C12-47B13B74E9FA}">
      <text>
        <r>
          <rPr>
            <sz val="9"/>
            <color indexed="81"/>
            <rFont val="Tahoma"/>
            <family val="2"/>
          </rPr>
          <t xml:space="preserve">-100€: Promoción seguro a todo riesgo
Land Rover
Abonado Caixa: 15/01/24
-------------------------
</t>
        </r>
      </text>
    </comment>
    <comment ref="CH35" authorId="0" shapeId="0" xr:uid="{022A9F96-0ADE-4555-9EEE-14A9E144EB05}">
      <text>
        <r>
          <rPr>
            <sz val="9"/>
            <color indexed="81"/>
            <rFont val="Tahoma"/>
            <family val="2"/>
          </rPr>
          <t xml:space="preserve">-100€: Promoción seguro a todo riesgo
Land Rover
Abonado Caixa: 07/06/24
-------------------------
</t>
        </r>
      </text>
    </comment>
    <comment ref="CI35" authorId="0" shapeId="0" xr:uid="{131BA1F8-1BAF-484C-9B66-EE929AAE46A1}">
      <text>
        <r>
          <rPr>
            <sz val="9"/>
            <color indexed="81"/>
            <rFont val="Tahoma"/>
            <family val="2"/>
          </rPr>
          <t xml:space="preserve">-240,33 E: Devolución Seguro a todo riesgo coche Land Rover
Abonado Caixa: 03/07/24
-------------------------
</t>
        </r>
      </text>
    </comment>
    <comment ref="CH36" authorId="0" shapeId="0" xr:uid="{C2A2A2E5-18A6-4F2F-BB9E-FB56ED4658B9}">
      <text>
        <r>
          <rPr>
            <sz val="9"/>
            <color indexed="81"/>
            <rFont val="Tahoma"/>
            <family val="2"/>
          </rPr>
          <t xml:space="preserve">1025,79€: Seguro Mapfre auto del 20/06/24 al 20/06/25
Cargado Caixa: 24/06/24
</t>
        </r>
      </text>
    </comment>
    <comment ref="CP36" authorId="0" shapeId="0" xr:uid="{8EA379F2-87B4-401F-87A9-596ADB9DF169}">
      <text>
        <r>
          <rPr>
            <sz val="9"/>
            <color indexed="81"/>
            <rFont val="Tahoma"/>
            <family val="2"/>
          </rPr>
          <t xml:space="preserve">100€: Promoción seguro a todo riesgo
Land Rover
Cargado Caixa: 16/01/25
-------------------------
</t>
        </r>
      </text>
    </comment>
    <comment ref="CU36" authorId="0" shapeId="0" xr:uid="{4030D635-3E79-4232-B225-F834179758E0}">
      <text>
        <r>
          <rPr>
            <sz val="9"/>
            <color indexed="81"/>
            <rFont val="Tahoma"/>
            <family val="2"/>
          </rPr>
          <t xml:space="preserve">1.002,40€: Seguro Mapfre auto del 20/06/25 al 20/06/26
Cargado Caixa: 20/06/25
</t>
        </r>
      </text>
    </comment>
    <comment ref="BD37" authorId="0" shapeId="0" xr:uid="{65528A92-61B3-439A-8E6A-192514665273}">
      <text>
        <r>
          <rPr>
            <sz val="9"/>
            <color indexed="81"/>
            <rFont val="Tahoma"/>
            <family val="2"/>
          </rPr>
          <t xml:space="preserve">546,19€: Seguro Anual Hogar Rep. Argentina
Pago semestral
281,30€: Cargado BBVA: 02/02/22 
</t>
        </r>
      </text>
    </comment>
    <comment ref="BQ37" authorId="0" shapeId="0" xr:uid="{CF0CB299-CAA9-4945-9F09-521D9C5854FD}">
      <text>
        <r>
          <rPr>
            <sz val="9"/>
            <color indexed="81"/>
            <rFont val="Tahoma"/>
            <family val="2"/>
          </rPr>
          <t xml:space="preserve">587,18€: Seguro Anual Hogar Rep. Argentina 2022
Pago semestral
Seguro hogar del 01/02 al 31/08/23
301,91€: Cargado BBVA: 10/02/23 
</t>
        </r>
      </text>
    </comment>
    <comment ref="BW37" authorId="0" shapeId="0" xr:uid="{CE108943-1559-472C-912C-07EFDF87C2A8}">
      <text>
        <r>
          <rPr>
            <sz val="9"/>
            <color indexed="81"/>
            <rFont val="Tahoma"/>
            <family val="2"/>
          </rPr>
          <t xml:space="preserve">587,18€: Seguro Anual Hogar Rep. Argentina 2023
Pago semestral
Seguro hogar del 01/08 al 31/01/24
285,27€: Cargado BBVA: 02/08/23 
</t>
        </r>
      </text>
    </comment>
    <comment ref="CD37" authorId="0" shapeId="0" xr:uid="{1FE19371-D17F-4263-B816-2AC763D655F5}">
      <text>
        <r>
          <rPr>
            <sz val="9"/>
            <color indexed="81"/>
            <rFont val="Tahoma"/>
            <family val="2"/>
          </rPr>
          <t xml:space="preserve">616,55€: Seguro Anual Hogar Rep. Argentina 2024
Pago semestral
Seguro hogar del 01/02 al 31/07/24
316,69€: Cargado BBVA: 05/02/24 
</t>
        </r>
      </text>
    </comment>
    <comment ref="CJ37" authorId="3" shapeId="0" xr:uid="{27AB947C-8E3F-43DA-B28A-7580D83CF06D}">
      <text>
        <r>
          <rPr>
            <sz val="9"/>
            <color indexed="81"/>
            <rFont val="Tahoma"/>
            <family val="2"/>
          </rPr>
          <t>616,55€: Seguro Anual Hogar Rep. Argentina 2024
Pago semestral
Seguro hogar del 01/08 al 31/01/25
299,86€: Cargado BBVA: 27/08/24</t>
        </r>
      </text>
    </comment>
    <comment ref="CQ37" authorId="0" shapeId="0" xr:uid="{F8C907D5-BAF4-4071-B6E0-EB39AA8ABC3E}">
      <text>
        <r>
          <rPr>
            <sz val="9"/>
            <color indexed="81"/>
            <rFont val="Tahoma"/>
            <family val="2"/>
          </rPr>
          <t xml:space="preserve">650,48€: Seguro Anual Hogar Rep. Argentina 2025
Pago semestral
Seguro hogar del 01/02 al 31/07/25
333,74€: Cargado BBVA: 05/02/25 
</t>
        </r>
      </text>
    </comment>
    <comment ref="CW37" authorId="3" shapeId="0" xr:uid="{AF307753-A9A7-40A5-9D76-3E2533A18F81}">
      <text>
        <r>
          <rPr>
            <sz val="9"/>
            <color indexed="81"/>
            <rFont val="Tahoma"/>
            <family val="2"/>
          </rPr>
          <t>650,48€: Seguro Anual Hogar Rep. Argentina 2025
Pago semestral
Seguro hogar del 01/08/25 al 31/01/26
316,74€: Cargado BBVA: 04/08/25</t>
        </r>
      </text>
    </comment>
    <comment ref="DD37" authorId="0" shapeId="0" xr:uid="{1FD44ED8-27AB-4A8C-93FB-31433EBA308D}">
      <text>
        <r>
          <rPr>
            <sz val="9"/>
            <color indexed="81"/>
            <rFont val="Tahoma"/>
            <family val="2"/>
          </rPr>
          <t>679,75€: Seguro Anual Hogar Rep. Argentina 2026
Pago semestral
Seguro hogar del 01/02 al 31/07/26
348,49€: Cargado BBVA: 03/02/26 
 Realizan devolución 101,96€: Abonado BBVA: 27/02/26</t>
        </r>
      </text>
    </comment>
    <comment ref="DJ37" authorId="3" shapeId="0" xr:uid="{D2CA145E-892F-42E6-AD6B-F39C6C9399FB}">
      <text>
        <r>
          <rPr>
            <sz val="9"/>
            <color indexed="81"/>
            <rFont val="Tahoma"/>
            <family val="2"/>
          </rPr>
          <t xml:space="preserve">679,75€: Seguro Anual Hogar Rep. Argentina 2026
Pago semestral
Seguro hogar del 01/08/26 al 31/01/27
331,26€: Cargado BBVA: </t>
        </r>
      </text>
    </comment>
    <comment ref="BI38" authorId="0" shapeId="0" xr:uid="{C6B28C86-18FB-4511-B98A-2D8C6DE3F7F1}">
      <text>
        <r>
          <rPr>
            <sz val="9"/>
            <color indexed="81"/>
            <rFont val="Tahoma"/>
            <family val="2"/>
          </rPr>
          <t xml:space="preserve">393,95€: Seguro Anual Vida
393,95€: Cargado BBVA: 15/07/22 
</t>
        </r>
      </text>
    </comment>
    <comment ref="BV38" authorId="0" shapeId="0" xr:uid="{469D5B3D-75B2-47E9-9FF2-F7873AEC3FC3}">
      <text>
        <r>
          <rPr>
            <sz val="9"/>
            <color indexed="81"/>
            <rFont val="Tahoma"/>
            <family val="2"/>
          </rPr>
          <t xml:space="preserve">393,95€: Seguro Anual Vida
393,95€: Cargado BBVA: 18/07/23 
</t>
        </r>
      </text>
    </comment>
    <comment ref="CI38" authorId="0" shapeId="0" xr:uid="{B1564584-D869-415C-9012-18948BDED8AF}">
      <text>
        <r>
          <rPr>
            <sz val="9"/>
            <color indexed="81"/>
            <rFont val="Tahoma"/>
            <family val="2"/>
          </rPr>
          <t>393,95€: Seguro Anual Vida
393,95€: Cargado BBVA: 17/07/24 
Solicitada cancelación a BBVA.
RE BBVA 02/10/24: No devuelven este recibo
Anular 2 meses antes del vencimiento el 17/07/24</t>
        </r>
      </text>
    </comment>
    <comment ref="CT38" authorId="0" shapeId="0" xr:uid="{2211CEBE-DE81-4537-814C-40C520EF1879}">
      <text>
        <r>
          <rPr>
            <sz val="9"/>
            <color indexed="81"/>
            <rFont val="Tahoma"/>
            <family val="2"/>
          </rPr>
          <t>393,95€: Seguro Anual Vida
393,95€: Cargado BBVA: 17/07/24 
Solicitada cancelación a BBVA.
RE BBVA 02/10/24: No devuelven este recibo
Anular 2 meses antes del vencimiento el 17/07/24
Solicitada baja 23/05/25</t>
        </r>
      </text>
    </comment>
    <comment ref="BR39" authorId="0" shapeId="0" xr:uid="{2803E1E5-3C78-4810-9D6B-00289890C539}">
      <text>
        <r>
          <rPr>
            <sz val="9"/>
            <color indexed="81"/>
            <rFont val="Tahoma"/>
            <family val="2"/>
          </rPr>
          <t xml:space="preserve">393,95€: Seguro Anual Vida
393,95€: Cargado BBVA: 27/03/23
</t>
        </r>
      </text>
    </comment>
    <comment ref="CF39" authorId="0" shapeId="0" xr:uid="{3802BA1D-E13B-4207-BE10-8C3F331B0A7A}">
      <text>
        <r>
          <rPr>
            <sz val="9"/>
            <color indexed="81"/>
            <rFont val="Tahoma"/>
            <family val="2"/>
          </rPr>
          <t xml:space="preserve">393,95€: Seguro Anual Vida
393,95€: Cargado BBVA: 03/04/24
</t>
        </r>
      </text>
    </comment>
    <comment ref="CR39" authorId="0" shapeId="0" xr:uid="{E1F91C25-AE9D-4700-8E27-F8DB9D3DADBA}">
      <text>
        <r>
          <rPr>
            <sz val="9"/>
            <color indexed="81"/>
            <rFont val="Tahoma"/>
            <family val="2"/>
          </rPr>
          <t xml:space="preserve">393,95€: Seguro Anual Vida
393,95€: Cargado BBVA: 28/03/25
</t>
        </r>
      </text>
    </comment>
    <comment ref="DE39" authorId="0" shapeId="0" xr:uid="{4E0CBA56-4EC2-4715-8302-69A548ACDAA5}">
      <text>
        <r>
          <rPr>
            <sz val="9"/>
            <color indexed="81"/>
            <rFont val="Tahoma"/>
            <family val="2"/>
          </rPr>
          <t>393,95€: Seguro Anual Vida
393,95€: Cargado BBVA: 28/03/25 
Solicitar cancelación a BBVA.
Anular 2 meses antes del vencimiento el 27/03/26
25/02/26: OK ALF anulado a vencimiento</t>
        </r>
      </text>
    </comment>
    <comment ref="BI40" authorId="0" shapeId="0" xr:uid="{40E71A6F-C286-44BD-8C34-A3F09AB38044}">
      <text>
        <r>
          <rPr>
            <sz val="9"/>
            <color indexed="81"/>
            <rFont val="Tahoma"/>
            <family val="2"/>
          </rPr>
          <t xml:space="preserve">79,44€: Seguro Vida Caixa del 08 al 31/07/22
79,44€: Cargado Caixa: 09/07/22 
</t>
        </r>
      </text>
    </comment>
    <comment ref="BJ40" authorId="0" shapeId="0" xr:uid="{681D58B7-D166-48E7-9DB2-00A0C68D4CB2}">
      <text>
        <r>
          <rPr>
            <sz val="9"/>
            <color indexed="81"/>
            <rFont val="Tahoma"/>
            <family val="2"/>
          </rPr>
          <t>103,20€: Seguro Vida Caixa del 01 al 31/08/22
Cargado en caixa: 01/08/22.</t>
        </r>
      </text>
    </comment>
    <comment ref="BL40" authorId="0" shapeId="0" xr:uid="{550CA1E1-4B24-4B0D-97EA-A9D30BAED59C}">
      <text>
        <r>
          <rPr>
            <sz val="9"/>
            <color indexed="81"/>
            <rFont val="Tahoma"/>
            <family val="2"/>
          </rPr>
          <t>103,20€: Seguro Vida Caixa del 01 al 30/09/22
Cargado Caixa: 01/09/22.
A partir de este mes este seguro lo cargan en Cta Caixa MDZ</t>
        </r>
      </text>
    </comment>
    <comment ref="DB41" authorId="0" shapeId="0" xr:uid="{2F702FAB-B66B-42CE-8AE6-B4E5C749F699}">
      <text>
        <r>
          <rPr>
            <sz val="9"/>
            <color indexed="81"/>
            <rFont val="Tahoma"/>
            <family val="2"/>
          </rPr>
          <t>68,12€: Seguro convenio dic
Cargado Caixa: 01/12/25
Póliza del 01/12/25 hasta el 31/12/26
Octubre 26: Preguntar a Alberto si anulamos a vcmto</t>
        </r>
      </text>
    </comment>
    <comment ref="DC41" authorId="0" shapeId="0" xr:uid="{C5919280-4ADD-4402-BE1A-D4D2DEC74CC6}">
      <text>
        <r>
          <rPr>
            <sz val="9"/>
            <color indexed="81"/>
            <rFont val="Tahoma"/>
            <family val="2"/>
          </rPr>
          <t>69,37: Seguro convenio enero
Cargado Caixa: 01/01/26</t>
        </r>
      </text>
    </comment>
    <comment ref="DD41" authorId="0" shapeId="0" xr:uid="{2F078FE4-E84A-45DC-B6FF-C4C7D7AAB13B}">
      <text>
        <r>
          <rPr>
            <sz val="9"/>
            <color indexed="81"/>
            <rFont val="Tahoma"/>
            <family val="2"/>
          </rPr>
          <t>67,97€: Seguro convenio febrero
Cargado Caixa: 01/02/26
Póliza del 01/12/25 hasta el 31/12/26
Octubre 26: Preguntar a Alberto si anulamos a vcmto</t>
        </r>
      </text>
    </comment>
    <comment ref="DE41" authorId="0" shapeId="0" xr:uid="{127377EA-D58B-44BB-BF2F-D17E4D5BA4BC}">
      <text>
        <r>
          <rPr>
            <sz val="9"/>
            <color indexed="81"/>
            <rFont val="Tahoma"/>
            <family val="2"/>
          </rPr>
          <t>67,97€: Seguro convenio marzo
Cargado Caixa: 01/03/26
Póliza del 01/12/25 hasta el 31/12/26
Octubre 26: Preguntar a Alberto si anulamos a vcmto</t>
        </r>
      </text>
    </comment>
    <comment ref="DF41" authorId="0" shapeId="0" xr:uid="{16E6F7F3-308C-4B3C-A7A6-127BD2596B4D}">
      <text>
        <r>
          <rPr>
            <sz val="9"/>
            <color indexed="81"/>
            <rFont val="Tahoma"/>
            <family val="2"/>
          </rPr>
          <t>67,97€: Seguro convenio abril
Cargado Caixa: 01/04/26
Póliza del 01/12/25 hasta el 31/12/26
Octubre 26: Preguntar a Alberto si anulamos a vcmto</t>
        </r>
      </text>
    </comment>
    <comment ref="DG41" authorId="0" shapeId="0" xr:uid="{02E7E9B1-0DB1-43C2-BCE6-1EE05E89C21C}">
      <text>
        <r>
          <rPr>
            <sz val="9"/>
            <color indexed="81"/>
            <rFont val="Tahoma"/>
            <family val="2"/>
          </rPr>
          <t>67,97€: Seguro convenio mayo 
Cargado Caixa: 01/05/26
Póliza del 01/12/25 hasta el 31/12/26
Octubre 26: Preguntar a Alberto si anulamos a vcmto</t>
        </r>
      </text>
    </comment>
    <comment ref="DL41" authorId="0" shapeId="0" xr:uid="{6556B2F6-7364-4CAD-A4C3-CE0F5124933B}">
      <text>
        <r>
          <rPr>
            <sz val="9"/>
            <color indexed="81"/>
            <rFont val="Tahoma"/>
            <family val="2"/>
          </rPr>
          <t>69,37€: Seguro convenio
Cargado Caixa: 01/09/26
Póliza del 01/12/25 hasta el 31/12/26
Octubre 26: Preguntar a Alberto si anulamos a vcmto</t>
        </r>
      </text>
    </comment>
    <comment ref="DO41" authorId="0" shapeId="0" xr:uid="{59623311-64FD-4B80-9221-E03973763165}">
      <text>
        <r>
          <rPr>
            <sz val="9"/>
            <color indexed="81"/>
            <rFont val="Tahoma"/>
            <family val="2"/>
          </rPr>
          <t>69,37€: Seguro convenio
Cargado Caixa: 01/12/26
Póliza del 01/12/25 hasta el 31/12/26
Octubre 26: Preguntar a Alberto si anulamos a vcmto</t>
        </r>
      </text>
    </comment>
    <comment ref="DC42" authorId="0" shapeId="0" xr:uid="{66F6684D-400B-4B20-8BDD-E3F4681D4735}">
      <text>
        <r>
          <rPr>
            <sz val="9"/>
            <color indexed="81"/>
            <rFont val="Tahoma"/>
            <family val="2"/>
          </rPr>
          <t>108,73€: Prima seguro salud
Cargado Caixa: 05/01/26
-----------------------------
-58,93€: Devolución prima seguro
Abonado Caixa: 27/01/26
-------------------------------</t>
        </r>
      </text>
    </comment>
    <comment ref="DD42" authorId="0" shapeId="0" xr:uid="{0AB70B10-17DE-487C-959D-6AA6EF33DA79}">
      <text>
        <r>
          <rPr>
            <sz val="9"/>
            <color indexed="81"/>
            <rFont val="Tahoma"/>
            <family val="2"/>
          </rPr>
          <t>49,80€: Prima seguro salud
Cargado Caixa: 03/02/26
-----------------------------
26,69€: Prima seguro salud 
Cargado Caixa: 17/02/26</t>
        </r>
      </text>
    </comment>
    <comment ref="DE42" authorId="0" shapeId="0" xr:uid="{2974E5CF-00A0-49A3-97DF-263F9ADB65A3}">
      <text>
        <r>
          <rPr>
            <sz val="9"/>
            <color indexed="81"/>
            <rFont val="Tahoma"/>
            <family val="2"/>
          </rPr>
          <t xml:space="preserve">99,60€: Prima seguro salud
Cargado Caixa: 03/03/26
-----------------------------
</t>
        </r>
      </text>
    </comment>
    <comment ref="DF42" authorId="0" shapeId="0" xr:uid="{E35D824C-1B08-45B5-8AF0-56C4B000F6AB}">
      <text>
        <r>
          <rPr>
            <sz val="9"/>
            <color indexed="81"/>
            <rFont val="Tahoma"/>
            <family val="2"/>
          </rPr>
          <t xml:space="preserve">99,60€: Prima seguro salud
Cargado Caixa: 02/04/26
-----------------------------
</t>
        </r>
      </text>
    </comment>
    <comment ref="DG42" authorId="0" shapeId="0" xr:uid="{10A48270-72BA-4696-AE7D-DC48EE392833}">
      <text>
        <r>
          <rPr>
            <sz val="9"/>
            <color indexed="81"/>
            <rFont val="Tahoma"/>
            <family val="2"/>
          </rPr>
          <t xml:space="preserve">99,60€: Prima seguro salud
Cargado Caixa: 05/05/26
-----------------------------
</t>
        </r>
      </text>
    </comment>
    <comment ref="CB43" authorId="0" shapeId="0" xr:uid="{0DDCC304-C25E-4FED-BBF9-6687ABCC45F8}">
      <text>
        <r>
          <rPr>
            <sz val="9"/>
            <color indexed="81"/>
            <rFont val="Tahoma"/>
            <family val="2"/>
          </rPr>
          <t>212,85€: Seguro Vida Caixa del 05/12/23 al 31/12/23
Cargado Caixa: 14/12/23.
Periodo cobertura: Desde el 05/12/23 hasta el 30/11/26</t>
        </r>
      </text>
    </comment>
    <comment ref="CC43" authorId="0" shapeId="0" xr:uid="{B570C715-119E-4DBC-9D41-64804A5C2856}">
      <text>
        <r>
          <rPr>
            <sz val="9"/>
            <color indexed="81"/>
            <rFont val="Tahoma"/>
            <family val="2"/>
          </rPr>
          <t>245,04€: Seguro Vida Caixa del 01/01/24 al 31/01/24
Cargado Caixa: 01/01/24.
Periodo cobertura: Desde el 05/12/23 hasta el 30/11/26</t>
        </r>
      </text>
    </comment>
    <comment ref="CD43" authorId="0" shapeId="0" xr:uid="{ED7C5833-B8FD-4C65-9E34-3AE7C7B2A54B}">
      <text>
        <r>
          <rPr>
            <sz val="9"/>
            <color indexed="81"/>
            <rFont val="Tahoma"/>
            <family val="2"/>
          </rPr>
          <t>245,04€: Seguro Vida Caixa del 01/02/24 al 29/02/24
Cargado Caixa: 01/02/24.
Periodo cobertura: Desde el 05/12/23 hasta el 30/11/26</t>
        </r>
      </text>
    </comment>
    <comment ref="CE43" authorId="0" shapeId="0" xr:uid="{B81881D1-E888-411D-95A1-DAC541321542}">
      <text>
        <r>
          <rPr>
            <sz val="9"/>
            <color indexed="81"/>
            <rFont val="Tahoma"/>
            <family val="2"/>
          </rPr>
          <t>245,04€: Seguro Vida Caixa del 01/03/24 al 31/03/24
Cargado Caixa: 01/03/24.
Periodo cobertura: Desde el 05/12/23 hasta el 30/11/26</t>
        </r>
      </text>
    </comment>
    <comment ref="CV43" authorId="0" shapeId="0" xr:uid="{96AD8650-5FA4-4CB4-AA87-5D425B683277}">
      <text>
        <r>
          <rPr>
            <sz val="9"/>
            <color indexed="81"/>
            <rFont val="Tahoma"/>
            <family val="2"/>
          </rPr>
          <t>245,04€: Seguro Vida Caixa del 01/07/25 al 31/07/25 
Cargado Caixa: 01/07/25.
Periodo cobertura: Desde el 05/12/23 hasta el 30/11/26 renovable
Preguntar a Alberto agosto 2026 si anulamos</t>
        </r>
      </text>
    </comment>
    <comment ref="CW43" authorId="0" shapeId="0" xr:uid="{31D87D04-E5A2-40E9-B6E0-ABCA456C9D12}">
      <text>
        <r>
          <rPr>
            <sz val="9"/>
            <color indexed="81"/>
            <rFont val="Tahoma"/>
            <family val="2"/>
          </rPr>
          <t>245,04€: Seguro Vida Caixa del 01/08/25 al 31/08/25 
Cargado Caixa: 01/08/25.
Periodo cobertura: Desde el 05/12/23 hasta el 30/11/26 renovable
Preguntar a Alberto agosto 2026 si anulamos</t>
        </r>
      </text>
    </comment>
    <comment ref="DL43" authorId="0" shapeId="0" xr:uid="{EEBA01B5-0B9C-4A94-9B0F-9D0FE6ACEAD4}">
      <text>
        <r>
          <rPr>
            <sz val="9"/>
            <color indexed="81"/>
            <rFont val="Tahoma"/>
            <family val="2"/>
          </rPr>
          <t>245,04€: Seguro Vida Caixa del 
Cargado Caixa: 
Periodo cobertura: Desde el 05/12/23 hasta el 30/11/26</t>
        </r>
      </text>
    </comment>
    <comment ref="CV44" authorId="0" shapeId="0" xr:uid="{A86007F2-C768-4D15-BC66-FB9392EFA159}">
      <text>
        <r>
          <rPr>
            <sz val="9"/>
            <color indexed="81"/>
            <rFont val="Tahoma"/>
            <family val="2"/>
          </rPr>
          <t>104,18€: Seguro Vida Caixa del 26/05/25 al 31/07/25
Cargado Caixa: 13/07/25.
Periodo cobertura: Desde el 26/05/25 hasta el 31/05/26 renovable
Preguntar a Alberto febrero 2026 si anulamos</t>
        </r>
      </text>
    </comment>
    <comment ref="CW44" authorId="0" shapeId="0" xr:uid="{3E1B76A3-B035-4877-8B47-BD08DB0CDCA5}">
      <text>
        <r>
          <rPr>
            <sz val="9"/>
            <color indexed="81"/>
            <rFont val="Tahoma"/>
            <family val="2"/>
          </rPr>
          <t>104,18€: Seguro Vida Caixa del 01/08/25 al 31/08/25
Cargado Caixa: 01/08/25.
Periodo cobertura: Desde el 26/05/25 hasta el 31/05/26 renovable
Preguntar a Alberto febrero 2026 si anulamos</t>
        </r>
      </text>
    </comment>
    <comment ref="CY44" authorId="0" shapeId="0" xr:uid="{4F9EA435-3D28-4FE3-B733-AE03DCFD445D}">
      <text>
        <r>
          <rPr>
            <sz val="9"/>
            <color indexed="81"/>
            <rFont val="Tahoma"/>
            <family val="2"/>
          </rPr>
          <t>104,18€: Seguro Vida Caixa del 01/09/25 al 30/09/25
Cargado Caixa: 01/09/25.
Periodo cobertura: Desde el 26/05/25 hasta el 31/05/26 renovable
Preguntar a Alberto febrero 2026 si anulamos</t>
        </r>
      </text>
    </comment>
    <comment ref="CZ44" authorId="0" shapeId="0" xr:uid="{08A95F36-7990-499E-8BBC-34233B47EDC8}">
      <text>
        <r>
          <rPr>
            <sz val="9"/>
            <color indexed="81"/>
            <rFont val="Tahoma"/>
            <family val="2"/>
          </rPr>
          <t>104,18€: Seguro Vida Caixa del 01/10/25 al 31/10/25
Cargado Caixa: 01/10/25.
Periodo cobertura: Desde el 26/05/25 hasta el 31/05/26 renovable
Preguntar a Alberto febrero 2026 si anulamos</t>
        </r>
      </text>
    </comment>
    <comment ref="CZ45" authorId="0" shapeId="0" xr:uid="{271232E5-AC54-48AF-B06B-E8DDDC616753}">
      <text>
        <r>
          <rPr>
            <sz val="9"/>
            <color indexed="81"/>
            <rFont val="Tahoma"/>
            <family val="2"/>
          </rPr>
          <t>97,40€: Seguro Vida Caixa del 03/10/25 al 31/10/25
Cargado Caixa: 08/10/25.
Periodo cobertura: Desde el 03/10/25 hasta el 31/10/26 renovable
Preguntar a Alberto julio 2026 si anulamos</t>
        </r>
      </text>
    </comment>
    <comment ref="CV46" authorId="0" shapeId="0" xr:uid="{F93884EE-1068-4440-B946-1C845C8734CC}">
      <text>
        <r>
          <rPr>
            <sz val="9"/>
            <color indexed="81"/>
            <rFont val="Tahoma"/>
            <family val="2"/>
          </rPr>
          <t>216,96€: Seguro Vida Caixa del 26/05/25 al 31/05/26 renovable
Cargado Caixa: 29/07/25.
Periodo cobertura: Desde el 26/05/25 hasta el 31/05/26 renovable
Preguntar a Alberto febrero 2026 si anulamos</t>
        </r>
      </text>
    </comment>
    <comment ref="CW46" authorId="0" shapeId="0" xr:uid="{83BC7C33-F2EB-412F-8505-923F47F315F8}">
      <text>
        <r>
          <rPr>
            <sz val="9"/>
            <color indexed="81"/>
            <rFont val="Tahoma"/>
            <family val="2"/>
          </rPr>
          <t>216,96€: Seguro Vida Caixa del 01/08/25 al 31/08/26 renovable
Cargado Caixa: 01/08/25
Periodo cobertura: Desde el 26/05/25 hasta el 31/05/26 renovable
Preguntar a Alberto febrero 2026 si anulamos</t>
        </r>
      </text>
    </comment>
    <comment ref="CY46" authorId="0" shapeId="0" xr:uid="{5A896491-2B65-46D4-85C8-680BC49AC62F}">
      <text>
        <r>
          <rPr>
            <sz val="9"/>
            <color indexed="81"/>
            <rFont val="Tahoma"/>
            <family val="2"/>
          </rPr>
          <t>216,96€: Seguro Vida Caixa del 01/08/25 al 31/08/26 renovable
Cargado Caixa: 01/09/25
Periodo cobertura: Desde el 26/05/25 hasta el 31/05/26 renovable
Preguntar a Alberto febrero 2026 si anulamos</t>
        </r>
      </text>
    </comment>
    <comment ref="CZ46" authorId="0" shapeId="0" xr:uid="{69F494BB-E977-41E2-819E-E44393BB3233}">
      <text>
        <r>
          <rPr>
            <sz val="9"/>
            <color indexed="81"/>
            <rFont val="Tahoma"/>
            <family val="2"/>
          </rPr>
          <t>216,96€: Seguro Vida Caixa del 01/08/25 al 31/08/26 renovable
Cargado Caixa: 01/10/25
Periodo cobertura: Desde el 26/05/25 hasta el 31/05/26 renovable
Preguntar a Alberto febrero 2026 si anulamos</t>
        </r>
      </text>
    </comment>
    <comment ref="DD46" authorId="0" shapeId="0" xr:uid="{5105CCA7-C182-4B72-BEAA-20CD0116CCD2}">
      <text>
        <r>
          <rPr>
            <sz val="9"/>
            <color indexed="81"/>
            <rFont val="Tahoma"/>
            <family val="2"/>
          </rPr>
          <t>216,96€: Seguro Vida Caixa del 01/08/25 al 31/08/26 renovable
Cargado Caixa: 01/08/25
Periodo cobertura: Desde el 26/05/25 hasta el 31/05/26 renovable
Preguntar a Alberto febrero 2026 si anulamos</t>
        </r>
      </text>
    </comment>
    <comment ref="DE46" authorId="0" shapeId="0" xr:uid="{9FCCF735-ACE0-47A0-9C70-53399DAF0A7C}">
      <text>
        <r>
          <rPr>
            <sz val="9"/>
            <color indexed="81"/>
            <rFont val="Tahoma"/>
            <family val="2"/>
          </rPr>
          <t>216,96€: Seguro Vida Caixa del 01/08/25 al 31/08/26 renovable
Cargado Caixa: 01/08/25
Periodo cobertura: Desde el 26/05/25 hasta el 31/05/26 renovable
Preguntar a Alberto febrero 2026 si anulamos</t>
        </r>
      </text>
    </comment>
    <comment ref="DF46" authorId="0" shapeId="0" xr:uid="{DC69A3B8-0714-4239-9012-DE7B08BA0B42}">
      <text>
        <r>
          <rPr>
            <sz val="9"/>
            <color indexed="81"/>
            <rFont val="Tahoma"/>
            <family val="2"/>
          </rPr>
          <t>216,96€: Seguro Vida Caixa del 01/08/25 al 31/08/26 renovable
Cargado Caixa: 01/04/25
Periodo cobertura: Desde el 26/05/25 hasta el 31/05/26 renovable
Preguntar a Alberto febrero 2026 si anulamos
08/04/26: Lo mantenemos</t>
        </r>
      </text>
    </comment>
    <comment ref="DG46" authorId="0" shapeId="0" xr:uid="{EBB767EB-6A05-4CF8-B5D4-6E6C28E29053}">
      <text>
        <r>
          <rPr>
            <sz val="9"/>
            <color indexed="81"/>
            <rFont val="Tahoma"/>
            <family val="2"/>
          </rPr>
          <t xml:space="preserve">216,96€: Seguro Vida Caixa 
Cargado Caixa: 01/05/26
Periodo cobertura: Desde el 26/05/25 hasta el 31/05/26 renovable
</t>
        </r>
      </text>
    </comment>
    <comment ref="DH46" authorId="0" shapeId="0" xr:uid="{A02BE212-D670-44E6-BB8F-0390F3B07B14}">
      <text>
        <r>
          <rPr>
            <sz val="9"/>
            <color indexed="81"/>
            <rFont val="Tahoma"/>
            <family val="2"/>
          </rPr>
          <t>226,75€: Seguro Vida Caixa del 01/06/26 al 31/05/27 renovable
Cargado Caixa: 
Periodo cobertura: Desde el 26/05/26 hasta el 31/05/27 renovable
Preguntar a Alberto febrero 2027 si anulamos</t>
        </r>
      </text>
    </comment>
    <comment ref="DI46" authorId="0" shapeId="0" xr:uid="{DAD0BC65-5983-4A77-B6ED-EAF913B1BA3F}">
      <text>
        <r>
          <rPr>
            <sz val="9"/>
            <color indexed="81"/>
            <rFont val="Tahoma"/>
            <family val="2"/>
          </rPr>
          <t>226,75€: Seguro Vida Caixa del 01/06/26 al 31/05/27 renovable
Cargado Caixa: 
Periodo cobertura: Desde el 26/05/26 hasta el 31/05/27 renovable
Preguntar a Alberto febrero 2027 si anulamos</t>
        </r>
      </text>
    </comment>
    <comment ref="DJ46" authorId="0" shapeId="0" xr:uid="{1A71F2B3-D41E-410A-B149-5BF4FBA09ABE}">
      <text>
        <r>
          <rPr>
            <sz val="9"/>
            <color indexed="81"/>
            <rFont val="Tahoma"/>
            <family val="2"/>
          </rPr>
          <t>226,75€: Seguro Vida Caixa del 01/06/26 al 31/05/27 renovable
Cargado Caixa: 
Periodo cobertura: Desde el 26/05/26 hasta el 31/05/27 renovable
Preguntar a Alberto febrero 2027 si anulamos</t>
        </r>
      </text>
    </comment>
    <comment ref="DL46" authorId="0" shapeId="0" xr:uid="{E0B4C929-437D-4F9E-A05E-640785BFF3FE}">
      <text>
        <r>
          <rPr>
            <sz val="9"/>
            <color indexed="81"/>
            <rFont val="Tahoma"/>
            <family val="2"/>
          </rPr>
          <t>226,75€: Seguro Vida Caixa del 01/06/26 al 31/05/27 renovable
Cargado Caixa: 
Periodo cobertura: Desde el 26/05/26 hasta el 31/05/27 renovable
Preguntar a Alberto febrero 2027 si anulamos</t>
        </r>
      </text>
    </comment>
    <comment ref="DM46" authorId="0" shapeId="0" xr:uid="{78768429-43FE-4925-AAEE-FB9E219D142B}">
      <text>
        <r>
          <rPr>
            <sz val="9"/>
            <color indexed="81"/>
            <rFont val="Tahoma"/>
            <family val="2"/>
          </rPr>
          <t>226,75€: Seguro Vida Caixa del 01/06/26 al 31/05/27 renovable
Cargado Caixa: 
Periodo cobertura: Desde el 26/05/26 hasta el 31/05/27 renovable
Preguntar a Alberto febrero 2027 si anulamos</t>
        </r>
      </text>
    </comment>
    <comment ref="DN46" authorId="0" shapeId="0" xr:uid="{95C0A661-671A-409C-8800-E496CE71DD57}">
      <text>
        <r>
          <rPr>
            <sz val="9"/>
            <color indexed="81"/>
            <rFont val="Tahoma"/>
            <family val="2"/>
          </rPr>
          <t>226,75€: Seguro Vida Caixa del 01/06/26 al 31/05/27 renovable
Cargado Caixa: 
Periodo cobertura: Desde el 26/05/26 hasta el 31/05/27 renovable
Preguntar a Alberto febrero 2027 si anulamos</t>
        </r>
      </text>
    </comment>
    <comment ref="DO46" authorId="0" shapeId="0" xr:uid="{F9861B1F-45C5-4E65-B6EF-70D1F0838DE5}">
      <text>
        <r>
          <rPr>
            <sz val="9"/>
            <color indexed="81"/>
            <rFont val="Tahoma"/>
            <family val="2"/>
          </rPr>
          <t>226,75€: Seguro Vida Caixa del 01/06/26 al 31/05/27 renovable
Cargado Caixa: 
Periodo cobertura: Desde el 26/05/26 hasta el 31/05/27 renovable
Preguntar a Alberto febrero 2027 si anulamos</t>
        </r>
      </text>
    </comment>
    <comment ref="DP46" authorId="0" shapeId="0" xr:uid="{C39E9513-8A5A-4626-8097-A484CA7A5881}">
      <text>
        <r>
          <rPr>
            <sz val="9"/>
            <color indexed="81"/>
            <rFont val="Tahoma"/>
            <family val="2"/>
          </rPr>
          <t>226,75€: Seguro Vida Caixa del 01/06/26 al 31/05/27 renovable
Cargado Caixa: 
Periodo cobertura: Desde el 26/05/26 hasta el 31/05/27 renovable
Preguntar a Alberto febrero 2027 si anulamos</t>
        </r>
      </text>
    </comment>
    <comment ref="DQ46" authorId="0" shapeId="0" xr:uid="{B7A87A53-5A65-4BEF-B7F8-38E4E94BFA07}">
      <text>
        <r>
          <rPr>
            <sz val="9"/>
            <color indexed="81"/>
            <rFont val="Tahoma"/>
            <family val="2"/>
          </rPr>
          <t>226,75€: Seguro Vida Caixa del 01/06/26 al 31/05/27 renovable
Cargado Caixa: 
Periodo cobertura: Desde el 26/05/26 hasta el 31/05/27 renovable
Preguntar a Alberto febrero 2027 si anulamos</t>
        </r>
      </text>
    </comment>
    <comment ref="DR46" authorId="0" shapeId="0" xr:uid="{810DED43-FAE8-476C-A89F-CDA89476B49A}">
      <text>
        <r>
          <rPr>
            <sz val="9"/>
            <color indexed="81"/>
            <rFont val="Tahoma"/>
            <family val="2"/>
          </rPr>
          <t>226,75€: Seguro Vida Caixa del 01/06/26 al 31/05/27 renovable
Cargado Caixa: 
Periodo cobertura: Desde el 26/05/26 hasta el 31/05/27 renovable
Preguntar a Alberto febrero 2027 si anulamos</t>
        </r>
      </text>
    </comment>
    <comment ref="DS46" authorId="0" shapeId="0" xr:uid="{0D359F42-13BC-44AB-A010-31275A641957}">
      <text>
        <r>
          <rPr>
            <sz val="9"/>
            <color indexed="81"/>
            <rFont val="Tahoma"/>
            <family val="2"/>
          </rPr>
          <t>226,75€: Seguro Vida Caixa del 01/06/26 al 31/05/27 renovable
Cargado Caixa: 
Periodo cobertura: Desde el 26/05/26 hasta el 31/05/27 renovable
Preguntar a Alberto febrero 2027 si anulamos</t>
        </r>
      </text>
    </comment>
    <comment ref="DT46" authorId="0" shapeId="0" xr:uid="{001A1DBF-77D3-4E65-8F9A-CD2C2E7E2FA5}">
      <text>
        <r>
          <rPr>
            <sz val="9"/>
            <color indexed="81"/>
            <rFont val="Tahoma"/>
            <family val="2"/>
          </rPr>
          <t>226,75€: Seguro Vida Caixa del 01/06/26 al 31/05/27 renovable
Cargado Caixa: 
Periodo cobertura: Desde el 26/05/26 hasta el 31/05/27 renovable
Preguntar a Alberto febrero 2027 si anulamos</t>
        </r>
      </text>
    </comment>
    <comment ref="CB47" authorId="0" shapeId="0" xr:uid="{BA768E41-148E-45A2-9C9A-122E1DCABC65}">
      <text>
        <r>
          <rPr>
            <sz val="9"/>
            <color indexed="81"/>
            <rFont val="Tahoma"/>
            <family val="2"/>
          </rPr>
          <t>896,80€: Seguro RC del 18/12/23 al 18/12/24
Cargado BBVA: 18/12/23</t>
        </r>
      </text>
    </comment>
    <comment ref="CR47" authorId="0" shapeId="0" xr:uid="{DADD77DA-64F0-4B00-B6CF-F748FDB8B3CA}">
      <text>
        <r>
          <rPr>
            <sz val="9"/>
            <color indexed="81"/>
            <rFont val="Tahoma"/>
            <family val="2"/>
          </rPr>
          <t>1.373,26€: Seguro RC del 27/03/25 al 27/03/26
Cargado BBVA: 31/03/25</t>
        </r>
      </text>
    </comment>
    <comment ref="DE47" authorId="0" shapeId="0" xr:uid="{855686DC-F68C-4C6B-8F98-44A9693A29BB}">
      <text>
        <r>
          <rPr>
            <sz val="9"/>
            <color indexed="81"/>
            <rFont val="Tahoma"/>
            <family val="2"/>
          </rPr>
          <t>1.432,32€: Seguro RC del 27/03/26 al 27/03/27
Cargado BBVA: 30/03/26
Preguntar a Alberto si solicitamos cancelación a BBVA.
18/02/26: OK mantenemos</t>
        </r>
      </text>
    </comment>
    <comment ref="DP47" authorId="0" shapeId="0" xr:uid="{2DD58B9A-2E65-4C91-AF1C-10C390B8850A}">
      <text>
        <r>
          <rPr>
            <sz val="9"/>
            <color indexed="81"/>
            <rFont val="Tahoma"/>
            <family val="2"/>
          </rPr>
          <t>1.432,32€: Seguro RC del 27/03/26 al 27/03/27
Cargado BBVA: 30/03/26
Preguntar a Alberto si solicitamos cancelación a BBVA.
Anular 2 meses antes del vencimiento el 27/03/27</t>
        </r>
      </text>
    </comment>
    <comment ref="AF48" authorId="0" shapeId="0" xr:uid="{ABEA051C-970F-4296-B8E4-A8B7987282A1}">
      <text>
        <r>
          <rPr>
            <b/>
            <sz val="9"/>
            <color indexed="81"/>
            <rFont val="Tahoma"/>
            <family val="2"/>
          </rPr>
          <t>rosa:</t>
        </r>
        <r>
          <rPr>
            <sz val="9"/>
            <color indexed="81"/>
            <rFont val="Tahoma"/>
            <family val="2"/>
          </rPr>
          <t xml:space="preserve">
8080,88 E IFS Nueva analítica: Z.Admin
Info Alberto: Pagar a finales de abril
Cargado Caixa: 16/04/20</t>
        </r>
      </text>
    </comment>
    <comment ref="AZ48" authorId="0" shapeId="0" xr:uid="{A429E234-DD60-4D76-9372-B8A80E1382ED}">
      <text>
        <r>
          <rPr>
            <sz val="9"/>
            <color indexed="81"/>
            <rFont val="Tahoma"/>
            <family val="2"/>
          </rPr>
          <t>Fra Iberica Feeding del 09/08/21.
Alimento Vacas: 8855,88€ 
Cargado Caixa: 15/10/21.
50% Nixal y 50% Molino. 
Pendiente de devolver por Molino
-8855,88€: Devolución Fra Iberica Feeding por parte de Molino y a la misma vez 8855,88€: préstamo de Nixal a Molino por el mismo importe
Hacer docu para conta sin movimiento bancario</t>
        </r>
      </text>
    </comment>
    <comment ref="AZ49" authorId="0" shapeId="0" xr:uid="{00876183-30AD-4279-B0E1-372B928D8BAD}">
      <text>
        <r>
          <rPr>
            <sz val="9"/>
            <color indexed="81"/>
            <rFont val="Tahoma"/>
            <family val="2"/>
          </rPr>
          <t>455,70€: Recibo comunidad de octubre
Cargado Caixa: 04/10/21
26,81€: Recibo agua octubre
Cargado Caixa: 04/10/21
455,70€: Recibo comunidad septiembre
Cargado Caixa: 21/10/21
455,70€: Recibo comunidad agosto
Cargado Caixa: 21/10/21</t>
        </r>
      </text>
    </comment>
    <comment ref="BA49" authorId="0" shapeId="0" xr:uid="{AD887C3A-0D6D-447C-8DD6-FD73A30866F9}">
      <text>
        <r>
          <rPr>
            <sz val="9"/>
            <color indexed="81"/>
            <rFont val="Tahoma"/>
            <family val="2"/>
          </rPr>
          <t>455,70€: Recibo comunidad noviembre
Cargado Caixa: 02/11/21</t>
        </r>
        <r>
          <rPr>
            <b/>
            <sz val="9"/>
            <color indexed="81"/>
            <rFont val="Tahoma"/>
            <family val="2"/>
          </rPr>
          <t xml:space="preserve">
------------------------
</t>
        </r>
        <r>
          <rPr>
            <sz val="9"/>
            <color indexed="81"/>
            <rFont val="Tahoma"/>
            <family val="2"/>
          </rPr>
          <t xml:space="preserve">443,80€: Recibo erróneo comunidad septiembre ya cargado en oct y por otro importe
Cargado Caixa: 16/11/21 
Recibo devuelto el 01/12/21 </t>
        </r>
        <r>
          <rPr>
            <b/>
            <sz val="9"/>
            <color indexed="81"/>
            <rFont val="Tahoma"/>
            <family val="2"/>
          </rPr>
          <t xml:space="preserve">
</t>
        </r>
      </text>
    </comment>
    <comment ref="BB49" authorId="0" shapeId="0" xr:uid="{257AA97C-1529-40EA-A009-51F3BD2EF636}">
      <text>
        <r>
          <rPr>
            <sz val="9"/>
            <color indexed="81"/>
            <rFont val="Tahoma"/>
            <family val="2"/>
          </rPr>
          <t xml:space="preserve">-443,80€: Pendiente devolución de recibo erróneo comunidad septiembre ya cargado en oct y por otro importe
Cargado Caixa: 16/11/21 
Recibo devuelto y abonado en Caixa el 01/12/21 
-------------------------------
455,70€: Recibo comunidad diciembre
Cargado Caixa: 02/12/21
------------------------------
</t>
        </r>
      </text>
    </comment>
    <comment ref="BC49" authorId="0" shapeId="0" xr:uid="{FF1DFE45-4171-46F8-A5AD-750947F61549}">
      <text>
        <r>
          <rPr>
            <sz val="9"/>
            <color indexed="81"/>
            <rFont val="Tahoma"/>
            <family val="2"/>
          </rPr>
          <t xml:space="preserve">455,70€: Recibo comunidad enero
Cargado Caixa: 03/01/22
------------------------------
</t>
        </r>
      </text>
    </comment>
    <comment ref="BD49" authorId="0" shapeId="0" xr:uid="{E3880559-EABC-42D4-80C2-FDACB2FFA71A}">
      <text>
        <r>
          <rPr>
            <sz val="9"/>
            <color indexed="81"/>
            <rFont val="Tahoma"/>
            <family val="2"/>
          </rPr>
          <t xml:space="preserve">455,70€: Recibo comunidad de febrero
Cargado Caixa: 02/02/22
89,70€: Recibo agua febrero
Cargado Caixa: 02/02/22
</t>
        </r>
      </text>
    </comment>
    <comment ref="BE49" authorId="0" shapeId="0" xr:uid="{9495513F-5041-491E-ADCF-434FCD83BB73}">
      <text>
        <r>
          <rPr>
            <sz val="9"/>
            <color indexed="81"/>
            <rFont val="Tahoma"/>
            <family val="2"/>
          </rPr>
          <t xml:space="preserve">455,70€: Recibo comunidad marzo
Cargado Caixa: 02/03/22
------------------------------
</t>
        </r>
      </text>
    </comment>
    <comment ref="BF49" authorId="0" shapeId="0" xr:uid="{D3EA2AC5-4396-4ABD-9919-32C5E2E08C8B}">
      <text>
        <r>
          <rPr>
            <sz val="9"/>
            <color indexed="81"/>
            <rFont val="Tahoma"/>
            <family val="2"/>
          </rPr>
          <t xml:space="preserve">455,70€: Recibo comunidad de abril
Cargado Caixa: 04/04/22
48,80€: Recibo agua abril
Cargado Caixa: 04/04/22
</t>
        </r>
      </text>
    </comment>
    <comment ref="BG49" authorId="0" shapeId="0" xr:uid="{9F8BDFD0-3FAA-429B-9802-3569B2AF445B}">
      <text>
        <r>
          <rPr>
            <sz val="9"/>
            <color indexed="81"/>
            <rFont val="Tahoma"/>
            <family val="2"/>
          </rPr>
          <t xml:space="preserve">455,70€: Recibo comunidad mayo
Cargado Caixa: 04/05/22
------------------------------
</t>
        </r>
      </text>
    </comment>
    <comment ref="BH49" authorId="0" shapeId="0" xr:uid="{67733EF2-580B-4B92-8852-00D36FAE4CC4}">
      <text>
        <r>
          <rPr>
            <sz val="9"/>
            <color indexed="81"/>
            <rFont val="Tahoma"/>
            <family val="2"/>
          </rPr>
          <t xml:space="preserve">455,70€: Recibo comunidad junio
Cargado Caixa: 02/06/22
------------------------------
</t>
        </r>
      </text>
    </comment>
    <comment ref="BJ49" authorId="1" shapeId="0" xr:uid="{0C3C92FD-C9CA-4B2D-A7F0-8278B88129FD}">
      <text>
        <r>
          <rPr>
            <sz val="9"/>
            <color indexed="81"/>
            <rFont val="Tahoma"/>
            <family val="2"/>
          </rPr>
          <t>455,77 Eur: Cargado el 03/08/22.</t>
        </r>
      </text>
    </comment>
    <comment ref="BL49" authorId="1" shapeId="0" xr:uid="{CB437549-BEC1-4F55-B37A-F79B896D5206}">
      <text>
        <r>
          <rPr>
            <sz val="9"/>
            <color indexed="81"/>
            <rFont val="Tahoma"/>
            <family val="2"/>
          </rPr>
          <t>455,77 Eur: Cargado el 02/09/22.</t>
        </r>
      </text>
    </comment>
    <comment ref="BM49" authorId="0" shapeId="0" xr:uid="{827C3B3A-C9C5-4AFD-888A-A59A685745F9}">
      <text>
        <r>
          <rPr>
            <sz val="9"/>
            <color indexed="81"/>
            <rFont val="Tahoma"/>
            <family val="2"/>
          </rPr>
          <t xml:space="preserve">455,70€: Recibo comunidad de octubre
Cargado Caixa: 04/10/22
74,40€: Recibo agua oct
Cargado Caixa: 04/10/22
</t>
        </r>
      </text>
    </comment>
    <comment ref="BN49" authorId="0" shapeId="0" xr:uid="{AB40273F-0D10-42CF-BDF4-DC9469A44504}">
      <text>
        <r>
          <rPr>
            <sz val="9"/>
            <color indexed="81"/>
            <rFont val="Tahoma"/>
            <family val="2"/>
          </rPr>
          <t xml:space="preserve">455,70€: Recibo comunidad noviembre
Cargado Caixa: 03/11/22
------------------------------
</t>
        </r>
      </text>
    </comment>
    <comment ref="BO49" authorId="0" shapeId="0" xr:uid="{4030CB89-1D32-4BE7-B816-2AE191CF4E41}">
      <text>
        <r>
          <rPr>
            <sz val="9"/>
            <color indexed="81"/>
            <rFont val="Tahoma"/>
            <family val="2"/>
          </rPr>
          <t xml:space="preserve">499,80€: Recibo comunidad diciembre
+54,10€: Arreglo patio
OK Alberto 20/12/22
553,90€: Cargado Caixa: 05/12/22
------------------------------
</t>
        </r>
      </text>
    </comment>
    <comment ref="BP49" authorId="0" shapeId="0" xr:uid="{41FD5626-1E30-4227-8119-17012FD6ED2A}">
      <text>
        <r>
          <rPr>
            <sz val="9"/>
            <color indexed="81"/>
            <rFont val="Tahoma"/>
            <family val="2"/>
          </rPr>
          <t xml:space="preserve">499,80€: Recibo comunidad enero
+54,10€: Arreglo patio
553,90€: Cargado Caixa: 04/01/23
------------------------------
</t>
        </r>
      </text>
    </comment>
    <comment ref="BQ49" authorId="0" shapeId="0" xr:uid="{7AE19B63-C08F-4ED9-9787-BAAA525703C5}">
      <text>
        <r>
          <rPr>
            <sz val="9"/>
            <color indexed="81"/>
            <rFont val="Tahoma"/>
            <family val="2"/>
          </rPr>
          <t xml:space="preserve">499,80€: Recibo comunidad febrero
+54,10€: Arreglo patio
553,90€: Cargado Caixa: 03/02/23
------------------------------
</t>
        </r>
      </text>
    </comment>
    <comment ref="BR49" authorId="0" shapeId="0" xr:uid="{97E4132C-C383-4B22-93BD-B9B16319C03D}">
      <text>
        <r>
          <rPr>
            <sz val="9"/>
            <color indexed="81"/>
            <rFont val="Tahoma"/>
            <family val="2"/>
          </rPr>
          <t xml:space="preserve">499,80€: Recibo comunidad marzo
+54,10€: Arreglo patio
553,90€: Cargado Caixa: 06/03/23
------------------------------
</t>
        </r>
      </text>
    </comment>
    <comment ref="BS49" authorId="0" shapeId="0" xr:uid="{29A25B0F-A2C6-4A35-8560-7A5D4CD4DAF7}">
      <text>
        <r>
          <rPr>
            <sz val="9"/>
            <color indexed="81"/>
            <rFont val="Tahoma"/>
            <family val="2"/>
          </rPr>
          <t xml:space="preserve">499,80€: Recibo comunidad abril
+54,10€: Arreglo patio
553,90€: Cargado Caixa: 06/04/23
------------------------------
24,32€: Recibo agua abril
Cargado Caixa: 06/04/23
</t>
        </r>
      </text>
    </comment>
    <comment ref="BT49" authorId="0" shapeId="0" xr:uid="{C930025E-53CD-4B66-8B83-A2D20A97FFD9}">
      <text>
        <r>
          <rPr>
            <sz val="9"/>
            <color indexed="81"/>
            <rFont val="Tahoma"/>
            <family val="2"/>
          </rPr>
          <t xml:space="preserve">499,80€: Recibo comunidad mayo
+54,10€: Arreglo patio
553,90€: Cargado Caixa: 05/05/23
------------------------------
</t>
        </r>
      </text>
    </comment>
    <comment ref="BU49" authorId="0" shapeId="0" xr:uid="{D2C2B801-ADAF-4D0A-8B24-A53638C74735}">
      <text>
        <r>
          <rPr>
            <sz val="9"/>
            <color indexed="81"/>
            <rFont val="Tahoma"/>
            <family val="2"/>
          </rPr>
          <t xml:space="preserve">499,80€: Recibo comunidad junio
+54,10€: Arreglo patio
553,90€: Cargado Caixa: 07/06/23
------------------------------
</t>
        </r>
      </text>
    </comment>
    <comment ref="BV49" authorId="0" shapeId="0" xr:uid="{A2D7CE64-9BAC-46DB-875B-F7CDAD015F72}">
      <text>
        <r>
          <rPr>
            <sz val="9"/>
            <color indexed="81"/>
            <rFont val="Tahoma"/>
            <family val="2"/>
          </rPr>
          <t xml:space="preserve">499,80€: Recibo comunidad julio
+54,10€: Arreglo patio
553,90€: Cargado Caixa: 05/07/23
------------------------------
25,36€: Recibo agua julio
Cargado Caixa: 05/07/23
</t>
        </r>
      </text>
    </comment>
    <comment ref="BW49" authorId="0" shapeId="0" xr:uid="{86B8D416-2E34-4A23-8ED3-C72629BF2B40}">
      <text>
        <r>
          <rPr>
            <sz val="9"/>
            <color indexed="81"/>
            <rFont val="Tahoma"/>
            <family val="2"/>
          </rPr>
          <t xml:space="preserve">499,80€: Recibo comunidad agosto
+54,10€: Arreglo patio
553,90€: Cargado Caixa: 08/08/23
</t>
        </r>
      </text>
    </comment>
    <comment ref="BY49" authorId="0" shapeId="0" xr:uid="{AA2A7795-0E79-4CA6-9394-B97F95CFD32E}">
      <text>
        <r>
          <rPr>
            <sz val="9"/>
            <color indexed="81"/>
            <rFont val="Tahoma"/>
            <family val="2"/>
          </rPr>
          <t xml:space="preserve">499,80€: Recibo comunidad sept
+54,10€: Arreglo patio
553,90€: Cargado Caixa: 06/09/23
</t>
        </r>
      </text>
    </comment>
    <comment ref="BZ49" authorId="0" shapeId="0" xr:uid="{3A327874-599F-4CAC-B092-B033F852C84A}">
      <text>
        <r>
          <rPr>
            <sz val="9"/>
            <color indexed="81"/>
            <rFont val="Tahoma"/>
            <family val="2"/>
          </rPr>
          <t xml:space="preserve">499,80€: Recibo comunidad octubre
499,80€: Cargado Caixa: 09/10/23
------------------------------
34,92€: Recibo agua octubre
Cargado Caixa: 09/10/23
</t>
        </r>
      </text>
    </comment>
    <comment ref="CA49" authorId="0" shapeId="0" xr:uid="{280BB74C-E024-47C3-B934-6784C6EFC272}">
      <text>
        <r>
          <rPr>
            <sz val="9"/>
            <color indexed="81"/>
            <rFont val="Tahoma"/>
            <family val="2"/>
          </rPr>
          <t xml:space="preserve">499,80€: Recibo comunidad noviembre
499,80€: Cargado Caixa: 06/11/23
------------------------------
</t>
        </r>
      </text>
    </comment>
    <comment ref="CB49" authorId="0" shapeId="0" xr:uid="{40C85765-2966-4A54-914A-EF4229B3D848}">
      <text>
        <r>
          <rPr>
            <sz val="9"/>
            <color indexed="81"/>
            <rFont val="Tahoma"/>
            <family val="2"/>
          </rPr>
          <t xml:space="preserve">499,80€: Recibo comunidad diciembre
499,80€: Cargado Caixa: 12/12/23
------------------------------
</t>
        </r>
      </text>
    </comment>
    <comment ref="CC49" authorId="0" shapeId="0" xr:uid="{0DFA7101-5850-445C-BC60-DAEF8230F72D}">
      <text>
        <r>
          <rPr>
            <sz val="9"/>
            <color indexed="81"/>
            <rFont val="Tahoma"/>
            <family val="2"/>
          </rPr>
          <t xml:space="preserve">499,80€: Recibo comunidad enero
499,80€: Cargado Caixa: 05/01/24
------------------------------
104,38€: Recibo agua enero
Cargado Caixa: 05/01/24
</t>
        </r>
      </text>
    </comment>
    <comment ref="CD49" authorId="0" shapeId="0" xr:uid="{2D14CB64-7253-4099-89EC-A4D464AD604F}">
      <text>
        <r>
          <rPr>
            <sz val="9"/>
            <color indexed="81"/>
            <rFont val="Tahoma"/>
            <family val="2"/>
          </rPr>
          <t xml:space="preserve">499,80€: Recibo comunidad febrero 2024
499,80€: Cargado Caixa: 12/02/24
------------------------------
</t>
        </r>
      </text>
    </comment>
    <comment ref="CE49" authorId="0" shapeId="0" xr:uid="{7D33DA64-DCAD-4C7A-A7DD-98B16C59A5D3}">
      <text>
        <r>
          <rPr>
            <sz val="9"/>
            <color indexed="81"/>
            <rFont val="Tahoma"/>
            <family val="2"/>
          </rPr>
          <t xml:space="preserve">499,80€: Recibo comunidad marzo 2024
499,80€: Cargado Caixa: 06/03/24
------------------------------
</t>
        </r>
      </text>
    </comment>
    <comment ref="CF49" authorId="0" shapeId="0" xr:uid="{F39EEC19-EC2B-4B12-95FB-B79592B3A666}">
      <text>
        <r>
          <rPr>
            <sz val="9"/>
            <color indexed="81"/>
            <rFont val="Tahoma"/>
            <family val="2"/>
          </rPr>
          <t xml:space="preserve">499,80€: Recibo comunidad abril
499,80€: Cargado Caixa: 03/04/24
------------------------------
97,72€: Recibo agua abril
Cargado Caixa: 03/04/24
</t>
        </r>
      </text>
    </comment>
    <comment ref="CG49" authorId="0" shapeId="0" xr:uid="{B8438963-3C4D-4461-A6B9-5BA9F02FAFE2}">
      <text>
        <r>
          <rPr>
            <sz val="9"/>
            <color indexed="81"/>
            <rFont val="Tahoma"/>
            <family val="2"/>
          </rPr>
          <t xml:space="preserve">499,80€: Recibo comunidad mayo 2024
499,80€: Cargado Caixa: 07/05/24
------------------------------
</t>
        </r>
      </text>
    </comment>
    <comment ref="CH49" authorId="0" shapeId="0" xr:uid="{5C2A68B5-AED9-424E-BCFF-456F27036E43}">
      <text>
        <r>
          <rPr>
            <sz val="9"/>
            <color indexed="81"/>
            <rFont val="Tahoma"/>
            <family val="2"/>
          </rPr>
          <t xml:space="preserve">499,80€: Recibo comunidad junio 2024
499,80€: Cargado Caixa: 04/06/24
------------------------------
</t>
        </r>
      </text>
    </comment>
    <comment ref="CI49" authorId="0" shapeId="0" xr:uid="{82200EDB-63FB-4EDE-A6A8-BD29F205DB09}">
      <text>
        <r>
          <rPr>
            <sz val="9"/>
            <color indexed="81"/>
            <rFont val="Tahoma"/>
            <family val="2"/>
          </rPr>
          <t xml:space="preserve">499,80€: Recibo comunidad julio
499,80€: Cargado Caixa: 08/07/24
------------------------------
121,44€: Recibo agua julio
Cargado Caixa: 08/07/24
</t>
        </r>
      </text>
    </comment>
    <comment ref="CJ49" authorId="0" shapeId="0" xr:uid="{8D488020-9238-4306-B43F-703223EF27B7}">
      <text>
        <r>
          <rPr>
            <sz val="9"/>
            <color indexed="81"/>
            <rFont val="Tahoma"/>
            <family val="2"/>
          </rPr>
          <t xml:space="preserve">499,80€: Recibo comunidad agosto 2024
499,80€: Cargado Caixa: 05/08/24
------------------------------
</t>
        </r>
      </text>
    </comment>
    <comment ref="CL49" authorId="5" shapeId="0" xr:uid="{15C16BED-4C03-426A-BC69-EB2DDA8ECF79}">
      <text>
        <r>
          <rPr>
            <b/>
            <sz val="9"/>
            <color indexed="81"/>
            <rFont val="Tahoma"/>
            <family val="2"/>
          </rPr>
          <t xml:space="preserve">499,80€: </t>
        </r>
        <r>
          <rPr>
            <sz val="9"/>
            <color indexed="81"/>
            <rFont val="Tahoma"/>
            <family val="2"/>
          </rPr>
          <t xml:space="preserve">Cargado el 06/09/24.
</t>
        </r>
        <r>
          <rPr>
            <b/>
            <sz val="9"/>
            <color indexed="81"/>
            <rFont val="Tahoma"/>
            <family val="2"/>
          </rPr>
          <t xml:space="preserve"> </t>
        </r>
      </text>
    </comment>
    <comment ref="CM49" authorId="0" shapeId="0" xr:uid="{6D8DCCAE-24FF-4D46-BDD4-3D8C598E1FD1}">
      <text>
        <r>
          <rPr>
            <sz val="9"/>
            <color indexed="81"/>
            <rFont val="Tahoma"/>
            <family val="2"/>
          </rPr>
          <t xml:space="preserve">499,80€: Recibo comunidad Octubre
499,80€: Cargado Caixa: 04/10/24
------------------------------
46,68€: Recibo agua octubre
Cargado Caixa: 04/10/24
</t>
        </r>
      </text>
    </comment>
    <comment ref="CN49" authorId="0" shapeId="0" xr:uid="{D0419659-9BDF-4943-80E1-9FF17582BB5B}">
      <text>
        <r>
          <rPr>
            <sz val="9"/>
            <color indexed="81"/>
            <rFont val="Tahoma"/>
            <family val="2"/>
          </rPr>
          <t xml:space="preserve">499,80€: Recibo comunidad Noviembre
499,80€: Cargado Caixa: 06/11/24
------------------------------
</t>
        </r>
      </text>
    </comment>
    <comment ref="CO49" authorId="0" shapeId="0" xr:uid="{4505430A-870A-4A6A-9533-100AB3C8446C}">
      <text>
        <r>
          <rPr>
            <sz val="9"/>
            <color indexed="81"/>
            <rFont val="Tahoma"/>
            <family val="2"/>
          </rPr>
          <t xml:space="preserve">499,80€: Recibo comunidad Diciembre
499,80€: Cargado Caixa: 04/12/24
------------------------------
</t>
        </r>
      </text>
    </comment>
    <comment ref="CP49" authorId="0" shapeId="0" xr:uid="{628F9C39-A9CF-4050-8959-5036A2911FC0}">
      <text>
        <r>
          <rPr>
            <sz val="9"/>
            <color indexed="81"/>
            <rFont val="Tahoma"/>
            <family val="2"/>
          </rPr>
          <t xml:space="preserve">645,20€: Recibo comunidad enero
645,20€: Cargado Caixa: 08/01/25
------------------------------
128,64€: Recibo agua enero
Cargado Caixa: 08/01/25
</t>
        </r>
      </text>
    </comment>
    <comment ref="CQ49" authorId="0" shapeId="0" xr:uid="{2C054150-B0B1-4DFD-BC10-D9EB4F8E7429}">
      <text>
        <r>
          <rPr>
            <sz val="9"/>
            <color indexed="81"/>
            <rFont val="Tahoma"/>
            <family val="2"/>
          </rPr>
          <t xml:space="preserve">645,20€: Recibo comunidad febrero
645,20€: Cargado Caixa: 04/02/25
------------------------------
</t>
        </r>
      </text>
    </comment>
    <comment ref="CR49" authorId="0" shapeId="0" xr:uid="{4752194F-21D2-4B13-8528-A78386F29B63}">
      <text>
        <r>
          <rPr>
            <sz val="9"/>
            <color indexed="81"/>
            <rFont val="Tahoma"/>
            <family val="2"/>
          </rPr>
          <t xml:space="preserve">730,90€: Recibo comunidad marzo
730,90€: Cargado Caixa: 11/03/25
------------------------------
</t>
        </r>
      </text>
    </comment>
    <comment ref="CS49" authorId="0" shapeId="0" xr:uid="{4FB67EA7-FBAD-4CDE-9546-CE79B973F890}">
      <text>
        <r>
          <rPr>
            <sz val="9"/>
            <color indexed="81"/>
            <rFont val="Tahoma"/>
            <family val="2"/>
          </rPr>
          <t xml:space="preserve">635,70€: Recibo comunidad abril
635,70€: Cargado Caixa: 07/04/25
------------------------------
129,58€: Recibo agua abril
Cargado Caixa: 07/04/25
</t>
        </r>
      </text>
    </comment>
    <comment ref="CT49" authorId="0" shapeId="0" xr:uid="{98317977-8B5B-408D-B01F-E395D908EF52}">
      <text>
        <r>
          <rPr>
            <sz val="9"/>
            <color indexed="81"/>
            <rFont val="Tahoma"/>
            <family val="2"/>
          </rPr>
          <t xml:space="preserve">550€: Recibo comunidad mayo
550€: Cargado Caixa: 12/05/25
------------------------------
</t>
        </r>
      </text>
    </comment>
    <comment ref="CU49" authorId="0" shapeId="0" xr:uid="{5DFCCC4B-89ED-4550-B3A0-52F3ED3CF20F}">
      <text>
        <r>
          <rPr>
            <sz val="9"/>
            <color indexed="81"/>
            <rFont val="Tahoma"/>
            <family val="2"/>
          </rPr>
          <t xml:space="preserve">550€: Recibo comunidad junio
550€: Cargado Caixa: 06/06/25
------------------------------
</t>
        </r>
      </text>
    </comment>
    <comment ref="CV49" authorId="0" shapeId="0" xr:uid="{2244053B-C0B3-4E5E-8483-868BF07EF654}">
      <text>
        <r>
          <rPr>
            <sz val="9"/>
            <color indexed="81"/>
            <rFont val="Tahoma"/>
            <family val="2"/>
          </rPr>
          <t xml:space="preserve">550€: Recibo comunidad julio
550€: Cargado Caixa: 11/07/25
------------------------------
145,53€: Recibo agua julio
Cargado Caixa: 11/07/25
</t>
        </r>
      </text>
    </comment>
    <comment ref="CW49" authorId="0" shapeId="0" xr:uid="{477520F2-46BA-4423-9054-D33E81107339}">
      <text>
        <r>
          <rPr>
            <sz val="9"/>
            <color indexed="81"/>
            <rFont val="Tahoma"/>
            <family val="2"/>
          </rPr>
          <t xml:space="preserve">550€: Recibo comunidad agosto
550€: Cargado Caixa: 06/08/25
------------------------------
</t>
        </r>
      </text>
    </comment>
    <comment ref="CY49" authorId="0" shapeId="0" xr:uid="{31DDBC83-25A9-4E27-AD72-91DED753683D}">
      <text>
        <r>
          <rPr>
            <sz val="9"/>
            <color indexed="81"/>
            <rFont val="Tahoma"/>
            <family val="2"/>
          </rPr>
          <t xml:space="preserve">550€: Recibo comunidad sept
550€: Cargado Caixa: 11/09/25
------------------------------
</t>
        </r>
      </text>
    </comment>
    <comment ref="CZ49" authorId="0" shapeId="0" xr:uid="{FFCFE024-25BE-4DF1-918C-67FD192F0F86}">
      <text>
        <r>
          <rPr>
            <sz val="9"/>
            <color indexed="81"/>
            <rFont val="Tahoma"/>
            <family val="2"/>
          </rPr>
          <t xml:space="preserve">550€: Recibo comunidad octubre
550€: Cargado Caixa: 07/10/25
------------------------------
72,18€: Recibo agua octubre
Cargado Caixa: 07/10/25
</t>
        </r>
      </text>
    </comment>
    <comment ref="DA49" authorId="0" shapeId="0" xr:uid="{F8389039-2D03-4210-BD6E-FE1783F525CA}">
      <text>
        <r>
          <rPr>
            <sz val="9"/>
            <color indexed="81"/>
            <rFont val="Tahoma"/>
            <family val="2"/>
          </rPr>
          <t xml:space="preserve">550€: Recibo comunidad noviembre
550€: Cargado Caixa: 12/11/25
------------------------------
</t>
        </r>
      </text>
    </comment>
    <comment ref="DB49" authorId="0" shapeId="0" xr:uid="{083E4CBC-5334-4EF4-90D4-65126069F7CC}">
      <text>
        <r>
          <rPr>
            <sz val="9"/>
            <color indexed="81"/>
            <rFont val="Tahoma"/>
            <family val="2"/>
          </rPr>
          <t xml:space="preserve">550€: Recibo comunidad diciembre
550€: Cargado Caixa: 08/12/25
------------------------------
</t>
        </r>
      </text>
    </comment>
    <comment ref="DC49" authorId="0" shapeId="0" xr:uid="{A3975E10-0C2A-4028-9EE7-69450ABEDC2C}">
      <text>
        <r>
          <rPr>
            <sz val="9"/>
            <color indexed="81"/>
            <rFont val="Tahoma"/>
            <family val="2"/>
          </rPr>
          <t xml:space="preserve">550€: Recibo comunidad enero
550€: Cargado Caixa: 13/01/26
------------------------------
150,50€: Recibo agua enero
Cargado Caixa: 13/01/25
</t>
        </r>
      </text>
    </comment>
    <comment ref="DD49" authorId="0" shapeId="0" xr:uid="{FEA53538-4BF3-460A-A16D-563BF331C31E}">
      <text>
        <r>
          <rPr>
            <sz val="9"/>
            <color indexed="81"/>
            <rFont val="Tahoma"/>
            <family val="2"/>
          </rPr>
          <t xml:space="preserve">550€: Recibo comunidad febrero
550€: Cargado Caixa: 06/02/26
------------------------------
</t>
        </r>
      </text>
    </comment>
    <comment ref="DE49" authorId="0" shapeId="0" xr:uid="{2D58208D-CED6-49BB-BB67-A87C40E6BA9E}">
      <text>
        <r>
          <rPr>
            <sz val="9"/>
            <color indexed="81"/>
            <rFont val="Tahoma"/>
            <family val="2"/>
          </rPr>
          <t xml:space="preserve">550€: Recibo comunidad marzo
550€: Cargado Caixa: 02/03/26
------------------------------
</t>
        </r>
      </text>
    </comment>
    <comment ref="DF49" authorId="0" shapeId="0" xr:uid="{D114B36A-3EF3-4A56-AEDB-BB971B3625C8}">
      <text>
        <r>
          <rPr>
            <sz val="9"/>
            <color indexed="81"/>
            <rFont val="Tahoma"/>
            <family val="2"/>
          </rPr>
          <t xml:space="preserve">550€: Recibo comunidad abril
550€: Cargado Caixa: 02/04/26
------------------------------
157,68€: Recibo agua abril
Cargado Caixa: 02/04/25
</t>
        </r>
      </text>
    </comment>
    <comment ref="DG49" authorId="0" shapeId="0" xr:uid="{F29AA836-C154-4A49-BDE2-5826559BD49E}">
      <text>
        <r>
          <rPr>
            <sz val="9"/>
            <color indexed="81"/>
            <rFont val="Tahoma"/>
            <family val="2"/>
          </rPr>
          <t xml:space="preserve">550€: Recibo comunidad mayo
550€: Cargado Caixa: 04/05/26
------------------------------
</t>
        </r>
      </text>
    </comment>
    <comment ref="DF50" authorId="0" shapeId="0" xr:uid="{9974CE72-B6F6-4BB3-A8B3-5DDAB122FF36}">
      <text>
        <r>
          <rPr>
            <sz val="9"/>
            <color indexed="81"/>
            <rFont val="Tahoma"/>
            <family val="2"/>
          </rPr>
          <t xml:space="preserve">100€: Recibo comunidad abril
100€: Cargado Caixa: 08/04/26
------------------------------
</t>
        </r>
      </text>
    </comment>
    <comment ref="DG50" authorId="0" shapeId="0" xr:uid="{865F00C5-E8D1-4ECA-B263-8A36BD51EC60}">
      <text>
        <r>
          <rPr>
            <sz val="9"/>
            <color indexed="81"/>
            <rFont val="Tahoma"/>
            <family val="2"/>
          </rPr>
          <t xml:space="preserve">91,99€: Recibo comunidad mayo
91,99€: Cargado Caixa: 04/05/26
------------------------------
</t>
        </r>
      </text>
    </comment>
    <comment ref="BF51" authorId="0" shapeId="0" xr:uid="{24960980-4D4D-40E2-AB6D-31A8EF52F545}">
      <text>
        <r>
          <rPr>
            <sz val="9"/>
            <color indexed="81"/>
            <rFont val="Tahoma"/>
            <family val="2"/>
          </rPr>
          <t>237,46€: Fra del 23/03/22
Periodo del 04 al 28/02/22
Cargado en caixa: 01/04/22</t>
        </r>
      </text>
    </comment>
    <comment ref="BG51" authorId="0" shapeId="0" xr:uid="{B4B8DCBC-8368-42CE-B482-D66594B4A7AD}">
      <text>
        <r>
          <rPr>
            <sz val="9"/>
            <color indexed="81"/>
            <rFont val="Tahoma"/>
            <family val="2"/>
          </rPr>
          <t>352,10€: Fra del 27/04/22
Periodo del 01 al 31/03/22
Cargado en caixa: 03/05/22</t>
        </r>
      </text>
    </comment>
    <comment ref="BH51" authorId="0" shapeId="0" xr:uid="{DE1E5EA7-C0A1-45B6-961C-C757D133D8FA}">
      <text>
        <r>
          <rPr>
            <sz val="9"/>
            <color indexed="81"/>
            <rFont val="Tahoma"/>
            <family val="2"/>
          </rPr>
          <t>192,84€: Fra del 26/05/22
Periodo del 01 al 30/04/22
Cargado en caixa: 10/06/22
----------------------------
326,17€: Fra del 14/06/22
Periodo del 01 al 31/05/22
Cargado en caixa: 23/06/22</t>
        </r>
      </text>
    </comment>
    <comment ref="BL51" authorId="1" shapeId="0" xr:uid="{E451B83F-B81F-4B23-9844-AA5349029068}">
      <text>
        <r>
          <rPr>
            <sz val="9"/>
            <color indexed="81"/>
            <rFont val="Tahoma"/>
            <family val="2"/>
          </rPr>
          <t>528,55€: Fra del 23/08/22
Periodo del 01 al 30/06/22
Cargado en caixa: 01/09/22.</t>
        </r>
      </text>
    </comment>
    <comment ref="BM51" authorId="1" shapeId="0" xr:uid="{B5A1A1FB-7FD9-40AA-9682-DA468C921D71}">
      <text>
        <r>
          <rPr>
            <sz val="9"/>
            <color indexed="81"/>
            <rFont val="Tahoma"/>
            <family val="2"/>
          </rPr>
          <t>58,42€: Fra del 03/10/22
Periodo del 01 al 31/08/22
Cargado en caixa: 10/10/22
---------------------------------
66,16€: Fra del 13/10/22
Periodo del 01 al 30/09/22
Cargado en caixa: 19/10/22</t>
        </r>
      </text>
    </comment>
    <comment ref="BN51" authorId="1" shapeId="0" xr:uid="{E36DDA12-8E70-4132-A785-89211D7DEBD5}">
      <text>
        <r>
          <rPr>
            <sz val="9"/>
            <color indexed="81"/>
            <rFont val="Tahoma"/>
            <family val="2"/>
          </rPr>
          <t>65,44€: Fra del 15/11/22
Periodo del 01 al 31/10/22
Cargado en caixa: 22/11/22
---------------------------------
413,53€: Fra del 15/11/22
Periodo del 01 al 31/07/22
Cargado en caixa: 22/11/22</t>
        </r>
      </text>
    </comment>
    <comment ref="BO51" authorId="1" shapeId="0" xr:uid="{4AC870FE-C1E2-4415-B416-BA1AD12D795E}">
      <text>
        <r>
          <rPr>
            <sz val="9"/>
            <color indexed="81"/>
            <rFont val="Tahoma"/>
            <family val="2"/>
          </rPr>
          <t xml:space="preserve">59,13€: Fra del 12/12/22
Periodo del 01 al 30/11/22
Cargado en caixa: 19/12/22
---------------------------------
</t>
        </r>
      </text>
    </comment>
    <comment ref="BP51" authorId="1" shapeId="0" xr:uid="{CC8718C4-E1F0-40A2-90B6-E82D9B4C32E3}">
      <text>
        <r>
          <rPr>
            <sz val="9"/>
            <color indexed="81"/>
            <rFont val="Tahoma"/>
            <family val="2"/>
          </rPr>
          <t xml:space="preserve">70,20€: Fra del 16/01/23
Periodo del 01 al 31/12/22
Cargado en caixa: 24/01/23
-------------------
</t>
        </r>
      </text>
    </comment>
    <comment ref="BQ51" authorId="1" shapeId="0" xr:uid="{65D66F12-6B2C-4F37-B965-28D3E2F14A14}">
      <text>
        <r>
          <rPr>
            <sz val="9"/>
            <color indexed="81"/>
            <rFont val="Tahoma"/>
            <family val="2"/>
          </rPr>
          <t xml:space="preserve">61,35€: Fra del 07/02/23
Periodo del 01 al 31/01/23
Cargado en caixa: 13/02/23
-------------------
</t>
        </r>
      </text>
    </comment>
    <comment ref="BR51" authorId="1" shapeId="0" xr:uid="{8C2DD4B3-49B9-4A94-A77D-BB5C503AE9C8}">
      <text>
        <r>
          <rPr>
            <sz val="9"/>
            <color indexed="81"/>
            <rFont val="Tahoma"/>
            <family val="2"/>
          </rPr>
          <t xml:space="preserve">54,12€: Fra del 07/03/23
Periodo del 01 al 28/02/23
Cargado en caixa: 16/03/23
-------------------
</t>
        </r>
      </text>
    </comment>
    <comment ref="BT51" authorId="0" shapeId="0" xr:uid="{4CAD155D-CCB4-49FA-9909-4EA3D73E1C63}">
      <text>
        <r>
          <rPr>
            <sz val="9"/>
            <color indexed="81"/>
            <rFont val="Tahoma"/>
            <family val="2"/>
          </rPr>
          <t>57,37€: Fra del 26/04/23
Periodo del 01 al 31/03/23
Cargado en caixa: 03/05/23</t>
        </r>
        <r>
          <rPr>
            <b/>
            <sz val="9"/>
            <color indexed="81"/>
            <rFont val="Tahoma"/>
            <family val="2"/>
          </rPr>
          <t xml:space="preserve">
-------------------</t>
        </r>
        <r>
          <rPr>
            <sz val="9"/>
            <color indexed="81"/>
            <rFont val="Tahoma"/>
            <family val="2"/>
          </rPr>
          <t xml:space="preserve">
57,60€: Fra del 09/05/23
Periodo del 01 al 30/04/23
Cargado en caixa: 16/05/23</t>
        </r>
      </text>
    </comment>
    <comment ref="BU51" authorId="0" shapeId="0" xr:uid="{D1074399-52B6-4008-80AE-652B09C2748C}">
      <text>
        <r>
          <rPr>
            <sz val="9"/>
            <color indexed="81"/>
            <rFont val="Tahoma"/>
            <family val="2"/>
          </rPr>
          <t>182,97€: Fra GAS del 06/06/23
Periodo del 12 al 25/05/23
Cargado en caixa: 13/06/23</t>
        </r>
        <r>
          <rPr>
            <b/>
            <sz val="9"/>
            <color indexed="81"/>
            <rFont val="Tahoma"/>
            <family val="2"/>
          </rPr>
          <t xml:space="preserve">
-------------------</t>
        </r>
        <r>
          <rPr>
            <sz val="9"/>
            <color indexed="81"/>
            <rFont val="Tahoma"/>
            <family val="2"/>
          </rPr>
          <t xml:space="preserve">
64,09€: Fra del 15/06/23
Periodo del 01 al 31/05/23
Cargado en caixa: 22/06/23</t>
        </r>
      </text>
    </comment>
    <comment ref="BV51" authorId="0" shapeId="0" xr:uid="{183C3D17-7D66-4CF8-9B0D-75825F0F7206}">
      <text>
        <r>
          <rPr>
            <sz val="9"/>
            <color indexed="81"/>
            <rFont val="Tahoma"/>
            <family val="2"/>
          </rPr>
          <t>231,42€: Fra del 06/07/23
Periodo del 01 al 30/06/23
Cargado en caixa: 12/07/23</t>
        </r>
      </text>
    </comment>
    <comment ref="BW51" authorId="0" shapeId="0" xr:uid="{8052BC97-CB49-4E5B-968E-3BC7BDB17B72}">
      <text>
        <r>
          <rPr>
            <sz val="9"/>
            <color indexed="81"/>
            <rFont val="Tahoma"/>
            <family val="2"/>
          </rPr>
          <t>35,43€: Fra GAS del 04/08/23
Periodo del 26/05 al 24/07/23
Cargado en caixa: 10/08/23</t>
        </r>
        <r>
          <rPr>
            <b/>
            <sz val="9"/>
            <color indexed="81"/>
            <rFont val="Tahoma"/>
            <family val="2"/>
          </rPr>
          <t xml:space="preserve">
-------------------</t>
        </r>
        <r>
          <rPr>
            <sz val="9"/>
            <color indexed="81"/>
            <rFont val="Tahoma"/>
            <family val="2"/>
          </rPr>
          <t xml:space="preserve">
186,98€: Fra del 09/08/23
Periodo del 01 al 31/07/23
Cargado en caixa: 16/08/23</t>
        </r>
      </text>
    </comment>
    <comment ref="BY51" authorId="0" shapeId="0" xr:uid="{37EE6D7C-5D39-4B53-9D11-BADB29C10C3A}">
      <text>
        <r>
          <rPr>
            <sz val="9"/>
            <color indexed="81"/>
            <rFont val="Tahoma"/>
            <family val="2"/>
          </rPr>
          <t>86,71 E: Fra del 07/09/23
Periodo del 01 al 31/08/23
Cargado en caixa: 15/09/23</t>
        </r>
      </text>
    </comment>
    <comment ref="BZ51" authorId="0" shapeId="0" xr:uid="{38FBA059-F49D-410C-A64B-B0BCBCEB0F1B}">
      <text>
        <r>
          <rPr>
            <sz val="9"/>
            <color indexed="81"/>
            <rFont val="Tahoma"/>
            <family val="2"/>
          </rPr>
          <t>33,51€: Fra GAS del 27/09/23
Periodo del 25/07 al 25/09/23
Cargado en caixa: 10/10/23</t>
        </r>
        <r>
          <rPr>
            <b/>
            <sz val="9"/>
            <color indexed="81"/>
            <rFont val="Tahoma"/>
            <family val="2"/>
          </rPr>
          <t xml:space="preserve">
-------------------</t>
        </r>
        <r>
          <rPr>
            <sz val="9"/>
            <color indexed="81"/>
            <rFont val="Tahoma"/>
            <family val="2"/>
          </rPr>
          <t xml:space="preserve">
132,46€: Fra del 13/10/23
Periodo del 01 al 30/09/23
Cargado en caixa: 18/10/23</t>
        </r>
      </text>
    </comment>
    <comment ref="CA51" authorId="0" shapeId="0" xr:uid="{E4E46763-4CEE-4212-88C0-BD543939974B}">
      <text>
        <r>
          <rPr>
            <sz val="9"/>
            <color indexed="81"/>
            <rFont val="Tahoma"/>
            <family val="2"/>
          </rPr>
          <t>126,42€: Fra del 07/11/23
Periodo del 01 al 31/10/23
Cargado en caixa: 21/11/23</t>
        </r>
      </text>
    </comment>
    <comment ref="CB51" authorId="0" shapeId="0" xr:uid="{0520ADFD-1F7D-4221-BEA3-D8AA627532F1}">
      <text>
        <r>
          <rPr>
            <sz val="9"/>
            <color indexed="81"/>
            <rFont val="Tahoma"/>
            <family val="2"/>
          </rPr>
          <t>51,26€: Fra GAS del 04/12/23
Periodo del 26/09 al 27/11/23
Cargado en caixa: 13/12/23
-------------------
93,94€: Fra del 12/12/23
Periodo del 01 al 30/11/23
Cargado en caixa: 19/12/23</t>
        </r>
      </text>
    </comment>
    <comment ref="CC51" authorId="0" shapeId="0" xr:uid="{619F354C-0C9D-4BB8-BA7D-730098B2C99C}">
      <text>
        <r>
          <rPr>
            <sz val="9"/>
            <color indexed="81"/>
            <rFont val="Tahoma"/>
            <family val="2"/>
          </rPr>
          <t>92,69€: Fra del 05/01/24
Periodo del 01 al 31/12/23
Cargado en caixa: 11/01/24</t>
        </r>
      </text>
    </comment>
    <comment ref="CD51" authorId="0" shapeId="0" xr:uid="{0A453280-25A7-4744-9DA0-CA2E74E03789}">
      <text>
        <r>
          <rPr>
            <sz val="9"/>
            <color indexed="81"/>
            <rFont val="Tahoma"/>
            <family val="2"/>
          </rPr>
          <t>51,43€: Fra GAS del 05/02/24
Periodo del 28/11 al 26/01/24
Cargado en caixa: 16/02/24
-------------------
105,79€: Fra del 07/02/24
Periodo del 01 al 31/01/24
Cargado en caixa: 16/02/24</t>
        </r>
      </text>
    </comment>
    <comment ref="CE51" authorId="0" shapeId="0" xr:uid="{7B5E22B0-BD0B-477B-978A-BB0B02FD1BFF}">
      <text>
        <r>
          <rPr>
            <sz val="9"/>
            <color indexed="81"/>
            <rFont val="Tahoma"/>
            <family val="2"/>
          </rPr>
          <t>76,10€: Fra del 11/03/24
Periodo del 01 al 29/02/24
Cargado en caixa: 21/03/24</t>
        </r>
      </text>
    </comment>
    <comment ref="CF51" authorId="0" shapeId="0" xr:uid="{C1479F3F-590D-4E5D-8E56-331DF5D52D60}">
      <text>
        <r>
          <rPr>
            <sz val="9"/>
            <color indexed="81"/>
            <rFont val="Tahoma"/>
            <family val="2"/>
          </rPr>
          <t>470,29€: Fra GAS del 02/04/24
Periodo del 27/01 al 26/03/24
Cargado en caixa: 09/04/24
-------------------
69,25€: Fra del 05/04/24
Periodo del 01 al 31/03/24
Cargado en caixa: 11/04/24</t>
        </r>
      </text>
    </comment>
    <comment ref="CG51" authorId="0" shapeId="0" xr:uid="{2486A836-561C-41A8-A986-B415AB44A47E}">
      <text>
        <r>
          <rPr>
            <sz val="9"/>
            <color indexed="81"/>
            <rFont val="Tahoma"/>
            <family val="2"/>
          </rPr>
          <t>60,75€: Fra del 14/05/24
Periodo del 01 al 30/04/24
Cargado en caixa: 20/05/24</t>
        </r>
      </text>
    </comment>
    <comment ref="CH51" authorId="0" shapeId="0" xr:uid="{55D3077C-7E78-44F0-8E58-FA09EB35BF3F}">
      <text>
        <r>
          <rPr>
            <sz val="9"/>
            <color indexed="81"/>
            <rFont val="Tahoma"/>
            <family val="2"/>
          </rPr>
          <t>73,28€: Fra GAS del 04/06/24
Periodo del 27/03 al 24/05/24
Cargado en caixa: 11/06/24
-------------------
84,87€: Fra del 11/06/24
Periodo del 01 al 31/05/24
Cargado en caixa: 18/06/24</t>
        </r>
      </text>
    </comment>
    <comment ref="CI51" authorId="0" shapeId="0" xr:uid="{45B437BA-CE06-484F-A09B-E088C53D0940}">
      <text>
        <r>
          <rPr>
            <sz val="9"/>
            <color indexed="81"/>
            <rFont val="Tahoma"/>
            <family val="2"/>
          </rPr>
          <t>99,39€: Fra del 04/07/24
Periodo del 01 al 30/06/24
Cargado en caixa: 10/07/24</t>
        </r>
      </text>
    </comment>
    <comment ref="CJ51" authorId="0" shapeId="0" xr:uid="{6D7FA528-B50F-4898-B9DD-B6FA48993F6C}">
      <text>
        <r>
          <rPr>
            <sz val="9"/>
            <color indexed="81"/>
            <rFont val="Tahoma"/>
            <family val="2"/>
          </rPr>
          <t>29,51€: Fra GAS del 02/08/24
Periodo del 25/05 al 25/07/24
Cargado en caixa: 12/08/24
-------------------
170,77€: Fra del 09/08/24
Periodo del 01 al 31/07/24
Cargado en caixa: 20/08/24</t>
        </r>
      </text>
    </comment>
    <comment ref="CL51" authorId="0" shapeId="0" xr:uid="{B1ECD009-A7BD-4C26-8000-C9A18B6A7420}">
      <text>
        <r>
          <rPr>
            <sz val="9"/>
            <color indexed="81"/>
            <rFont val="Tahoma"/>
            <family val="2"/>
          </rPr>
          <t>93,53€: Fra del 
Periodo del 01 al 31/08/24
Cargado en caixa: 13/09/24</t>
        </r>
      </text>
    </comment>
    <comment ref="CM51" authorId="0" shapeId="0" xr:uid="{7A2ADAFF-4C11-44BD-8D19-466D24FA2489}">
      <text>
        <r>
          <rPr>
            <sz val="9"/>
            <color indexed="81"/>
            <rFont val="Tahoma"/>
            <family val="2"/>
          </rPr>
          <t>31,88€: Fra GAS del 07/10/24
Periodo del 26/07 al 26/09/24
Cargado en caixa: 15/10/24
-------------------
105,90€: Fra del 04/10/24
Periodo del 01 al 30/09/24
Cargado en caixa: 15/10/24</t>
        </r>
      </text>
    </comment>
    <comment ref="CN51" authorId="0" shapeId="0" xr:uid="{BCB3E182-CC1D-4C0A-81E3-91D5F5D5A2F8}">
      <text>
        <r>
          <rPr>
            <sz val="9"/>
            <color indexed="81"/>
            <rFont val="Tahoma"/>
            <family val="2"/>
          </rPr>
          <t>95,13€: Fra del 11/11/24
Periodo del 01 al 31/10/24
Cargado en caixa: 20/11/24</t>
        </r>
      </text>
    </comment>
    <comment ref="CO51" authorId="0" shapeId="0" xr:uid="{74446DC0-1F1E-4CEA-97DF-3A7718C1B3EE}">
      <text>
        <r>
          <rPr>
            <sz val="9"/>
            <color indexed="81"/>
            <rFont val="Tahoma"/>
            <family val="2"/>
          </rPr>
          <t>33,53€: Fra GAS del 04/12/24
Periodo del 27/09 al 25/11/24
Cargado en caixa: 11/12/24
-------------------
101,66€: Fra del 05/12/24
Periodo del 01 al 30/11/24
Cargado en caixa: 17/12/24</t>
        </r>
      </text>
    </comment>
    <comment ref="CP51" authorId="0" shapeId="0" xr:uid="{F1AC81FB-A762-4071-AD8E-0BE1A9D1F598}">
      <text>
        <r>
          <rPr>
            <sz val="9"/>
            <color indexed="81"/>
            <rFont val="Tahoma"/>
            <family val="2"/>
          </rPr>
          <t>95,34€: Fra del 13/01/25
Periodo del 01 al 31/12/24
Cargado en caixa: 23/01/25</t>
        </r>
      </text>
    </comment>
    <comment ref="CQ51" authorId="0" shapeId="0" xr:uid="{E1E69D57-AA71-4B1C-9F73-A80244F35ED7}">
      <text>
        <r>
          <rPr>
            <sz val="9"/>
            <color indexed="81"/>
            <rFont val="Tahoma"/>
            <family val="2"/>
          </rPr>
          <t>269,23€: Fra GAS del 30/01/25
Periodo del 26/11 al 27/01/25
Cargado en caixa: 05/02/25
-------------------
113,10€: Fra del 07/02/25
Periodo del 01 al 31/01/25
Cargado en caixa: 20/02/25</t>
        </r>
      </text>
    </comment>
    <comment ref="CR51" authorId="0" shapeId="0" xr:uid="{E535D674-59B8-4136-BD7D-769B591C92EE}">
      <text>
        <r>
          <rPr>
            <sz val="9"/>
            <color indexed="81"/>
            <rFont val="Tahoma"/>
            <family val="2"/>
          </rPr>
          <t>100,74€: Fra del 06/03/25
Periodo del 01 al 28/02/25
Cargado en caixa: 12/03/25</t>
        </r>
      </text>
    </comment>
    <comment ref="CS51" authorId="0" shapeId="0" xr:uid="{637E332C-E29F-46CB-9244-B2CF10A326B9}">
      <text>
        <r>
          <rPr>
            <sz val="9"/>
            <color indexed="81"/>
            <rFont val="Tahoma"/>
            <family val="2"/>
          </rPr>
          <t>136,50€: Fra GAS del 01/04/25
Periodo del 28/01 al 26/03/25
Cargado en caixa: 08/04/25
-------------------
89,09€: Fra del 07/04/25
Periodo del 01 al 31/03/25
Cargado en caixa: 15/04/25</t>
        </r>
      </text>
    </comment>
    <comment ref="CU51" authorId="0" shapeId="0" xr:uid="{D00A12E8-318A-47B5-8CE1-274031A056EA}">
      <text>
        <r>
          <rPr>
            <sz val="9"/>
            <color indexed="81"/>
            <rFont val="Tahoma"/>
            <family val="2"/>
          </rPr>
          <t>35,39€: Fra GAS del 28/05/25
Periodo del 26/03 al 22/05/25
Cargado en caixa: 06/06/25
-------------------
66,09€: Fra del 26/05/25
Periodo del 01 al 30/04/25
Cargado en caixa: 02/06/25
-------------------
94,97€: Fra del 09/06/25
Periodo del 01 al 31/05/25
Cargado en caixa: 17/06/25</t>
        </r>
      </text>
    </comment>
    <comment ref="CV51" authorId="0" shapeId="0" xr:uid="{5B947133-3258-49B3-8910-1892329E97BC}">
      <text>
        <r>
          <rPr>
            <sz val="9"/>
            <color indexed="81"/>
            <rFont val="Tahoma"/>
            <family val="2"/>
          </rPr>
          <t>200,18€: Fra del 08/07/25
Periodo del 01 al 30/06/25
Cargado en caixa: 16/07/25</t>
        </r>
      </text>
    </comment>
    <comment ref="CW51" authorId="0" shapeId="0" xr:uid="{B86B52F3-DA95-497D-A163-096F80785A16}">
      <text>
        <r>
          <rPr>
            <sz val="9"/>
            <color indexed="81"/>
            <rFont val="Tahoma"/>
            <family val="2"/>
          </rPr>
          <t>27,03€: Fra GAS del 01/08/25
Periodo del 23/05 al 28/07/25
Cargado en caixa: 13/08/25
-------------------
199,30€: Fra del 08/08/25
Periodo del 01 al 31/07/25
Cargado en caixa: 20/08/25</t>
        </r>
      </text>
    </comment>
    <comment ref="CY51" authorId="0" shapeId="0" xr:uid="{2C6AA0C2-C8C1-4226-A11B-AD103A26A652}">
      <text>
        <r>
          <rPr>
            <sz val="9"/>
            <color indexed="81"/>
            <rFont val="Tahoma"/>
            <family val="2"/>
          </rPr>
          <t>76,87€: Fra del 04/09/25
Periodo del 01 al 31/08/25
Cargado en caixa: 15/09/25</t>
        </r>
      </text>
    </comment>
    <comment ref="CZ51" authorId="0" shapeId="0" xr:uid="{E7E20365-D9E9-467E-AAEA-FA1DB7D1054A}">
      <text>
        <r>
          <rPr>
            <sz val="9"/>
            <color indexed="81"/>
            <rFont val="Tahoma"/>
            <family val="2"/>
          </rPr>
          <t>23,90€: Fra GAS del 03/10/25
Periodo del 29/07 al 25/09/25
Cargado en caixa: 14/10/25
-------------------
139,30€: Fra del 09/10/25
Periodo del 01 al 30/09/25
Cargado en caixa: 16/10/25</t>
        </r>
      </text>
    </comment>
    <comment ref="DA51" authorId="0" shapeId="0" xr:uid="{9789A466-11DC-45DB-8453-6307A45E823C}">
      <text>
        <r>
          <rPr>
            <sz val="9"/>
            <color indexed="81"/>
            <rFont val="Tahoma"/>
            <family val="2"/>
          </rPr>
          <t>101,18€: Fra del 06/11/25
Periodo del 01 al 31/10/25
Cargado en caixa: 17/11/25</t>
        </r>
      </text>
    </comment>
    <comment ref="DB51" authorId="0" shapeId="0" xr:uid="{52097840-20EE-4A83-A603-0BBC61E67671}">
      <text>
        <r>
          <rPr>
            <sz val="9"/>
            <color indexed="81"/>
            <rFont val="Tahoma"/>
            <family val="2"/>
          </rPr>
          <t>43,77€: Fra GAS del 03/12/25
Periodo del 26/09 al 26/11/25
Cargado en caixa: 11/12/25
-------------------
95,02€: Fra del 04/12/25
Periodo del 01 al 30/11/25
Cargado en caixa: 11/12/25</t>
        </r>
      </text>
    </comment>
    <comment ref="DC51" authorId="0" shapeId="0" xr:uid="{AB37B89F-4472-4947-8C8B-57DBAD6E309A}">
      <text>
        <r>
          <rPr>
            <sz val="9"/>
            <color indexed="81"/>
            <rFont val="Tahoma"/>
            <family val="2"/>
          </rPr>
          <t>101,47€: Fra del 09/01/26
Periodo del 01 al 31/12/25
Cargado en caixa: 29/01/26</t>
        </r>
      </text>
    </comment>
    <comment ref="DD51" authorId="0" shapeId="0" xr:uid="{B7853FAF-1E9D-40D7-9908-01796DD9EE83}">
      <text>
        <r>
          <rPr>
            <sz val="9"/>
            <color indexed="81"/>
            <rFont val="Tahoma"/>
            <family val="2"/>
          </rPr>
          <t>268,27€: Fra GAS del 03/02/26
Periodo del 27/11/25 al 27/01/26
Cargado en caixa: 10/02/26
-------------------
107,04€: Fra del 06/02/26
Periodo del 01 al 31/01/26
Cargado en caixa: 17/02/26</t>
        </r>
      </text>
    </comment>
    <comment ref="DE51" authorId="0" shapeId="0" xr:uid="{20F8C450-6686-47FF-BC5A-EC396609C915}">
      <text>
        <r>
          <rPr>
            <sz val="9"/>
            <color indexed="81"/>
            <rFont val="Tahoma"/>
            <family val="2"/>
          </rPr>
          <t>77,82€: Fra del 09/01/26
Periodo del 01 al 28/02/26
Cargado en caixa: 16/03/26</t>
        </r>
      </text>
    </comment>
    <comment ref="DF51" authorId="0" shapeId="0" xr:uid="{183CCDCA-91C1-4B96-A5F2-A9FC46FC6F3A}">
      <text>
        <r>
          <rPr>
            <sz val="9"/>
            <color indexed="81"/>
            <rFont val="Tahoma"/>
            <family val="2"/>
          </rPr>
          <t>118,55€: Fra GAS del 08/04/26
Periodo del 28/01/26 al 25/03/26
Cargado en caixa: 16/04/26
-------------------
92,44€: Fra del 15/04/26
Periodo del 01 al 31/03/26
Cargado en caixa: 23/04/26</t>
        </r>
      </text>
    </comment>
    <comment ref="DG51" authorId="0" shapeId="0" xr:uid="{04E99B98-4890-46DF-A1BB-50EEF9D87FE5}">
      <text>
        <r>
          <rPr>
            <sz val="9"/>
            <color indexed="81"/>
            <rFont val="Tahoma"/>
            <family val="2"/>
          </rPr>
          <t>76,67€: Fra del 07/05/26
Periodo del 01 al 30/04/26
Cargado en caixa: 14/05/26</t>
        </r>
      </text>
    </comment>
    <comment ref="BI52" authorId="0" shapeId="0" xr:uid="{F92759F3-A241-4D4F-BEF5-80FBC6E57ACA}">
      <text>
        <r>
          <rPr>
            <sz val="9"/>
            <color indexed="81"/>
            <rFont val="Tahoma"/>
            <family val="2"/>
          </rPr>
          <t xml:space="preserve">Mudanzas Rocio:
Fra Nº A 220816 (14/07/22):
3330€ Mudanza desde Las Canteras hasta Mazagon el 14/07/22
Transferencia Caixa realizada el 12/07/22.
-------------------------------
Mudanzas Lorenzada:
Fra Nº 22/307 (13/04/22):
2528,90€ Mudanza desde Republica Argentina hasta Las Canteras el 15 y 16/07/22
Transferencia Caixa realizada el 13/07/22.
----------------------
Golimp, S.L.
Fra Nº 082 (15/07/22):
319,44€: Limpieza
Transferencia Caixa realizada el 29/07/22.
</t>
        </r>
      </text>
    </comment>
    <comment ref="BJ52" authorId="0" shapeId="0" xr:uid="{A861149B-7655-4FA9-8B80-DC385838DA91}">
      <text>
        <r>
          <rPr>
            <sz val="9"/>
            <color indexed="81"/>
            <rFont val="Tahoma"/>
            <family val="2"/>
          </rPr>
          <t>100€: Licencia para cuba obra Rep. Argentina
Pagado con VISA ALF: 19/07/22
----------------------------------
39,50€: Licencia obra Rep. Argentina- Gerencia Urbanismo
Pagado con VISA ALF: 15/07/22</t>
        </r>
      </text>
    </comment>
    <comment ref="BL52" authorId="0" shapeId="0" xr:uid="{E4311D12-E332-40EA-962D-AFCCE33D6F97}">
      <text>
        <r>
          <rPr>
            <sz val="9"/>
            <color indexed="81"/>
            <rFont val="Tahoma"/>
            <family val="2"/>
          </rPr>
          <t>Alquiler vivienda Alberto sept 2022: 2.300,49€.
Transf. Caixa realizada el 29/09/22 por 2.300,79€.</t>
        </r>
      </text>
    </comment>
    <comment ref="BM52" authorId="0" shapeId="0" xr:uid="{B83B0604-E3B6-4072-9E1D-552ABB409A17}">
      <text>
        <r>
          <rPr>
            <sz val="9"/>
            <color indexed="81"/>
            <rFont val="Tahoma"/>
            <family val="2"/>
          </rPr>
          <t xml:space="preserve">Alquiler vivienda Alberto oct 2022: 2,127,38
Transf. Caixa por 2.300,79 realizada el 28/10/22
</t>
        </r>
      </text>
    </comment>
    <comment ref="BN52" authorId="0" shapeId="0" xr:uid="{3494031D-9532-4E1D-8107-D951788D18A8}">
      <text>
        <r>
          <rPr>
            <sz val="9"/>
            <color indexed="81"/>
            <rFont val="Tahoma"/>
            <family val="2"/>
          </rPr>
          <t>Alquiler vivienda Alberto nov 2022: 2137,23 €.
Realizar Transf. Caixa con las nóminas por 1963,52 que compensan las cantidades anteriores pagadas de más.
Transferencia Caixa realizada: 30/11/22</t>
        </r>
      </text>
    </comment>
    <comment ref="BO52" authorId="0" shapeId="0" xr:uid="{71948C3A-DDDF-4700-9CA8-12B7A2D2DE27}">
      <text>
        <r>
          <rPr>
            <sz val="9"/>
            <color indexed="81"/>
            <rFont val="Tahoma"/>
            <family val="2"/>
          </rPr>
          <t>Alquiler vivienda Alberto dic 2022: 2.136,19€.
Realizar Transf. Caixa con las nóminas
Transferencia Caixa realizada: 28/12/22</t>
        </r>
      </text>
    </comment>
    <comment ref="BP52" authorId="3" shapeId="0" xr:uid="{36CA9A96-3B99-479A-A1D3-2CCA9F96A6AF}">
      <text>
        <r>
          <rPr>
            <b/>
            <sz val="9"/>
            <color indexed="81"/>
            <rFont val="Tahoma"/>
            <family val="2"/>
          </rPr>
          <t>alfonso:</t>
        </r>
        <r>
          <rPr>
            <sz val="9"/>
            <color indexed="81"/>
            <rFont val="Tahoma"/>
            <family val="2"/>
          </rPr>
          <t xml:space="preserve">
Alquiler vivienda Alberto ene 2023
Transferencia Caixa realizada: 30/01/23</t>
        </r>
      </text>
    </comment>
    <comment ref="BQ52" authorId="3" shapeId="0" xr:uid="{FA6677D5-2E92-4E54-8B54-F0AB7AC8991B}">
      <text>
        <r>
          <rPr>
            <b/>
            <sz val="9"/>
            <color indexed="81"/>
            <rFont val="Tahoma"/>
            <family val="2"/>
          </rPr>
          <t>alfonso:</t>
        </r>
        <r>
          <rPr>
            <sz val="9"/>
            <color indexed="81"/>
            <rFont val="Tahoma"/>
            <family val="2"/>
          </rPr>
          <t xml:space="preserve">
Alquiler vivienda Alberto feb 2022
Transferencia realida el 27/02/23</t>
        </r>
      </text>
    </comment>
    <comment ref="BR52" authorId="3" shapeId="0" xr:uid="{3022E8D8-D282-47B8-BE37-A89863D6C0E9}">
      <text>
        <r>
          <rPr>
            <sz val="9"/>
            <color indexed="81"/>
            <rFont val="Tahoma"/>
            <family val="2"/>
          </rPr>
          <t>Alquiler alojamiento Alberto Mes de MARZO: 2.126,77€</t>
        </r>
      </text>
    </comment>
    <comment ref="BS52" authorId="3" shapeId="0" xr:uid="{B84DF803-C031-4B5A-B79A-6999A6F31831}">
      <text>
        <r>
          <rPr>
            <sz val="9"/>
            <color indexed="81"/>
            <rFont val="Tahoma"/>
            <family val="2"/>
          </rPr>
          <t>Alquiler alojamiento Alberto Mes de abril: 2.141,89€</t>
        </r>
      </text>
    </comment>
    <comment ref="BT52" authorId="0" shapeId="0" xr:uid="{5E824074-B348-4703-B77E-F4C38EFCA2EC}">
      <text>
        <r>
          <rPr>
            <b/>
            <sz val="9"/>
            <color indexed="81"/>
            <rFont val="Tahoma"/>
            <family val="2"/>
          </rPr>
          <t>Alfonso:</t>
        </r>
        <r>
          <rPr>
            <sz val="9"/>
            <color indexed="81"/>
            <rFont val="Tahoma"/>
            <family val="2"/>
          </rPr>
          <t xml:space="preserve">
Mudanza regreso a República Argentina
Mudanzas Lorenzada:
Fra Nº A 20230113 (12/05/23):
2746,70€ Mudanza desde Las Canteras hasta Republica Argentina.
Realizar transferencia Caixa: Antes del 24/05/23.
Transf. Caixa realizada el 23/05/23
----------------------
Alquiler alojamiento Alberto último Mes de mayo: 2.131,66€
Transferencia realizada el 29/05/23.</t>
        </r>
      </text>
    </comment>
    <comment ref="E54" authorId="2" shapeId="0" xr:uid="{7BE6B7BA-C129-4FD7-8ACE-CFBB41C76CAD}">
      <text>
        <r>
          <rPr>
            <b/>
            <sz val="9"/>
            <color indexed="81"/>
            <rFont val="Tahoma"/>
            <family val="2"/>
          </rPr>
          <t>Alberto:</t>
        </r>
        <r>
          <rPr>
            <sz val="9"/>
            <color indexed="81"/>
            <rFont val="Tahoma"/>
            <family val="2"/>
          </rPr>
          <t xml:space="preserve">
Instalacion estores + servicios conchita</t>
        </r>
      </text>
    </comment>
    <comment ref="R54" authorId="2" shapeId="0" xr:uid="{E43DD576-E2ED-4DD4-8CB2-7383EAFE797E}">
      <text>
        <r>
          <rPr>
            <b/>
            <sz val="9"/>
            <color indexed="81"/>
            <rFont val="Tahoma"/>
            <family val="2"/>
          </rPr>
          <t>Alberto:</t>
        </r>
        <r>
          <rPr>
            <sz val="9"/>
            <color indexed="81"/>
            <rFont val="Tahoma"/>
            <family val="2"/>
          </rPr>
          <t xml:space="preserve">
Islandia</t>
        </r>
      </text>
    </comment>
    <comment ref="S54" authorId="2" shapeId="0" xr:uid="{A55D1A02-510D-42AD-8D79-DEC0B1A5F7C8}">
      <text>
        <r>
          <rPr>
            <b/>
            <sz val="9"/>
            <color indexed="81"/>
            <rFont val="Tahoma"/>
            <family val="2"/>
          </rPr>
          <t>Alberto:</t>
        </r>
        <r>
          <rPr>
            <sz val="9"/>
            <color indexed="81"/>
            <rFont val="Tahoma"/>
            <family val="2"/>
          </rPr>
          <t xml:space="preserve">
Islandia</t>
        </r>
      </text>
    </comment>
    <comment ref="T54" authorId="2" shapeId="0" xr:uid="{79C6C379-0AA5-475E-B8B3-10083CDFF5B5}">
      <text>
        <r>
          <rPr>
            <b/>
            <sz val="9"/>
            <color indexed="81"/>
            <rFont val="Tahoma"/>
            <family val="2"/>
          </rPr>
          <t>Alberto:</t>
        </r>
        <r>
          <rPr>
            <sz val="9"/>
            <color indexed="81"/>
            <rFont val="Tahoma"/>
            <family val="2"/>
          </rPr>
          <t xml:space="preserve">
460 de Viking
1865,61 Jamones regalos</t>
        </r>
      </text>
    </comment>
    <comment ref="W54" authorId="4" shapeId="0" xr:uid="{BD1C5D13-9CAD-46BE-89BE-53F8B08D6F7B}">
      <text>
        <r>
          <rPr>
            <b/>
            <sz val="9"/>
            <color indexed="81"/>
            <rFont val="Tahoma"/>
            <family val="2"/>
          </rPr>
          <t>Alberto Carmona:</t>
        </r>
        <r>
          <rPr>
            <sz val="9"/>
            <color indexed="81"/>
            <rFont val="Tahoma"/>
            <family val="2"/>
          </rPr>
          <t xml:space="preserve">
370 viaje Bon Jovi
480 Claudia Debusa</t>
        </r>
      </text>
    </comment>
    <comment ref="Z54" authorId="3" shapeId="0" xr:uid="{A331CDAA-763B-488F-8D99-76462A171AE9}">
      <text>
        <r>
          <rPr>
            <b/>
            <sz val="8"/>
            <color indexed="81"/>
            <rFont val="Tahoma"/>
            <family val="2"/>
          </rPr>
          <t>PC componentes 26,18 
Copiur: 9,99+11,30+26,85
pasado factura a sinver en agosto, Efectivo pte liquidar a Alberto
63,85 pasado en Sinver con conta octubre. Comida molino en cuevas. Cargado 5/11</t>
        </r>
      </text>
    </comment>
    <comment ref="AA54" authorId="0" shapeId="0" xr:uid="{B9D36949-105C-4653-BECF-3927B6098981}">
      <text>
        <r>
          <rPr>
            <b/>
            <sz val="9"/>
            <color indexed="81"/>
            <rFont val="Tahoma"/>
            <family val="2"/>
          </rPr>
          <t>rosa:</t>
        </r>
        <r>
          <rPr>
            <sz val="9"/>
            <color indexed="81"/>
            <rFont val="Tahoma"/>
            <family val="2"/>
          </rPr>
          <t xml:space="preserve">
1705,55 E: Regalo jamones</t>
        </r>
      </text>
    </comment>
    <comment ref="AC54" authorId="0" shapeId="0" xr:uid="{1B611362-5FCE-4F0E-9529-409B679E09A4}">
      <text>
        <r>
          <rPr>
            <b/>
            <sz val="9"/>
            <color indexed="81"/>
            <rFont val="Tahoma"/>
            <family val="2"/>
          </rPr>
          <t>rosa:</t>
        </r>
        <r>
          <rPr>
            <sz val="9"/>
            <color indexed="81"/>
            <rFont val="Tahoma"/>
            <family val="2"/>
          </rPr>
          <t xml:space="preserve">
441,10 E: Regalo jamones
---------------------
60,50 E: Tarjetas de visita
-----------------------
-1,01 para ajustar tesorería</t>
        </r>
      </text>
    </comment>
    <comment ref="AD54" authorId="0" shapeId="0" xr:uid="{B3F44F85-7C1B-404A-87F7-D567836843A0}">
      <text>
        <r>
          <rPr>
            <b/>
            <sz val="9"/>
            <color indexed="81"/>
            <rFont val="Tahoma"/>
            <family val="2"/>
          </rPr>
          <t>rosa:</t>
        </r>
        <r>
          <rPr>
            <sz val="9"/>
            <color indexed="81"/>
            <rFont val="Tahoma"/>
            <family val="2"/>
          </rPr>
          <t xml:space="preserve">
685,43 E: Fras pndte de pasar a conta, solicitadas a Alberto</t>
        </r>
      </text>
    </comment>
    <comment ref="AG54" authorId="0" shapeId="0" xr:uid="{2449B92C-BBC3-4F82-9403-48DE33620C43}">
      <text>
        <r>
          <rPr>
            <b/>
            <sz val="9"/>
            <color indexed="81"/>
            <rFont val="Tahoma"/>
            <family val="2"/>
          </rPr>
          <t>rosa:</t>
        </r>
        <r>
          <rPr>
            <sz val="9"/>
            <color indexed="81"/>
            <rFont val="Tahoma"/>
            <family val="2"/>
          </rPr>
          <t xml:space="preserve">
240 E: SegurCaixa Móvil
</t>
        </r>
      </text>
    </comment>
    <comment ref="AH54" authorId="0" shapeId="0" xr:uid="{61A03D63-BF8C-4489-87A5-E26DA77DF64D}">
      <text>
        <r>
          <rPr>
            <b/>
            <sz val="9"/>
            <color indexed="81"/>
            <rFont val="Tahoma"/>
            <family val="2"/>
          </rPr>
          <t>rosa:</t>
        </r>
        <r>
          <rPr>
            <sz val="9"/>
            <color indexed="81"/>
            <rFont val="Tahoma"/>
            <family val="2"/>
          </rPr>
          <t xml:space="preserve">
64 E: Fra gasolina cargada por error en VISA a Alberto
10/07/20: OK Alberto contra cuenta de socio</t>
        </r>
      </text>
    </comment>
    <comment ref="AI54" authorId="0" shapeId="0" xr:uid="{BF8EC002-E383-468E-A92B-A66123519279}">
      <text>
        <r>
          <rPr>
            <b/>
            <sz val="9"/>
            <color indexed="81"/>
            <rFont val="Tahoma"/>
            <family val="2"/>
          </rPr>
          <t>0,15 E: Descuadre por decimales en Ebury</t>
        </r>
      </text>
    </comment>
    <comment ref="AJ54" authorId="0" shapeId="0" xr:uid="{68F5B045-003D-42A3-BD34-E357BD2A63B4}">
      <text>
        <r>
          <rPr>
            <b/>
            <sz val="9"/>
            <color indexed="81"/>
            <rFont val="Tahoma"/>
            <family val="2"/>
          </rPr>
          <t>rosa:</t>
        </r>
        <r>
          <rPr>
            <sz val="9"/>
            <color indexed="81"/>
            <rFont val="Tahoma"/>
            <family val="2"/>
          </rPr>
          <t xml:space="preserve">
236,11 E: Gastos VISA julio 2020
15/09/20: Solicitadas a Alfonso</t>
        </r>
      </text>
    </comment>
    <comment ref="AL54" authorId="3" shapeId="0" xr:uid="{12A84418-D51B-4E96-97C8-1F0AA696E52A}">
      <text>
        <r>
          <rPr>
            <b/>
            <sz val="9"/>
            <color indexed="81"/>
            <rFont val="Tahoma"/>
            <family val="2"/>
          </rPr>
          <t xml:space="preserve">PPTP KPMG </t>
        </r>
        <r>
          <rPr>
            <sz val="9"/>
            <color indexed="81"/>
            <rFont val="Tahoma"/>
            <family val="2"/>
          </rPr>
          <t>publicaciones fusión: 
-BORME (T. NORMAL): 385 € - SE PUBLICA EN 3-4 DIAS LABORABLES
-BORME (T. URGENTE): EL DOBLE – SE PUBLICA AL DIA SIGUIENTE
-DIARIO DE SEVILLA: 315 € -15% DTO
IVA no incluido
Fra pagada el 15/09/20
320 E: Gastos VISA agosto 2020
0,04 E: Descuadre por decimales en Ebury</t>
        </r>
      </text>
    </comment>
    <comment ref="AM54" authorId="0" shapeId="0" xr:uid="{8A2FCCFC-A8B0-4CB2-8CC1-9BAAED234C79}">
      <text>
        <r>
          <rPr>
            <b/>
            <sz val="9"/>
            <color indexed="81"/>
            <rFont val="Tahoma"/>
            <family val="2"/>
          </rPr>
          <t>0,33 E: Descuadre por decimales en Ebury</t>
        </r>
      </text>
    </comment>
    <comment ref="AP54" authorId="0" shapeId="0" xr:uid="{D5C87C8E-24CE-46EE-B62A-B091AEAA8B78}">
      <text>
        <r>
          <rPr>
            <sz val="9"/>
            <color indexed="81"/>
            <rFont val="Tahoma"/>
            <family val="2"/>
          </rPr>
          <t>38,99€: Samtek
Fra 579 A (29/12/20):
Servicios informáticos
Realizar transferencia 
Transferencia Caixa realizada el 07/01/21
-----------------------
238,98 E: Medicamentos MDZ (Test rápidos COVID para personal)
Fra del 22/12/20
Pagado con VISA Alberto de Nixal: 22/12/20
Cargado Caixa: 05/01/21
-------------------------
39,95 E: Cocopop macetas para reforestación, Cuenta: compra de materiales MDZ
Fra del 17/12/20
Pagado con VISA Alberto de Nixal: 17/12/20
Cargado Caixa: 05/01/21
--------------------------
106,48 E: Samtek
Fra: 53 A (22/01/21):
Ppto: 25 A (21/01/21):
Antivirus
Realizar transferencia 
Transferencia Caixa realizada el 22/01/21
-------------------------
238,98 E: Medicamentos MDZ (Test rápidos COVID para personal)
Fra del 30/12/20
Pagado con VISA Alberto de Nixal: 30/12/20
Cargado Caixa: 05/01/21
-------------------------------
459,57 E: Fra del 29/12/2020- Gasto Nixal, partida compras contra una 629 de gastos varios y concepto “comida navidad empresa”, analítica GRALES.
Pagado con VISA Alberto de Nixal: 29/12/20
Cargado Caixa: 05/01/21
--------------------------
4,88 E: Suscripciones ESET- Compra realizada en diciembre. Texto: Servicios informáticos- Analítica GRALES. Pagada con tarjeta VISA de Alfonso de Nixal. Cargado en Caixa Cta Nixal el 05/01/2021.
----------------------------
1,72 E: Descuadre por decimales en Caixa USD</t>
        </r>
      </text>
    </comment>
    <comment ref="AQ54" authorId="3" shapeId="0" xr:uid="{F6D72C32-4B60-4356-8336-0CD288B45B05}">
      <text>
        <r>
          <rPr>
            <sz val="8"/>
            <color indexed="81"/>
            <rFont val="Tahoma"/>
            <family val="2"/>
          </rPr>
          <t>70,49 E: Pentinfor
Fra: CC/351  (04/02/21):
Contaplus
Domiciliación:05/02/21
Cargado Caixa: 08/02/21
-----------------------------------------
PC componentes 26,18 
Copiur: 9,99+11,30+26,85
pasado factura a sinver en agosto, Efectivo pte liquidar a Alberto
181,63€: Fra Endesa noviembre 2019
Efectivo pte liquidar a Alberto
53,25 eu pasado en Sinver con conta enero. Comida molino en cuevas. Efectivo pte liquidar a Alberto
219,43 eu: Fra Endesa enero 2020
Efectivo pte liquidar a Alberto
251,85 eu pasado en Sinver con conta marzo. Fra reparación vehículo. Efectivo pte liquidar a Alberto cuenta socios
374,47 eu pasado en Sinver con conta MAYO. Son gastos invitación Michel Mecus (ALCO) y familia del 28/02 al 02/03/20. Efectivo pte liquidar a Alberto
-64 E: Fra gasolina cargada por error en VISA a Alberto
10/07/20: OK Alberto contra cuenta de socio
Transferencia Caixa por el total 3.332,35 E realizada el 04/02/21
------------------------------------------------------------------
4,22 E: Correos
Fra del 28/01/21
Pagado con VISA Alfonso de Nixal: 28/01/21
Cargado Caixa: 05/02/21
--------------------------------------------------------------
988,50 E: Hotel 15/01/21 (Corptvo)
Nota de gastos Alberto enero 2021.
Pagado con VISA: 15/01/21
Cargado Caixa: 05/02/21
-------------------------------------------------------------
120 E: Unidad Editorial  (Corptvo)
Fra: 1SI2100004445 (18/02/21.
Pagado con VISA: 22/01/21
Cargado Caixa: 05/02/21
...........................................................................................</t>
        </r>
      </text>
    </comment>
    <comment ref="AR54" authorId="0" shapeId="0" xr:uid="{178C3E01-44B2-4B14-9B0A-22C38AD7E713}">
      <text>
        <r>
          <rPr>
            <sz val="9"/>
            <color indexed="81"/>
            <rFont val="Tahoma"/>
            <family val="2"/>
          </rPr>
          <t xml:space="preserve">70,49 E: Pentinfor
Fra: CC/592 (03/03/21):
Contaplus
Domiciliación:05/03/21
Cargado Caixa:
------------------------
7,90 E: Copyur
Fra del 15/02/21
Pagado con VISA Alberto de Nixal: 15/02/21
Cargado Caixa: 05/03/21
---------------------------
4,22 E: Correos
Fra del 05/02/21
Pagado con VISA Alfonso de Nixal: 05/02/21
Cargado Caixa: 05/03/21
-----------------------------
3,96 E: Correos
Fra del 02/02/21
Pagado con VISA Alfonso de Nixal: 02/02/21
Cargado Caixa: 05/03/21
-----------------------------
41,99 E: Nota de gastos Alberto febrero 2021 (pasado a Sinver con conta febrero). 
Gastos de transportes del 23/02/21. Pagado con VISA Alberto: 23/02/21
Cargado Caixa: 05/03/21
--------------------------------
10,08 E: Email pedido 23/02/21 (pasado a Sinver con conta febrero). 
Suscripción Mailchimp del 23/02/21. Pagado con VISA Alberto: 23/02/21
Cargado Caixa: 05/03/21
---------------------------------
187,68 E: Nota de gastos Alberto enero 2021 (pasado a Sinver con conta febrero). 
Gastos de transportes del 11 al 15/01/21. Efectivo pte liquidar a Alberto cuenta socios
Transf. Caixa realizada el 30/03/21
</t>
        </r>
      </text>
    </comment>
    <comment ref="AS54" authorId="0" shapeId="0" xr:uid="{643E8A02-61AF-4765-9D4E-D5A8EBCE2035}">
      <text>
        <r>
          <rPr>
            <sz val="9"/>
            <color indexed="81"/>
            <rFont val="Tahoma"/>
            <family val="2"/>
          </rPr>
          <t xml:space="preserve">70,49 E: Pentinfor
Fra: CC/866 (01/04/21):
Contaplus
Domiciliación:05/04/21
Cargado Caixa: 07/04/21.
------------------------
10,26 E: Suscripción Mailchimp del 23/02 al 22/03/21. Pagado con VISA Alberto: 05/04/21.
-----------------------------------------------
13,75 E: Copyur
Gasto de material de oficina de molino.
Fra del 29/03/21
Pagado con tarjeta de credito de Nixal:  29/03/21
Cargado en Caixa el 05/04/21.
----------------------------------------------------------------------------
294,40 E: Nota de gastos Alberto marzo 2021 (pasar a Sinver con cierre de Abril). 
Gastos de transportes y comida del 01 al 24/03/21.
Estos gastos pertencen a MDZ pero estan cargados en la VISA de Alberto de Nixal. 
128€ + 61,69€: Gastos de comida del 18 y 30/03/21. Efectivo pte liquidar a Alberto cuenta socios.
Pendiente de realizar transferencia por importe de 189,69€. 
Estos gastos pertencen a MDZ. 
----------------------------------------------------------------------------------------
81,10 Eur: DHL. 
Factura del 08/03/21 ya pasada a contabilidad. 
Pagado con de VISA Alfonso. 
Cargado en caixa: 05/04/21.
------------------------------------------------------------------------------------
38,34 E: Ticket de comida comercial Alfonso. 
Ticket del 22/03/21 ya pasado a contabilidad. 
Pagado con de VISA Alfonso. 
Cargado en caixa: 05/04/21.
-----------------------------------------------------------------------------------
0,01€: descuadre. 
</t>
        </r>
      </text>
    </comment>
    <comment ref="AT54" authorId="0" shapeId="0" xr:uid="{60A16034-9093-488B-AA9A-0F3E2478147B}">
      <text>
        <r>
          <rPr>
            <sz val="9"/>
            <color indexed="81"/>
            <rFont val="Tahoma"/>
            <family val="2"/>
          </rPr>
          <t xml:space="preserve">70,49 E: Pentinfor
Fra: CC/1085 (03/05/21):
Contaplus
Domiciliación:05/05/21
Cargado Caixa: 06/05/21.
----------------------------------------
128€ + 61,69€: Gastos de comida del 18 y 30/03/21. Vienen en la Nota de gastos de Marzo. Efectivo pte liquidar a Alberto cuenta socios.
Pendiente de realizar transferencia por importe de 189,69€. 
Estos gastos pertencen a MDZ. 
Transferencia realizada el 12/05/21. 
-----------------------------------------------------------
525,29 Eur: Nota de gastos Alberto abril 2021 (pasar a Sinver con cierre de mayo). 
Gastos de transportes y comidas del 01 al 30/04/21.
Estos gastos pertencen a MDZ pero estan cargados en la VISA de Alberto de Nixal. 
-----------------------------------------------------------------
</t>
        </r>
      </text>
    </comment>
    <comment ref="AU54" authorId="1" shapeId="0" xr:uid="{1057864F-036E-49F8-B9B7-C2D7DDF8F458}">
      <text>
        <r>
          <rPr>
            <sz val="9"/>
            <color indexed="81"/>
            <rFont val="Tahoma"/>
            <family val="2"/>
          </rPr>
          <t xml:space="preserve">154,76 E: Copyur
Gasto de material de oficina de Nixal. 
Fra del 17/05/21
Pagado con tarjeta de credito de Nixal:  17/05/21
Cargado en Caixa el 05/06/21.
----------------------------------------------
3,94 E: Copyur
Gasto de material de oficina de Nixal. 
Fra del 13/05/21
Pagado con tarjeta de credito de Nixal:  13/05/21
Cargado en Caixa el 05/06/21
-----------------------------------------------
70,49 E: Pentinfor
Fra: CC/1404 (01/06/21):
Contaplus
Cargado: 08/06/21.
------------------------------------------------
387,27 Eur: Pago facturas The Wall Street Journal a Alberto. 
Enviar a contabilidad con el cierre de junio todas las facturas. 
Transferencia realizada el 08/06/21. 
-------------------------------------------------------------
Anulado porque se ha anotado en su correspondiente celda.
2300 E: Info Alberto 25/11/20:
Certificado ISCC
La factura irá contra analítica Brokerage.
Anotado en dic 2020
---------------------------------------------------------------
488,40 Eur: Nota de gastos Alberto Mayo.
Gastos de transporte y comida. 
Cargado en la VISA el 05/06/21. 
---------------------------------------------------------
0,16 EUR descuadre
</t>
        </r>
      </text>
    </comment>
    <comment ref="AV54" authorId="1" shapeId="0" xr:uid="{B07AA61E-DC80-465A-871F-5A6BD44DC013}">
      <text>
        <r>
          <rPr>
            <b/>
            <sz val="9"/>
            <color indexed="81"/>
            <rFont val="Tahoma"/>
            <family val="2"/>
          </rPr>
          <t xml:space="preserve">
</t>
        </r>
        <r>
          <rPr>
            <sz val="9"/>
            <color indexed="81"/>
            <rFont val="Tahoma"/>
            <family val="2"/>
          </rPr>
          <t>275 Eur: Sevilla te mueve. 
Gastos de transporte de Alberto. 
Analitica: Corporativo. 
Transferencia realizada el 15-07-21.
----------------------------------------------------------------
6.500 Eur: Mivian promoción inmobiliaria. 
Gastos alquiler oficina Madrid. 
Transferncia realiada el 16/07/21.
Fra del 04/07/21.
-------------------------------------------------------------
1,21Eur: Ticket Parking pagado VISA Alfonso el 14/07/21.
------------------------------------------------------------
50.818,8€ gastos compra inmueble - esta aqui provisional, falta asignar a cada casillla.
--------------------------------------------------------------
7.625,51: Consolidación perdida por diferencia negativa de cambio. 
-----------------------------------------------------------
Cargo Tarjeta VISA Alberto y Alfonso: 666,09</t>
        </r>
      </text>
    </comment>
    <comment ref="AW54" authorId="1" shapeId="0" xr:uid="{D6FD62FD-22E6-4E0B-811F-BBB0E89E684F}">
      <text>
        <r>
          <rPr>
            <sz val="9"/>
            <color indexed="81"/>
            <rFont val="Tahoma"/>
            <family val="2"/>
          </rPr>
          <t xml:space="preserve">1.365,00 Eur: IVA Fra Mivian promoción inmobiliaria. 
Gastos alquiler oficina Madrid. 
Fra del 04/07/21.
Transferncia realizada el 30/08/21.
----------------------------------------------
620,30€: Gastos VISA Alberto y Alfonso mes de Julio.
Cargado: 05/08/21. 
Pendiente recibir nota de gastos de Julio. </t>
        </r>
      </text>
    </comment>
    <comment ref="AY54" authorId="0" shapeId="0" xr:uid="{949639CE-68C9-4B88-9AD3-1C81307FE282}">
      <text>
        <r>
          <rPr>
            <sz val="9"/>
            <color indexed="81"/>
            <rFont val="Tahoma"/>
            <family val="2"/>
          </rPr>
          <t>830,94€: Gastos VISA Alberto mes de Agosto.
627,65€: Gastos Nixal
203,29€: Gastos Molino
Cargado: 05/09/21. 
-0,01: Descuadre</t>
        </r>
      </text>
    </comment>
    <comment ref="AZ54" authorId="0" shapeId="0" xr:uid="{CD24D7AB-B11B-4740-8D0C-1E1040D8FD43}">
      <text>
        <r>
          <rPr>
            <sz val="9"/>
            <color indexed="81"/>
            <rFont val="Tahoma"/>
            <family val="2"/>
          </rPr>
          <t xml:space="preserve">336,94€: Gastos VISA Alberto mes Septiembre.
181,58€: Gastos Nixal
155,36€: Gastos Molino
Cargado: 05/10/21. 
--------------------------------
</t>
        </r>
      </text>
    </comment>
    <comment ref="BA54" authorId="0" shapeId="0" xr:uid="{BE43FE74-C7B6-4C9E-9FAA-034DE80FC325}">
      <text>
        <r>
          <rPr>
            <sz val="9"/>
            <color indexed="81"/>
            <rFont val="Tahoma"/>
            <family val="2"/>
          </rPr>
          <t>470,06€: Gastos VISA Alberto mes Octubre.
31,39€: Gastos Nixal
438,67€: Gastos Molino
Cargado: 05/11/21. 
--------------------------------
27,37€: Gasto Visa Alfonso mes octubre
Cargado: 05/11/21
---------------------------------
-425,49€: Devolución gastos gestión compraventa inmueble - esta aqui provisional, falta asignar a cada casillla.
Abonado BBVA: 23/11/21
---------------------------------
-0,01€: Descuadre</t>
        </r>
      </text>
    </comment>
    <comment ref="BB54" authorId="0" shapeId="0" xr:uid="{3CF5CF9A-584A-4E36-88DA-A9E764463F4A}">
      <text>
        <r>
          <rPr>
            <sz val="9"/>
            <color indexed="81"/>
            <rFont val="Tahoma"/>
            <family val="2"/>
          </rPr>
          <t>-438,67€: Devolución a Nixal de Gastos Molino de octubre que fueron cargados en Caixa Nixal el 05/11/21. 
-155,36€: Devolución a Nixal de Gastos Molino de septiembre que fueron cargados en Caixa Nixal el 05/10/21.
-203,29€: Devolución a Nixal de Gastos Molino de agosto que fueron cargados en Caixa Nixal el  05/09/21
-797,32€: Devolución a Nixal de Gastos Molino
Transferencia Caixa de compensacion de gastos por el total 4.793,42€ realizada el 28/12/21
------------------------------------------------
702,21€: Gastos VISA Alberto mes noviembre.
31,55€: Suscripción Bloomberg-Gastos Nixal
473,48€: Donación- CPTVO Nixal
197,18€: Gastos Molino pndte devolución a Nixal
Cargado: 05/12/21. 
----------------------------------------------
0,56€: Descuadre</t>
        </r>
      </text>
    </comment>
    <comment ref="BC54" authorId="0" shapeId="0" xr:uid="{3FFE9AFB-A6CC-40A5-B92B-2A27A07FBB14}">
      <text>
        <r>
          <rPr>
            <sz val="9"/>
            <color indexed="81"/>
            <rFont val="Tahoma"/>
            <family val="2"/>
          </rPr>
          <t xml:space="preserve">74,54€: Samtek
Fra: 1/000044 (17/01/22):
Ppto: 1/ 000011 (14/01/22):
Renovación 8 licencias Antivirus
Realizar transferencia 
Transferencia Caixa realizada el 17/01/22
---------------------------------------------------
439,11€: Pndte de pasar Alberto Gastos VISA Alberto mes diciembre.
Cargado: 05/01/22. </t>
        </r>
      </text>
    </comment>
    <comment ref="BD54" authorId="0" shapeId="0" xr:uid="{70174559-919A-482C-B691-1894FCE03235}">
      <text>
        <r>
          <rPr>
            <sz val="9"/>
            <color indexed="81"/>
            <rFont val="Tahoma"/>
            <family val="2"/>
          </rPr>
          <t xml:space="preserve">-197,18€: Devolución a Nixal de Gastos Molino de noviembre que fueron cargados en Caixa Nixal el  05/12/21
Transferencia Caixa de compensacion de gastos por el total 4.185,49€ realizada el 15/02/22
------------------------------------
499,83€: Pndte de pasar Alberto Gastos VISA Alberto mes enero.
Cargado: 05/02/22. </t>
        </r>
      </text>
    </comment>
    <comment ref="BE54" authorId="0" shapeId="0" xr:uid="{DCAD8C0E-0F57-4D49-B39D-021233B967E4}">
      <text>
        <r>
          <rPr>
            <sz val="9"/>
            <color indexed="81"/>
            <rFont val="Tahoma"/>
            <family val="2"/>
          </rPr>
          <t>4547,58€: Pndte de pasar Alberto Gastos VISA Alberto mes febrero.
Cargado: 05/03/22</t>
        </r>
      </text>
    </comment>
    <comment ref="BF54" authorId="0" shapeId="0" xr:uid="{1BEDEE2B-8C3A-48F0-84DD-84577E13C255}">
      <text>
        <r>
          <rPr>
            <sz val="9"/>
            <color indexed="81"/>
            <rFont val="Tahoma"/>
            <family val="2"/>
          </rPr>
          <t xml:space="preserve">
3133,29€: Pndte de pasar Alberto Gastos VISA Alberto mes marzo.
Cargado: 05/04/22</t>
        </r>
      </text>
    </comment>
    <comment ref="BG54" authorId="0" shapeId="0" xr:uid="{B7FCC677-98F3-4DF9-9C89-06EEDC5F80B7}">
      <text>
        <r>
          <rPr>
            <sz val="9"/>
            <color indexed="81"/>
            <rFont val="Tahoma"/>
            <family val="2"/>
          </rPr>
          <t>José Olivares:
Fra Nº 564 (24/05/22):
432,73€ Alquiler de menaje para evento jornadas comerciales 22/05
Transferencia Caixa realizada el 31/05/22
-------------------------------
Playgrup: 
Fra Nº 22040 (18/05/22):
423,50€: Servicio de animación para jornadas comerciales 22/05
Transferencia Caixa realizada el 31/05/22
-------------------------------
7885,56€: Pndte de pasar Alberto Gastos VISA Alberto mes abril.
Cargado: 05/05/22
-----------------------------
0,23€: Descuadre</t>
        </r>
      </text>
    </comment>
    <comment ref="BH54" authorId="0" shapeId="0" xr:uid="{679647BC-381B-424A-A47E-CEEC08D675DE}">
      <text>
        <r>
          <rPr>
            <sz val="9"/>
            <color indexed="81"/>
            <rFont val="Tahoma"/>
            <family val="2"/>
          </rPr>
          <t>Setepima:
Fra Nº 220290 (31/05/22):
105,27€ Servicio de socorrista acuático para evento jornadas comerciales 22/05
Transferencia Caixa realizada el 30/06/22.
-------------------------------
Golimp: 
Fra Nº 381 (31/05/22):
60,50€: Gastos de limpieza  para jornadas comerciales 22/05
Transferencia Caixa realizada el 30/06/22.
-------------------------------
7145,11€: Pndte de pasar Alberto Gastos VISA Alberto mes mayo.
Cargado: 05/06/22
-----------------------------
0,25€: Descuadre
------------------------------
551,71€: Consolidación perdida por diferencia negativa de cambio. 
------------------------------------</t>
        </r>
      </text>
    </comment>
    <comment ref="BI54" authorId="0" shapeId="0" xr:uid="{BBC5CEB0-9EE2-4AC9-9ACC-5343A98B43A0}">
      <text>
        <r>
          <rPr>
            <sz val="9"/>
            <color indexed="81"/>
            <rFont val="Tahoma"/>
            <family val="2"/>
          </rPr>
          <t>3662,95€: Pndte de pasar Alberto Gastos VISA Alberto mes junio.
Cargado: 05/07/22
-----------------------------
0,33€: Descuadre
------------------------------
24,20€: Informe de riesgo Altosa
Fra del 30/06/22
Cargado Caixa: 12/07/22</t>
        </r>
      </text>
    </comment>
    <comment ref="BJ54" authorId="1" shapeId="0" xr:uid="{1254BB09-8DD4-4DF2-B335-8CBA1C91AE60}">
      <text>
        <r>
          <rPr>
            <sz val="9"/>
            <color indexed="81"/>
            <rFont val="Tahoma"/>
            <family val="2"/>
          </rPr>
          <t>Fra Cabify del 30/06/22.
Tpte Alfonso: 7,94€.
Pagado con tarjeta VISA Alfonso.</t>
        </r>
        <r>
          <rPr>
            <b/>
            <sz val="9"/>
            <color indexed="81"/>
            <rFont val="Tahoma"/>
            <family val="2"/>
          </rPr>
          <t xml:space="preserve"> 
Cargado Caixa: 05/08/22
--------------------------------
Fra Booking del 21/07/22.
Hotel Alfonso: 105,30€.
Pagado con tarjeta VISA Alfonso. 
Cargado Caixa: 05/08/22
--------------------------------
1317,38€: Pndte de pasar Alberto Gastos VISA Alberto mes julio.
Cargado: 05/08/22
</t>
        </r>
      </text>
    </comment>
    <comment ref="BL54" authorId="1" shapeId="0" xr:uid="{CF892C96-7186-458B-8848-1314098EE19E}">
      <text>
        <r>
          <rPr>
            <b/>
            <sz val="9"/>
            <color indexed="81"/>
            <rFont val="Tahoma"/>
            <family val="2"/>
          </rPr>
          <t xml:space="preserve">502,33€: Pndte de pasar Alberto Gastos VISA Alberto mes agosto.
Cargado: 05/09/22
</t>
        </r>
      </text>
    </comment>
    <comment ref="BM54" authorId="1" shapeId="0" xr:uid="{D9C01A08-B683-461B-8247-CDADBEE58A4D}">
      <text>
        <r>
          <rPr>
            <b/>
            <sz val="9"/>
            <color indexed="81"/>
            <rFont val="Tahoma"/>
            <family val="2"/>
          </rPr>
          <t>1632,37€: Pndte de pasar Alberto Gastos VISA Alberto mes septiembre.
Cargado: 05/10/22
------------------------------------
-0,74€: Diferencia positiva en Excel Paragon y Caixa por decimales en el Tc
---------------------------</t>
        </r>
      </text>
    </comment>
    <comment ref="BN54" authorId="0" shapeId="0" xr:uid="{7E6BC4EC-4A3A-40F5-BB28-1965A246EC5B}">
      <text>
        <r>
          <rPr>
            <sz val="9"/>
            <color indexed="81"/>
            <rFont val="Tahoma"/>
            <family val="2"/>
          </rPr>
          <t>136,17€: Samtek
Fra: 1/000601 (11/11/22):
Asistencia equipo Maria
Transferencia Caixa realizada el 17/11/22
-------------------------------------
2050,01€: Pndte de pasar Alberto Gastos VISA Alberto mes octubre.
Cargado: 05/11/22
------------------------------
-0,22€: Diferencia positiva en Excel Paragon por decimales en el Tc</t>
        </r>
      </text>
    </comment>
    <comment ref="BO54" authorId="0" shapeId="0" xr:uid="{D2AE104D-8494-4060-9D3C-7D67B9642EBF}">
      <text>
        <r>
          <rPr>
            <sz val="9"/>
            <color indexed="81"/>
            <rFont val="Tahoma"/>
            <family val="2"/>
          </rPr>
          <t xml:space="preserve">Vybsa: 
Fra Nº A222808 (02/12/22):
16,14€: Copias 
Cargado Caixa: 19/12/22
----------------------------------
4779,67€: Pndte de pasar Alberto Gastos VISA Alberto mes noviembre.
Cargado: 05/12/22
----------------------------------
3,57€: Diferencia negativa en Excel Paragon y Caixa por decimales en el Tc
-----------------------------
</t>
        </r>
      </text>
    </comment>
    <comment ref="BP54" authorId="0" shapeId="0" xr:uid="{E1B6A3FF-A9F9-48C6-834C-6FF5926A3317}">
      <text>
        <r>
          <rPr>
            <sz val="9"/>
            <color indexed="81"/>
            <rFont val="Tahoma"/>
            <family val="2"/>
          </rPr>
          <t xml:space="preserve">
551,25€: Pndte de pasar Alberto Gastos VISA Alberto mes diciembre.
-240€: Anotado en European Gas
Cargado: 05/01/23
--------------------------------
118,10€: Samtek
Fra: 1/000050 (20/01/23):
Ppto: 1/ 00007 (13/01/23):
Renovación 8 licencias Antivirus Internet Security
Realizar transferencia 
Transferencia Caixa realizada el 24/01/23
------------------------------------
2176,28€: Consolidación perdida por diferencia negativa de cambio VFX. 
------------------------------------</t>
        </r>
      </text>
    </comment>
    <comment ref="BR54" authorId="0" shapeId="0" xr:uid="{F76227AF-6CA1-4C62-A787-3455AA06625F}">
      <text>
        <r>
          <rPr>
            <sz val="9"/>
            <color indexed="81"/>
            <rFont val="Tahoma"/>
            <family val="2"/>
          </rPr>
          <t xml:space="preserve">1,07€: Diferencia positiva en Excel Paragon y VFX por decimales en el Tc
-----------------------------
</t>
        </r>
      </text>
    </comment>
    <comment ref="BS54" authorId="0" shapeId="0" xr:uid="{0A742EF9-2E34-4BF7-95B4-953704E6C1C0}">
      <text>
        <r>
          <rPr>
            <sz val="9"/>
            <color indexed="81"/>
            <rFont val="Tahoma"/>
            <family val="2"/>
          </rPr>
          <t xml:space="preserve">1,54€: Diferencia negativa en Excel Paragon y VFX por decimales en el Tc
-----------------------------
</t>
        </r>
      </text>
    </comment>
    <comment ref="BU54" authorId="0" shapeId="0" xr:uid="{0D0D2177-0158-4AB0-A048-391D4C905DF9}">
      <text>
        <r>
          <rPr>
            <sz val="9"/>
            <color indexed="81"/>
            <rFont val="Tahoma"/>
            <family val="2"/>
          </rPr>
          <t xml:space="preserve">0,42€: Diferencia negativa en Excel Paragon y VFX por decimales en el Tc
-----------------------------
</t>
        </r>
      </text>
    </comment>
    <comment ref="BZ54" authorId="0" shapeId="0" xr:uid="{E34C13F6-4656-49D6-B832-A8BE0668E645}">
      <text>
        <r>
          <rPr>
            <sz val="9"/>
            <color indexed="81"/>
            <rFont val="Tahoma"/>
            <family val="2"/>
          </rPr>
          <t xml:space="preserve">0,48€: Diferencia positiiva en Excel Paragon y VFX por decimales en el Tc
-----------------------------
</t>
        </r>
      </text>
    </comment>
    <comment ref="CA54" authorId="0" shapeId="0" xr:uid="{A19B3E8C-4881-4B1F-B108-F0D0FDC77ECD}">
      <text>
        <r>
          <rPr>
            <sz val="9"/>
            <color indexed="81"/>
            <rFont val="Tahoma"/>
            <family val="2"/>
          </rPr>
          <t xml:space="preserve">0,42€: Diferencia positiiva en Excel Paragon y VFX por decimales en el Tc
-----------------------------
</t>
        </r>
      </text>
    </comment>
    <comment ref="CF54" authorId="0" shapeId="0" xr:uid="{DFF661B9-56A2-4BDE-B63B-97373AAA9FD9}">
      <text>
        <r>
          <rPr>
            <sz val="9"/>
            <color indexed="81"/>
            <rFont val="Tahoma"/>
            <family val="2"/>
          </rPr>
          <t xml:space="preserve">0,34€: Diferencia positiiva en Excel VFX por decimales en el Tc
-----------------------------
</t>
        </r>
      </text>
    </comment>
    <comment ref="CG54" authorId="0" shapeId="0" xr:uid="{71816170-72CA-4A11-B23E-307CE84AFF6C}">
      <text>
        <r>
          <rPr>
            <sz val="9"/>
            <color indexed="81"/>
            <rFont val="Tahoma"/>
            <family val="2"/>
          </rPr>
          <t xml:space="preserve">173,32€: Consolidación perdida por diferencia negativa de cambio. </t>
        </r>
        <r>
          <rPr>
            <b/>
            <sz val="9"/>
            <color indexed="81"/>
            <rFont val="Tahoma"/>
            <family val="2"/>
          </rPr>
          <t xml:space="preserve">
---------------------------</t>
        </r>
      </text>
    </comment>
    <comment ref="CH54" authorId="0" shapeId="0" xr:uid="{3F8CBACE-1084-43FC-8768-63D752DF2449}">
      <text>
        <r>
          <rPr>
            <sz val="9"/>
            <color indexed="81"/>
            <rFont val="Tahoma"/>
            <family val="2"/>
          </rPr>
          <t xml:space="preserve">137,43€: Consolidación perdida por diferencia negativa de cambio. </t>
        </r>
        <r>
          <rPr>
            <b/>
            <sz val="9"/>
            <color indexed="81"/>
            <rFont val="Tahoma"/>
            <family val="2"/>
          </rPr>
          <t xml:space="preserve">
---------------------------</t>
        </r>
      </text>
    </comment>
    <comment ref="CI54" authorId="0" shapeId="0" xr:uid="{619A2AB8-EBB6-4EAD-B8A9-F5A907958BCE}">
      <text>
        <r>
          <rPr>
            <sz val="9"/>
            <color indexed="81"/>
            <rFont val="Tahoma"/>
            <family val="2"/>
          </rPr>
          <t xml:space="preserve">513,31€: Consolidación perdida por diferencia negativa de cambio. </t>
        </r>
        <r>
          <rPr>
            <b/>
            <sz val="9"/>
            <color indexed="81"/>
            <rFont val="Tahoma"/>
            <family val="2"/>
          </rPr>
          <t xml:space="preserve">
---------------------------</t>
        </r>
      </text>
    </comment>
    <comment ref="CU54" authorId="0" shapeId="0" xr:uid="{71D5C321-DF8B-4508-A457-53F046D40222}">
      <text>
        <r>
          <rPr>
            <b/>
            <sz val="9"/>
            <color indexed="81"/>
            <rFont val="Tahoma"/>
            <family val="2"/>
          </rPr>
          <t>Fra Gestoria Maraver del 04/06/25</t>
        </r>
        <r>
          <rPr>
            <sz val="9"/>
            <color indexed="81"/>
            <rFont val="Tahoma"/>
            <family val="2"/>
          </rPr>
          <t xml:space="preserve">.
186,40: Cambio titular de Alf a Alb Subaru.
Transferencia realizda el 04/06/25
--------------------------------
</t>
        </r>
        <r>
          <rPr>
            <b/>
            <sz val="9"/>
            <color indexed="81"/>
            <rFont val="Tahoma"/>
            <family val="2"/>
          </rPr>
          <t>Fra Gestoria Maraver del 13/06/25.</t>
        </r>
        <r>
          <rPr>
            <sz val="9"/>
            <color indexed="81"/>
            <rFont val="Tahoma"/>
            <family val="2"/>
          </rPr>
          <t xml:space="preserve">
250,40: Cambio titular a NC Nissan Pick up.
Transferencia realizda el 13/06/25</t>
        </r>
        <r>
          <rPr>
            <b/>
            <sz val="9"/>
            <color indexed="81"/>
            <rFont val="Tahoma"/>
            <family val="2"/>
          </rPr>
          <t xml:space="preserve">
</t>
        </r>
      </text>
    </comment>
    <comment ref="CV54" authorId="0" shapeId="0" xr:uid="{07F2D4A5-D6D2-4098-AF22-36F9D95E63DC}">
      <text>
        <r>
          <rPr>
            <sz val="9"/>
            <color indexed="81"/>
            <rFont val="Tahoma"/>
            <family val="2"/>
          </rPr>
          <t>Recibo Dialtel Soa Medi.
12,10€: Cargado Caixa: 02/07/25
----------------------------
Recibo Dialtel Soa Medi.
12,10€: Cargado Caixa: 21/07/25
Pndte fras, preguntado a ALF si son correctos</t>
        </r>
      </text>
    </comment>
    <comment ref="CW54" authorId="0" shapeId="0" xr:uid="{154DA995-6B85-4F83-99F0-B20CF98D8DD1}">
      <text>
        <r>
          <rPr>
            <sz val="9"/>
            <color indexed="81"/>
            <rFont val="Tahoma"/>
            <family val="2"/>
          </rPr>
          <t>Recibo Dialtel Soa Medi.
12,10€: Cargado Caixa: 19/08/25
Pndte fras, preguntado a ALF si son correctos</t>
        </r>
      </text>
    </comment>
    <comment ref="CY54" authorId="0" shapeId="0" xr:uid="{AC0174ED-4C6B-4549-925D-45F6D01E2A04}">
      <text>
        <r>
          <rPr>
            <sz val="9"/>
            <color indexed="81"/>
            <rFont val="Tahoma"/>
            <family val="2"/>
          </rPr>
          <t>Recibo Dialtel Soa Medi.
12,10€: Cargado Caixa: 19/09/25
Pndte fras, preguntado a ALF si son correctos</t>
        </r>
      </text>
    </comment>
    <comment ref="CZ54" authorId="0" shapeId="0" xr:uid="{354A731B-9C33-496D-8657-9F1FD6C58AB4}">
      <text>
        <r>
          <rPr>
            <sz val="9"/>
            <color indexed="81"/>
            <rFont val="Tahoma"/>
            <family val="2"/>
          </rPr>
          <t>Recibo Dialtel Soa Medi.
12,10€: Cargado Caixa: 13/10/25
Pndte fras, preguntado a ALF si son correctos</t>
        </r>
      </text>
    </comment>
    <comment ref="DA54" authorId="0" shapeId="0" xr:uid="{8DDDA0BF-A69D-47DA-B512-1D5FA65EC24C}">
      <text>
        <r>
          <rPr>
            <sz val="9"/>
            <color indexed="81"/>
            <rFont val="Tahoma"/>
            <family val="2"/>
          </rPr>
          <t>Recibo Dialtel Soa Medi.
12,10€: Cargado Caixa: 17/11/25
Pndte fras, preguntado a ALF si son correctos</t>
        </r>
      </text>
    </comment>
    <comment ref="DB54" authorId="0" shapeId="0" xr:uid="{824FC082-51FC-4A7B-BC00-C929B1705060}">
      <text>
        <r>
          <rPr>
            <sz val="9"/>
            <color indexed="81"/>
            <rFont val="Tahoma"/>
            <family val="2"/>
          </rPr>
          <t>Recibo Dialtel Soa Medi.
12,10€: Cargado Caixa: 19/12/25
Pndte fras, preguntado a ALF si son correctos</t>
        </r>
      </text>
    </comment>
    <comment ref="DC54" authorId="0" shapeId="0" xr:uid="{060FCE5F-29C7-4C93-A04C-EA8EC4FCB49D}">
      <text>
        <r>
          <rPr>
            <sz val="9"/>
            <color indexed="81"/>
            <rFont val="Tahoma"/>
            <family val="2"/>
          </rPr>
          <t xml:space="preserve">Recibo Dialtel Soa Medi.
12,10€: Cargado Caixa: 20/01/26
Pndte fras, preguntado a ALF si son correctos
---------------------------------
</t>
        </r>
      </text>
    </comment>
    <comment ref="DD54" authorId="0" shapeId="0" xr:uid="{1B574B3D-06B9-450A-B744-A47B8CE63388}">
      <text>
        <r>
          <rPr>
            <sz val="9"/>
            <color indexed="81"/>
            <rFont val="Tahoma"/>
            <family val="2"/>
          </rPr>
          <t xml:space="preserve">266,20€: Tasación
Cargado Bankinter: 18/02/26
------------------------------
Devolución Recibo Dialtel Soa Medi.  Cargado en enero
-12,10€: Abonado Caixa: 17/02/26
OK ALF devolver los recibos que podamos
----------------------------
Recibo Dialtel Soa Medi.
12,10€: Cargado Caixa: 20/02/26 pndte devolución
------------------------------
Devolución Recibo Dialtel Soa Medi.  Cargado en febrero
-12,10€: Abonado Caixa: 20/02/26
OK ALF devolver los recibos que podamos
-------------------------------
</t>
        </r>
      </text>
    </comment>
    <comment ref="AL55" authorId="3" shapeId="0" xr:uid="{E46C048C-DF62-4758-9393-8A5D754BE4FD}">
      <text>
        <r>
          <rPr>
            <sz val="9"/>
            <color indexed="81"/>
            <rFont val="Tahoma"/>
            <family val="2"/>
          </rPr>
          <t>4112,04 entra de caja molino y sale este mismo mes como dividendos Alberto</t>
        </r>
      </text>
    </comment>
    <comment ref="CU55" authorId="0" shapeId="0" xr:uid="{8000B4BC-69FF-4E72-A050-9CD8C152C491}">
      <text>
        <r>
          <rPr>
            <sz val="9"/>
            <color indexed="81"/>
            <rFont val="Tahoma"/>
            <family val="2"/>
          </rPr>
          <t>Nomina Elena Bosch (solo este mes)
608,66 Eur
Anotamos aqui como devolución a Alberto. IBAN ES22 2100 8465 1602 0020 2605
26/06: En resumen nóminas aparece 630,09€, por indemnización de 21,87€, OK ALF transferir ese importe.
Transf. Caixa realizada el 26/06/25</t>
        </r>
      </text>
    </comment>
    <comment ref="DJ55" authorId="0" shapeId="0" xr:uid="{C40A8C0D-1C88-4926-8A0B-6250A162F9DF}">
      <text>
        <r>
          <rPr>
            <b/>
            <sz val="9"/>
            <color indexed="81"/>
            <rFont val="Tahoma"/>
            <family val="2"/>
          </rPr>
          <t xml:space="preserve">Gastos VISA personal Alberto mes septiembre:
</t>
        </r>
        <r>
          <rPr>
            <sz val="9"/>
            <color indexed="81"/>
            <rFont val="Tahoma"/>
            <family val="2"/>
          </rPr>
          <t xml:space="preserve">132,35€+117,38€: Gasolina Defender
117,38€: Pagado en efectivo el 09/09/24 pndte devolución 
132,35€: Pagado en efectivo el 27/09/24 pndte devolución 
---------------------------------------------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alfonso</author>
    <author>recepción</author>
    <author>Alberto Carmona</author>
    <author>Backoffice</author>
    <author>Alberto</author>
  </authors>
  <commentList>
    <comment ref="CP6" authorId="0" shapeId="0" xr:uid="{471E3A5B-DA56-4F93-99D3-F222BAFEA853}">
      <text>
        <r>
          <rPr>
            <b/>
            <sz val="9"/>
            <color indexed="81"/>
            <rFont val="Tahoma"/>
            <family val="2"/>
          </rPr>
          <t>Rosa:
6 Cisternas desde Alvinesa del 03 al 07/01/25:</t>
        </r>
        <r>
          <rPr>
            <sz val="9"/>
            <color indexed="81"/>
            <rFont val="Tahoma"/>
            <family val="2"/>
          </rPr>
          <t xml:space="preserve">
Fra: 2025-TOE-001 (10/01/25): 211.281,77€
211.281,77€= (31124+29908+32187+31149+32289+31149)*1,125€
10/01/25: Pndte ingreso: A los 5 días fecha fra
Abonado en Bankinter por el total 211.281,77€ el 22/01/25</t>
        </r>
      </text>
    </comment>
    <comment ref="CP7" authorId="0" shapeId="0" xr:uid="{58DDB537-775F-4662-AF88-B2FD91A08C8F}">
      <text>
        <r>
          <rPr>
            <b/>
            <sz val="9"/>
            <color indexed="81"/>
            <rFont val="Tahoma"/>
            <family val="2"/>
          </rPr>
          <t>Rosa:
5 Cisternas desde Alvinesa del 08 al 09/01/25:</t>
        </r>
        <r>
          <rPr>
            <sz val="9"/>
            <color indexed="81"/>
            <rFont val="Tahoma"/>
            <family val="2"/>
          </rPr>
          <t xml:space="preserve">
Fra: 2025-TOE-002 (21/01/25) errónea por e-DA erroneo
Fra: 2025-TOE-003 (22/01/25) abono
Fra: 2025-TOE-004 (22/01/25): 174.956,64€= (31276+31529+30845+31022+30845)*1,125€
22/01/25: Pndte ingreso: A los 5 días fecha fra
Abonado en Bankinter por el total 174.956,64€ el 27/01/25</t>
        </r>
      </text>
    </comment>
    <comment ref="CP8" authorId="0" shapeId="0" xr:uid="{BB15DAA0-211C-4D1D-AEA0-FA2C90D809DF}">
      <text>
        <r>
          <rPr>
            <b/>
            <sz val="9"/>
            <color indexed="81"/>
            <rFont val="Tahoma"/>
            <family val="2"/>
          </rPr>
          <t>Rosa:
4 Cisternas desde Alvinesa del 10 al 13/01/25:</t>
        </r>
        <r>
          <rPr>
            <sz val="9"/>
            <color indexed="81"/>
            <rFont val="Tahoma"/>
            <family val="2"/>
          </rPr>
          <t xml:space="preserve">
Fra: 2025-TOE-005 (23/01/25): 140.056,88€= (30845+30744+32086+30820)*1,125€
23/01/25: Pndte ingreso: A los 5 días fecha fra
Abonado en Bankinter por el total 140.056,88€ el 28/01/25</t>
        </r>
      </text>
    </comment>
    <comment ref="Z9" authorId="0" shapeId="0" xr:uid="{A5582103-6756-439C-A5C3-EBFFE5E61B24}">
      <text>
        <r>
          <rPr>
            <b/>
            <sz val="8"/>
            <color indexed="81"/>
            <rFont val="Tahoma"/>
            <family val="2"/>
          </rPr>
          <t>alfonso:</t>
        </r>
        <r>
          <rPr>
            <sz val="8"/>
            <color indexed="81"/>
            <rFont val="Tahoma"/>
            <family val="2"/>
          </rPr>
          <t xml:space="preserve">
15000+iva de anualidad Mktint 1 de 2
</t>
        </r>
      </text>
    </comment>
    <comment ref="CQ9" authorId="0" shapeId="0" xr:uid="{4619D76B-92BE-4829-A599-7DCF09624F1E}">
      <text>
        <r>
          <rPr>
            <b/>
            <sz val="9"/>
            <color indexed="81"/>
            <rFont val="Tahoma"/>
            <family val="2"/>
          </rPr>
          <t>Rosa:
3 Cisternas desde Alvinesa del 14/01/25:</t>
        </r>
        <r>
          <rPr>
            <sz val="9"/>
            <color indexed="81"/>
            <rFont val="Tahoma"/>
            <family val="2"/>
          </rPr>
          <t xml:space="preserve">
Fra: 2025-TOE-006 (24/01/25): 103.932€= (29908+30643+31833)*1,125€
24/01/25: Pndte ingreso: A los 5 días fecha fra
103.932€: Abonado Bankinter el 11/02/25</t>
        </r>
      </text>
    </comment>
    <comment ref="CQ10" authorId="0" shapeId="0" xr:uid="{161EC9B1-445C-4577-BD6E-32C26D62D971}">
      <text>
        <r>
          <rPr>
            <b/>
            <sz val="9"/>
            <color indexed="81"/>
            <rFont val="Tahoma"/>
            <family val="2"/>
          </rPr>
          <t>Rosa:
6 Cisternas desde Alvinesa del 15 al 21/01/25:</t>
        </r>
        <r>
          <rPr>
            <sz val="9"/>
            <color indexed="81"/>
            <rFont val="Tahoma"/>
            <family val="2"/>
          </rPr>
          <t xml:space="preserve">
Fra: 2025-TOE-007 (30/01/25): 209.855,26€= (31098+31402+30921+31022+31073+31022)*1,125€
30/01/25: Pndte ingreso: A los 5 días fecha fra
209.855,26€: Abonado Bankinter por el total 418.487,65€ el 04/02/25</t>
        </r>
      </text>
    </comment>
    <comment ref="CQ11" authorId="0" shapeId="0" xr:uid="{3A3A077F-CEB7-4CDF-974E-F8539BB84B4B}">
      <text>
        <r>
          <rPr>
            <b/>
            <sz val="9"/>
            <color indexed="81"/>
            <rFont val="Tahoma"/>
            <family val="2"/>
          </rPr>
          <t>Rosa:
6 Cisternas desde Alvinesa del 21 al 23/01/25:</t>
        </r>
        <r>
          <rPr>
            <sz val="9"/>
            <color indexed="81"/>
            <rFont val="Tahoma"/>
            <family val="2"/>
          </rPr>
          <t xml:space="preserve">
Fra: 2025-TOE-008 (30/01/25): 208.632,39€= (30972+30567+31402+30845+31250+30415)*1,125€
30/01/25: Pndte ingreso: A los 5 días fecha fra
208.632,39€: Abonado Bankinter por el total 418.487,65€ el 04/02/25</t>
        </r>
      </text>
    </comment>
    <comment ref="CR12" authorId="0" shapeId="0" xr:uid="{0F296CD5-53AE-4F9A-8EA3-1BCFC3D92041}">
      <text>
        <r>
          <rPr>
            <b/>
            <sz val="9"/>
            <color indexed="81"/>
            <rFont val="Tahoma"/>
            <family val="2"/>
          </rPr>
          <t>Rosa:
4 Cisternas desde Alvinesa del 24 y 25/02/25:</t>
        </r>
        <r>
          <rPr>
            <sz val="9"/>
            <color indexed="81"/>
            <rFont val="Tahoma"/>
            <family val="2"/>
          </rPr>
          <t xml:space="preserve">
Fra: 2025-TOE-009 (10/03/25): 136.876,11€= (31326+30541+31301+31833)*1,095€
10/03/25: Pndte ingreso: A los 5 días fecha fra
136.876,11€: Abonado Bankinter por el total 573.322,34€ el 24/03/25</t>
        </r>
      </text>
    </comment>
    <comment ref="CR13" authorId="0" shapeId="0" xr:uid="{AA46CE99-5074-442E-8385-1822DE9D4A46}">
      <text>
        <r>
          <rPr>
            <b/>
            <sz val="9"/>
            <color indexed="81"/>
            <rFont val="Tahoma"/>
            <family val="2"/>
          </rPr>
          <t>Rosa:
6 Cisternas desde Alvinesa del 26 y 28/02/25:</t>
        </r>
        <r>
          <rPr>
            <sz val="9"/>
            <color indexed="81"/>
            <rFont val="Tahoma"/>
            <family val="2"/>
          </rPr>
          <t xml:space="preserve">
Fra: 2025-TOE-010 (13/03/25): 200.543,79€= (31174+30009+30060+30389+30288+31225)*1,095€
13/03/25: Pndte ingreso: A los 5 días fecha fra
200.543,79€: Abonado Bankinter por el total 573.322,34€ el 24/03/25</t>
        </r>
      </text>
    </comment>
    <comment ref="CR14" authorId="0" shapeId="0" xr:uid="{F543BD2A-D96E-42DD-B087-44B13119BF0B}">
      <text>
        <r>
          <rPr>
            <b/>
            <sz val="9"/>
            <color indexed="81"/>
            <rFont val="Tahoma"/>
            <family val="2"/>
          </rPr>
          <t>Rosa:
7 Cisternas desde Alvinesa del 3 y 04/03/25:</t>
        </r>
        <r>
          <rPr>
            <sz val="9"/>
            <color indexed="81"/>
            <rFont val="Tahoma"/>
            <family val="2"/>
          </rPr>
          <t xml:space="preserve">
Fra: 2025-TOE-011 (19/03/25): 235.902,45€= (30440+31073+30491+30491+30947+31073+30921)*1,095€
19/03/25: Pndte ingreso: A los 5 días fecha fra
235.902,45€: Abonado Bankinter por el total 573.322,34€ el 24/03/25</t>
        </r>
      </text>
    </comment>
    <comment ref="CR15" authorId="0" shapeId="0" xr:uid="{9EC2FBCA-9D83-4495-9D43-35D6831B95DE}">
      <text>
        <r>
          <rPr>
            <b/>
            <sz val="9"/>
            <color indexed="81"/>
            <rFont val="Tahoma"/>
            <family val="2"/>
          </rPr>
          <t>Rosa:
6 Cisternas desde Alvinesa del 5 y 06/03/25:</t>
        </r>
        <r>
          <rPr>
            <sz val="9"/>
            <color indexed="81"/>
            <rFont val="Tahoma"/>
            <family val="2"/>
          </rPr>
          <t xml:space="preserve">
Fra: 2025-TOE-012 (21/03/25): 205.176,73€= (31782+30972+31225+30896+31200+31301)*1,095€
21/03/25: Pndte ingreso: A los 5 días fecha fra
205.176,73€: Abonado Bankinter: 28/03/25</t>
        </r>
      </text>
    </comment>
    <comment ref="CS16" authorId="0" shapeId="0" xr:uid="{C3EFA2C6-67B7-48C6-B229-DB6E7623D4D5}">
      <text>
        <r>
          <rPr>
            <b/>
            <sz val="9"/>
            <color indexed="81"/>
            <rFont val="Tahoma"/>
            <family val="2"/>
          </rPr>
          <t>Rosa:
4 Cisternas desde Alvinesa del 07/03/25:</t>
        </r>
        <r>
          <rPr>
            <sz val="9"/>
            <color indexed="81"/>
            <rFont val="Tahoma"/>
            <family val="2"/>
          </rPr>
          <t xml:space="preserve">
Fra: 2025-TOE-013 (21/03/25): 137.126,86€= (30592+31757+31884+30997)*1,095€
21/03/25: Pndte ingreso: A los 5 días fecha fra
137.126,86€: Abonado Bankinter: 01/04/25</t>
        </r>
      </text>
    </comment>
    <comment ref="CS17" authorId="0" shapeId="0" xr:uid="{C16E9D2D-CE99-488C-AF45-C05272F64708}">
      <text>
        <r>
          <rPr>
            <b/>
            <sz val="9"/>
            <color indexed="81"/>
            <rFont val="Tahoma"/>
            <family val="2"/>
          </rPr>
          <t>Rosa:
6 Cisternas desde Alvinesa del 10/03/25:</t>
        </r>
        <r>
          <rPr>
            <sz val="9"/>
            <color indexed="81"/>
            <rFont val="Tahoma"/>
            <family val="2"/>
          </rPr>
          <t xml:space="preserve">
Fra: 2025-TOE-014 (28/03/25): 208.478,15€= (31808+31884+31453+31352+32086+31808)*1,095€
28/03/25: Pndte ingreso: A los 5 días fecha fra
208.478,15€: Abonado Bankinter por el total 518.586,54€ el 07/04/25</t>
        </r>
      </text>
    </comment>
    <comment ref="CS18" authorId="0" shapeId="0" xr:uid="{CB7DCC21-22EE-4D00-B1E7-BF3A9271E62B}">
      <text>
        <r>
          <rPr>
            <b/>
            <sz val="9"/>
            <color indexed="81"/>
            <rFont val="Tahoma"/>
            <family val="2"/>
          </rPr>
          <t>Rosa:
3 Cisternas desde Alvinesa del 11 y 13/03/25:</t>
        </r>
        <r>
          <rPr>
            <sz val="9"/>
            <color indexed="81"/>
            <rFont val="Tahoma"/>
            <family val="2"/>
          </rPr>
          <t xml:space="preserve">
Fra: 2025-TOE-015 (28/03/25): 103.100,82€= (30744+31706+31706)*1,095€
28/03/25: Pndte ingreso: A los 5 días fecha fra
103.100,82€: Abonado Bankinter por el total 518.586,54€ el 07/04/25</t>
        </r>
      </text>
    </comment>
    <comment ref="CS19" authorId="0" shapeId="0" xr:uid="{DF6FC9DD-1B80-4DF1-BB8F-0EC4BDF26C9B}">
      <text>
        <r>
          <rPr>
            <b/>
            <sz val="9"/>
            <color indexed="81"/>
            <rFont val="Tahoma"/>
            <family val="2"/>
          </rPr>
          <t>Rosa:
6 Cisternas desde Alvinesa del 10, 14, 17 y 18/03/25:</t>
        </r>
        <r>
          <rPr>
            <sz val="9"/>
            <color indexed="81"/>
            <rFont val="Tahoma"/>
            <family val="2"/>
          </rPr>
          <t xml:space="preserve">
Fra: 2025-TOE-016 (31/03/25): 202.508,22€= (30972+31073+30921+30172+31158+30643)*1,095€
31/03/25: Pndte ingreso: A los 5 días fecha fra
202.508,22€: Abonado Bankinter: 09/04/25</t>
        </r>
      </text>
    </comment>
    <comment ref="CS20" authorId="0" shapeId="0" xr:uid="{FFF648E4-9C25-4DCE-9C0A-6B1AB2D11566}">
      <text>
        <r>
          <rPr>
            <b/>
            <sz val="9"/>
            <color indexed="81"/>
            <rFont val="Tahoma"/>
            <family val="2"/>
          </rPr>
          <t>Rosa:
6 Cisternas desde Alvinesa del 19 y 
20/03/25:</t>
        </r>
        <r>
          <rPr>
            <sz val="9"/>
            <color indexed="81"/>
            <rFont val="Tahoma"/>
            <family val="2"/>
          </rPr>
          <t xml:space="preserve">
Fra: 2025-TOE-017 (31/03/25): 207.007,57€= (32111+31124+31808+30845+31352+31808)*1,095€
31/03/25: Pndte ingreso: A los 5 días fecha fra
207.007,57€: Abonado Bankinter por el total 518.586,54€ el 07/04/25</t>
        </r>
      </text>
    </comment>
    <comment ref="CV21" authorId="1" shapeId="0" xr:uid="{C35CC21D-D8CE-41E8-A2EB-2866652E102F}">
      <text>
        <r>
          <rPr>
            <sz val="9"/>
            <color indexed="81"/>
            <rFont val="Tahoma"/>
            <family val="2"/>
          </rPr>
          <t>Info Alberto: 967.119€=950*1.018,02 
------------------------------------
38 Cisternas desde Alvinesa del 4 al 14/07/25 Aceite crudo de pepita de uva:
Fra: 2025-BP-001 (18/07/25): 1.072.186,10€= (957.480)*1,018€+10% IVA
18/07/25: Pndte ingreso: A los 5 días fecha fra
1.072.186,10€: Pndte ingreso en Bankinter
25/07: Comunicado por Alberto que realizan el traspaso a Caixa
1.072.186,10€: Abonado Caixa: 28/07/25</t>
        </r>
      </text>
    </comment>
    <comment ref="CW21" authorId="1" shapeId="0" xr:uid="{608B71F9-A255-4DE3-8CCF-CF3B6649AB32}">
      <text>
        <r>
          <rPr>
            <sz val="9"/>
            <color indexed="81"/>
            <rFont val="Tahoma"/>
            <family val="2"/>
          </rPr>
          <t xml:space="preserve">Info Alberto 11/08/25: El IVA correcto de las fras es del 21% en lugar del 10%
realizamos fra abono y nueva fra con el 21% IVA.
------------------------------------
38 Cisternas desde Alvinesa del 4 al 14/07/25 Aceite crudo de pepita de uva:
Fra abono: 2025-BP-002 (13/08/25):     -1.072.186,10€= (957.480)*1,018€+10% IVA
Fra: 2025-BP-003 (13/08/25):     1.179.404,71€= (957.480)*1,018€+21% IVA
1.179.404,71€: 13/08/25: Pndte ingreso: A los 5 días fecha fra
Ingresado en Caixa el 18/08/25
</t>
        </r>
      </text>
    </comment>
    <comment ref="CY21" authorId="1" shapeId="0" xr:uid="{58ACC1F5-0D7C-401B-817D-E662AAAB270D}">
      <text>
        <r>
          <rPr>
            <sz val="9"/>
            <color indexed="81"/>
            <rFont val="Tahoma"/>
            <family val="2"/>
          </rPr>
          <t xml:space="preserve">Info Alberto 11/08/25: El IVA correcto de las fras es del 21% en lugar del 10%
realizamos fra abono y nueva fra con el 21% IVA.
------------------------------------
38 Cisternas desde Alvinesa del 4 al 14/07/25 Aceite crudo de pepita de uva:
Fra abono: 2025-BP-002 (13/08/25):     -1.072.186,10€= (957.480)*1,018€+10% IVA
-1.072.186,10€= Realizar ingreso en sept: OK Alberto 25/08/25
572.186,10€: Transf. Caixa realizada el 08/09/25
500.000€: Transf. Caixa realizada el 09/09/25
</t>
        </r>
      </text>
    </comment>
    <comment ref="DA22" authorId="1" shapeId="0" xr:uid="{E42144AD-33B2-41F4-9213-5869AA48FA61}">
      <text>
        <r>
          <rPr>
            <sz val="9"/>
            <color indexed="81"/>
            <rFont val="Tahoma"/>
            <family val="2"/>
          </rPr>
          <t xml:space="preserve">47 Cisternas desde Alvinesa del 6 al 22/10/25 Aceite Granilla de Uva Crudo:
Fra: 2025-BP-004 (27/10/25):     1.579.475,04€= (1.159.220)*1,12606€+21% IVA
1.579.475,04€: 28/10/25: Pndte ingreso: A los 5 días fecha fra
Ingresado en Caixa el 03/11/25
</t>
        </r>
      </text>
    </comment>
    <comment ref="X23" authorId="0" shapeId="0" xr:uid="{7DA256F9-BCB3-4D34-9571-A2C583726E37}">
      <text>
        <r>
          <rPr>
            <b/>
            <sz val="8"/>
            <color indexed="81"/>
            <rFont val="Tahoma"/>
            <family val="2"/>
          </rPr>
          <t>alfonso:</t>
        </r>
        <r>
          <rPr>
            <sz val="8"/>
            <color indexed="81"/>
            <rFont val="Tahoma"/>
            <family val="2"/>
          </rPr>
          <t xml:space="preserve">
factura de agosto
(Hacen dos pagos por error)</t>
        </r>
      </text>
    </comment>
    <comment ref="DH23" authorId="1" shapeId="0" xr:uid="{8CEFC348-7722-4D03-A499-63C00DEBC826}">
      <text>
        <r>
          <rPr>
            <sz val="9"/>
            <color indexed="81"/>
            <rFont val="Tahoma"/>
            <family val="2"/>
          </rPr>
          <t xml:space="preserve">43 Cisternas transportadas desde LIPSA-Castellón
Fra: 2026-BP-001 (26/05/26):     84.180,31€= (1.140,50*61€)+21% IVA
84.180,31€: 26/05/26: Pndte ingreso: A los 30 días fecha fra
Ingresado en Caixa el 
</t>
        </r>
      </text>
    </comment>
    <comment ref="S24" authorId="0" shapeId="0" xr:uid="{18E3C54E-A28E-462E-BB3F-58915B595918}">
      <text>
        <r>
          <rPr>
            <b/>
            <sz val="9"/>
            <color indexed="81"/>
            <rFont val="Tahoma"/>
            <family val="2"/>
          </rPr>
          <t>alfonso:</t>
        </r>
        <r>
          <rPr>
            <sz val="9"/>
            <color indexed="81"/>
            <rFont val="Tahoma"/>
            <family val="2"/>
          </rPr>
          <t xml:space="preserve">
factura no pasada por Alberto a Sinver. Acordado ponerla en IS 2019 y para IVA declaradas en Enero de 2020. No lleva IVA asi que no debe llevar sanción.</t>
        </r>
      </text>
    </comment>
    <comment ref="DB24" authorId="0" shapeId="0" xr:uid="{43B60247-3A6B-447A-83E6-BE6C8BF08562}">
      <text>
        <r>
          <rPr>
            <b/>
            <sz val="9"/>
            <color indexed="81"/>
            <rFont val="Tahoma"/>
            <family val="2"/>
          </rPr>
          <t>Rosa:
8 Cisternas desde Alvinesa del 12 al 21/11/25:</t>
        </r>
        <r>
          <rPr>
            <sz val="9"/>
            <color indexed="81"/>
            <rFont val="Tahoma"/>
            <family val="2"/>
          </rPr>
          <t xml:space="preserve">
Fra: 2025-VIN-001 (01/12/25): 233.842,26€= (30.389+30.744+30.643+30.313+31.149+30.465+31.073+30.085)*0,955€
25/11/25: Pndte ingreso: 21/12/25
233.842,26€: Abonado Bankinter: 19/12/25</t>
        </r>
      </text>
    </comment>
    <comment ref="DD25" authorId="0" shapeId="0" xr:uid="{6D4BEDFE-3747-4009-BD30-FFCFFEA65BB2}">
      <text>
        <r>
          <rPr>
            <b/>
            <sz val="9"/>
            <color indexed="81"/>
            <rFont val="Tahoma"/>
            <family val="2"/>
          </rPr>
          <t>Rosa:
5 Cisternas desde Alvinesa del 8/01 al 03/02/26:</t>
        </r>
        <r>
          <rPr>
            <sz val="9"/>
            <color indexed="81"/>
            <rFont val="Tahoma"/>
            <family val="2"/>
          </rPr>
          <t xml:space="preserve">
Fra: 2026-VIN-001 (05/02/26): 144.590,80€= (30.111+30.972+31.174+30.389+31.174)*0,94€
05/02/26: Pndte ingreso: 28/02/26
144.590,80€: Abonado Bankinter: 18/02/26</t>
        </r>
      </text>
    </comment>
    <comment ref="DE25" authorId="0" shapeId="0" xr:uid="{814752E1-E48A-482C-A1B3-B53A7B704AB7}">
      <text>
        <r>
          <rPr>
            <b/>
            <sz val="9"/>
            <color indexed="81"/>
            <rFont val="Tahoma"/>
            <family val="2"/>
          </rPr>
          <t>Rosa:
3 Cisternas desde Alvinesa del 5 al 19/02/26:</t>
        </r>
        <r>
          <rPr>
            <sz val="9"/>
            <color indexed="81"/>
            <rFont val="Tahoma"/>
            <family val="2"/>
          </rPr>
          <t xml:space="preserve">
Fra: 2026-VIN-002 (26/02/26): 86.816,52€= (30.693+31.073+30.592)*0,94€
26/02/26: Pndte ingreso: 13/03/26
86.816,52€: Abonado Bankinter x el total 115.667,94 el 11/03/26
-----------------------------------------------
</t>
        </r>
        <r>
          <rPr>
            <b/>
            <sz val="9"/>
            <color indexed="81"/>
            <rFont val="Tahoma"/>
            <family val="2"/>
          </rPr>
          <t>1 Cisterna desde Alvinesa del 03/03/26:</t>
        </r>
        <r>
          <rPr>
            <sz val="9"/>
            <color indexed="81"/>
            <rFont val="Tahoma"/>
            <family val="2"/>
          </rPr>
          <t xml:space="preserve">
Fra: 2026-VIN-003 (28/02/26): 28.851,42€= 30.693*0,94€
03/03/26: Pndte ingreso: 13/03/26
28.851,42€: Abonado Bankinter x el total 115.667,94 el 11/03/26</t>
        </r>
      </text>
    </comment>
    <comment ref="DF25" authorId="0" shapeId="0" xr:uid="{CA7FE389-6EBA-4C94-816B-D887E9A39607}">
      <text>
        <r>
          <rPr>
            <b/>
            <sz val="9"/>
            <color indexed="81"/>
            <rFont val="Tahoma"/>
            <family val="2"/>
          </rPr>
          <t>Rosa:
3 Cisternas desde Alvinesa del 5 al 13/03/26:</t>
        </r>
        <r>
          <rPr>
            <sz val="9"/>
            <color indexed="81"/>
            <rFont val="Tahoma"/>
            <family val="2"/>
          </rPr>
          <t xml:space="preserve">
Fra: 2026-VIN-004 (27/03/26): 87.530,92€= (31.225+31.225+30.668)*0,94€
27/03/26: Pndte ingreso: 10/04/26
87.530,92€: Abonado Bankinter: 15/04/26
-----------------------------------------------</t>
        </r>
        <r>
          <rPr>
            <b/>
            <sz val="9"/>
            <color indexed="81"/>
            <rFont val="Tahoma"/>
            <family val="2"/>
          </rPr>
          <t xml:space="preserve">
2 Cisternas desde Alvinesa del 1 al 2/04/26:</t>
        </r>
        <r>
          <rPr>
            <sz val="9"/>
            <color indexed="81"/>
            <rFont val="Tahoma"/>
            <family val="2"/>
          </rPr>
          <t xml:space="preserve">
Fra: 2026-VIN-005 (31/03/26): 58.274,36€= (31.225+30.769)*0,94€
31/03/26: Pndte ingreso: 01/05/26
58.274,36€: Abonado Bankinter: 15/04/26
</t>
        </r>
      </text>
    </comment>
    <comment ref="DG25" authorId="0" shapeId="0" xr:uid="{A3B4DD7C-17E0-4640-8E48-8991B9A905D6}">
      <text>
        <r>
          <rPr>
            <b/>
            <sz val="9"/>
            <color indexed="81"/>
            <rFont val="Tahoma"/>
            <family val="2"/>
          </rPr>
          <t>Rosa:
3 Cisternas desde Alvinesa del 8/04 al 06/05/26:</t>
        </r>
        <r>
          <rPr>
            <sz val="9"/>
            <color indexed="81"/>
            <rFont val="Tahoma"/>
            <family val="2"/>
          </rPr>
          <t xml:space="preserve">
Fra: 2026-VIN-006 (30/04/26): 85.365,16€= (29.706+30.820+30.288)*0,94€
04/05/26: Pndte ingreso: 23/05/26
85.365,16€: Abonado Bankinter: 20/05/26
-----------------------------------------------</t>
        </r>
        <r>
          <rPr>
            <b/>
            <sz val="9"/>
            <color indexed="81"/>
            <rFont val="Tahoma"/>
            <family val="2"/>
          </rPr>
          <t xml:space="preserve">
</t>
        </r>
        <r>
          <rPr>
            <sz val="9"/>
            <color indexed="81"/>
            <rFont val="Tahoma"/>
            <family val="2"/>
          </rPr>
          <t xml:space="preserve">
</t>
        </r>
      </text>
    </comment>
    <comment ref="DH25" authorId="0" shapeId="0" xr:uid="{DF5E0DAA-2517-4C05-B65E-6CF72A60A669}">
      <text>
        <r>
          <rPr>
            <b/>
            <sz val="9"/>
            <color indexed="81"/>
            <rFont val="Tahoma"/>
            <family val="2"/>
          </rPr>
          <t>Rosa:
3 Cisternas desde Alvinesa del 7/05 al 13/05/26:</t>
        </r>
        <r>
          <rPr>
            <sz val="9"/>
            <color indexed="81"/>
            <rFont val="Tahoma"/>
            <family val="2"/>
          </rPr>
          <t xml:space="preserve">
Fra: 2026-VIN-007 (31/05/26): 87.435,04€= (30.440+31.174+31.402)*0,94€
03/06/26: Pndte ingreso: 12/06/26
87.435,04€: Abonado Bankinter: 12/06/26
-----------------------------------------------</t>
        </r>
        <r>
          <rPr>
            <b/>
            <sz val="9"/>
            <color indexed="81"/>
            <rFont val="Tahoma"/>
            <family val="2"/>
          </rPr>
          <t xml:space="preserve">
</t>
        </r>
        <r>
          <rPr>
            <sz val="9"/>
            <color indexed="81"/>
            <rFont val="Tahoma"/>
            <family val="2"/>
          </rPr>
          <t xml:space="preserve">
</t>
        </r>
      </text>
    </comment>
    <comment ref="T28" authorId="0" shapeId="0" xr:uid="{3AFF4779-7790-4152-8DF9-D3B20CCCCCEB}">
      <text>
        <r>
          <rPr>
            <b/>
            <sz val="8"/>
            <color indexed="81"/>
            <rFont val="Tahoma"/>
            <family val="2"/>
          </rPr>
          <t>alfonso:</t>
        </r>
        <r>
          <rPr>
            <sz val="8"/>
            <color indexed="81"/>
            <rFont val="Tahoma"/>
            <family val="2"/>
          </rPr>
          <t xml:space="preserve">
factura de abril por 8000 USD</t>
        </r>
      </text>
    </comment>
    <comment ref="V36" authorId="0" shapeId="0" xr:uid="{93C48F36-8DCA-433E-82B9-B38A9B38C99E}">
      <text>
        <r>
          <rPr>
            <b/>
            <sz val="9"/>
            <color indexed="81"/>
            <rFont val="Tahoma"/>
            <family val="2"/>
          </rPr>
          <t>alfonso:</t>
        </r>
        <r>
          <rPr>
            <sz val="9"/>
            <color indexed="81"/>
            <rFont val="Tahoma"/>
            <family val="2"/>
          </rPr>
          <t xml:space="preserve">
factura no pasada por Alberto a Sinver. Acordado ponerla en IS 2019 para a Iva declaradas en Enero de 2020. No lleva IVA asi que no debe llevar sanción</t>
        </r>
      </text>
    </comment>
    <comment ref="Y37" authorId="0" shapeId="0" xr:uid="{6750D738-757C-444A-9DB2-9BCD4391F91D}">
      <text>
        <r>
          <rPr>
            <b/>
            <sz val="8"/>
            <color indexed="81"/>
            <rFont val="Tahoma"/>
            <family val="2"/>
          </rPr>
          <t>alfonso:</t>
        </r>
        <r>
          <rPr>
            <sz val="8"/>
            <color indexed="81"/>
            <rFont val="Tahoma"/>
            <family val="2"/>
          </rPr>
          <t xml:space="preserve">
factura de mayo o junio.
14.10.19 Alberto da toque para cobro</t>
        </r>
      </text>
    </comment>
    <comment ref="W65" authorId="2" shapeId="0" xr:uid="{5415B8EE-D4E0-44A3-A958-4E75A5945019}">
      <text>
        <r>
          <rPr>
            <b/>
            <sz val="9"/>
            <color indexed="81"/>
            <rFont val="Tahoma"/>
            <family val="2"/>
          </rPr>
          <t>Alberto Carmona:</t>
        </r>
        <r>
          <rPr>
            <sz val="9"/>
            <color indexed="81"/>
            <rFont val="Tahoma"/>
            <family val="2"/>
          </rPr>
          <t xml:space="preserve">
1h Guidepoint
fra de agosto por 270,5 USD</t>
        </r>
      </text>
    </comment>
    <comment ref="V69" authorId="3" shapeId="0" xr:uid="{1478022D-8CC9-4571-B1D2-ABC74486121E}">
      <text>
        <r>
          <rPr>
            <b/>
            <sz val="9"/>
            <color indexed="81"/>
            <rFont val="Tahoma"/>
            <family val="2"/>
          </rPr>
          <t>Backoffice:</t>
        </r>
        <r>
          <rPr>
            <sz val="9"/>
            <color indexed="81"/>
            <rFont val="Tahoma"/>
            <family val="2"/>
          </rPr>
          <t xml:space="preserve">
1174 cbm brokeados con Interalco</t>
        </r>
      </text>
    </comment>
    <comment ref="T71" authorId="4" shapeId="0" xr:uid="{D9762374-6CD1-40E1-994B-1E3519EA325F}">
      <text>
        <r>
          <rPr>
            <b/>
            <sz val="9"/>
            <color indexed="81"/>
            <rFont val="Tahoma"/>
            <family val="2"/>
          </rPr>
          <t>Alberto:</t>
        </r>
        <r>
          <rPr>
            <sz val="9"/>
            <color indexed="81"/>
            <rFont val="Tahoma"/>
            <family val="2"/>
          </rPr>
          <t xml:space="preserve">
0,66 USD/cbm x 10k cbm
=2666700*0,0025/1,13
fra de mayo por 6666,75USD</t>
        </r>
      </text>
    </comment>
    <comment ref="W71" authorId="0" shapeId="0" xr:uid="{39CD9A17-1A7D-41B1-94AD-CD3C97C2732D}">
      <text>
        <r>
          <rPr>
            <b/>
            <sz val="8"/>
            <color indexed="81"/>
            <rFont val="Tahoma"/>
            <family val="2"/>
          </rPr>
          <t>alfonso:</t>
        </r>
        <r>
          <rPr>
            <sz val="8"/>
            <color indexed="81"/>
            <rFont val="Tahoma"/>
            <family val="2"/>
          </rPr>
          <t xml:space="preserve">
la factura es de agosto por 6,063,36 USD¿?</t>
        </r>
      </text>
    </comment>
    <comment ref="AA72" authorId="2" shapeId="0" xr:uid="{1E22B23E-A29C-454C-B3E4-256028AFF68F}">
      <text>
        <r>
          <rPr>
            <b/>
            <sz val="9"/>
            <color indexed="81"/>
            <rFont val="Tahoma"/>
            <family val="2"/>
          </rPr>
          <t>Alberto Carmona:</t>
        </r>
        <r>
          <rPr>
            <sz val="9"/>
            <color indexed="81"/>
            <rFont val="Tahoma"/>
            <family val="2"/>
          </rPr>
          <t xml:space="preserve">
7k cbm brokeados con Cremer @ 2USD/cbm
12803,93 eu entran en banco
25,61 de comision bancaria</t>
        </r>
      </text>
    </comment>
    <comment ref="X73" authorId="3" shapeId="0" xr:uid="{120B3F0A-F564-4D51-A03F-2FF875FCCB37}">
      <text>
        <r>
          <rPr>
            <b/>
            <sz val="9"/>
            <color indexed="81"/>
            <rFont val="Tahoma"/>
            <family val="2"/>
          </rPr>
          <t>Backoffice:</t>
        </r>
        <r>
          <rPr>
            <sz val="9"/>
            <color indexed="81"/>
            <rFont val="Tahoma"/>
            <family val="2"/>
          </rPr>
          <t xml:space="preserve">
12k brokeados con Murex
=12126,722*1,789=21,694,71
en factura pone 24.253,44 USD</t>
        </r>
      </text>
    </comment>
    <comment ref="Z73" authorId="2" shapeId="0" xr:uid="{AAC6AA38-203A-42AF-AE08-DBF541137E0D}">
      <text>
        <r>
          <rPr>
            <sz val="9"/>
            <color indexed="81"/>
            <rFont val="Tahoma"/>
            <family val="2"/>
          </rPr>
          <t>7167 cbm brokeados con Seaboard @ 2USD/cbm
12963 eu entran en banco
25,93 de comision bancaria</t>
        </r>
      </text>
    </comment>
    <comment ref="C84" authorId="0" shapeId="0" xr:uid="{02C4C314-22BD-4EBC-B463-A5BC9BE153A8}">
      <text>
        <r>
          <rPr>
            <b/>
            <sz val="9"/>
            <color indexed="81"/>
            <rFont val="Tahoma"/>
            <family val="2"/>
          </rPr>
          <t>alfonso:
1000 aparecia en la linea de prestamo.</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recepción</author>
    <author>alfonso</author>
    <author>Alberto Carmona</author>
    <author>Backoffice</author>
    <author>Alberto</author>
  </authors>
  <commentList>
    <comment ref="CP6" authorId="0" shapeId="0" xr:uid="{25717488-6D38-4288-BF7C-31016C78092E}">
      <text>
        <r>
          <rPr>
            <b/>
            <sz val="9"/>
            <color indexed="81"/>
            <rFont val="Tahoma"/>
            <family val="2"/>
          </rPr>
          <t xml:space="preserve">Fra Alvinesa 20241710 (31/12/24): 
</t>
        </r>
        <r>
          <rPr>
            <sz val="9"/>
            <color indexed="81"/>
            <rFont val="Tahoma"/>
            <family val="2"/>
          </rPr>
          <t>31.124 L: Cisterna 1
29.908 L: Cisterna 2
Precio: 1,025
62.557,80€: Transferencia Caixa realizada el 17/01/25
por financiación 58.410,84€
Vcmto: 16/05/25</t>
        </r>
      </text>
    </comment>
    <comment ref="CT6" authorId="0" shapeId="0" xr:uid="{7846ECCC-921D-4298-B334-4B6A8B76EDEB}">
      <text>
        <r>
          <rPr>
            <b/>
            <sz val="9"/>
            <color indexed="81"/>
            <rFont val="Tahoma"/>
            <family val="2"/>
          </rPr>
          <t xml:space="preserve">Fra Alvinesa 20241710 (31/12/24): 
</t>
        </r>
        <r>
          <rPr>
            <sz val="9"/>
            <color indexed="81"/>
            <rFont val="Tahoma"/>
            <family val="2"/>
          </rPr>
          <t>31.124 L: Cisterna 1
29.908 L: Cisterna 2
Precio: 1,025
62.557,80€: Transferencia Caixa realizada el 17/01/25
por financiación 58.410,84€
Vcmto: 16/05/25
Cargado Caixa: 16/05/25</t>
        </r>
      </text>
    </comment>
    <comment ref="CP7" authorId="0" shapeId="0" xr:uid="{680B7F8D-BEA4-4725-828C-EEB2F8098991}">
      <text>
        <r>
          <rPr>
            <b/>
            <sz val="9"/>
            <color indexed="81"/>
            <rFont val="Tahoma"/>
            <family val="2"/>
          </rPr>
          <t xml:space="preserve">Fra Alvinesa 20241716 (31/12/24): 
</t>
        </r>
        <r>
          <rPr>
            <sz val="9"/>
            <color indexed="81"/>
            <rFont val="Tahoma"/>
            <family val="2"/>
          </rPr>
          <t>32.187 L: Cisterna 3
31.149 L: Cisterna 4
Precio: 1,025
64.919,41€: Pndte transferencia
23/01/25: OK Alberto para pagar, ya ha ingresado Totsa
Transf. Bankinter realizada el 23/01/25</t>
        </r>
      </text>
    </comment>
    <comment ref="CP8" authorId="0" shapeId="0" xr:uid="{31B0E115-AF64-4681-9A08-8768F6C6D2C8}">
      <text>
        <r>
          <rPr>
            <b/>
            <sz val="9"/>
            <color indexed="81"/>
            <rFont val="Tahoma"/>
            <family val="2"/>
          </rPr>
          <t xml:space="preserve">Fra Alvinesa 20250002 (03/01/25): 
</t>
        </r>
        <r>
          <rPr>
            <sz val="9"/>
            <color indexed="81"/>
            <rFont val="Tahoma"/>
            <family val="2"/>
          </rPr>
          <t>32.289 L: Cisterna 5
31.149 L: Cisterna 6
Precio: 1,025
65.023,96€: Pndte transferencia
23/01/25: OK Alberto para pagar, ya ha ingresado Totsa
Transf. Bankinter realizada el 23/01/25</t>
        </r>
      </text>
    </comment>
    <comment ref="Z9" authorId="1" shapeId="0" xr:uid="{E6263957-E908-41AB-A723-6BC367B8B300}">
      <text>
        <r>
          <rPr>
            <b/>
            <sz val="8"/>
            <color indexed="81"/>
            <rFont val="Tahoma"/>
            <family val="2"/>
          </rPr>
          <t>alfonso:</t>
        </r>
        <r>
          <rPr>
            <sz val="8"/>
            <color indexed="81"/>
            <rFont val="Tahoma"/>
            <family val="2"/>
          </rPr>
          <t xml:space="preserve">
15000+iva de anualidad Mktint 1 de 2
</t>
        </r>
      </text>
    </comment>
    <comment ref="CP9" authorId="0" shapeId="0" xr:uid="{F2F93DC8-CE67-43CC-91DA-C055F362735C}">
      <text>
        <r>
          <rPr>
            <b/>
            <sz val="9"/>
            <color indexed="81"/>
            <rFont val="Tahoma"/>
            <family val="2"/>
          </rPr>
          <t xml:space="preserve">Fra Alvinesa 20250003 (03/01/25): 
</t>
        </r>
        <r>
          <rPr>
            <sz val="9"/>
            <color indexed="81"/>
            <rFont val="Tahoma"/>
            <family val="2"/>
          </rPr>
          <t>31.276 L: Cisterna 7
31.529 L: Cisterna 8
Precio: 1,025
64.375,13€: Pndte transferencia
23/01/25: OK Alberto pagar cuando entre el ingreso Totsa
Transf. Bankinter realizada el 28/01/25</t>
        </r>
      </text>
    </comment>
    <comment ref="CP10" authorId="0" shapeId="0" xr:uid="{E66E01E7-5674-4DD2-B108-B97168BF8816}">
      <text>
        <r>
          <rPr>
            <b/>
            <sz val="9"/>
            <color indexed="81"/>
            <rFont val="Tahoma"/>
            <family val="2"/>
          </rPr>
          <t xml:space="preserve">Fra Alvinesa 20250008 (08/01/25): 
</t>
        </r>
        <r>
          <rPr>
            <sz val="9"/>
            <color indexed="81"/>
            <rFont val="Tahoma"/>
            <family val="2"/>
          </rPr>
          <t>30.845 L: Cisterna 9
31.022 L: Cisterna 10
30.845 L: Cisterna 11
Precio: 1,025
95.029,81€: Pndte transferencia
23/01/25: OK Alberto pagar cuando entre el ingreso Totsa
Transf. Bankinter realizada el 28/01/25</t>
        </r>
      </text>
    </comment>
    <comment ref="CP11" authorId="0" shapeId="0" xr:uid="{C6CEC67A-DA33-4D55-82D4-97C0797093FC}">
      <text>
        <r>
          <rPr>
            <b/>
            <sz val="9"/>
            <color indexed="81"/>
            <rFont val="Tahoma"/>
            <family val="2"/>
          </rPr>
          <t xml:space="preserve">Fra Alvinesa 20250013 (09/01/25): 
</t>
        </r>
        <r>
          <rPr>
            <sz val="9"/>
            <color indexed="81"/>
            <rFont val="Tahoma"/>
            <family val="2"/>
          </rPr>
          <t>30.744 L: Cisterna 12
30.845 L: Cisterna 13
Precio: 1,025
63.128,73€: Pndte transferencia
23/01/25: OK Alberto pagar cuando entre el ingreso Totsa
Transf. Bankinter realizada el 29/01/25</t>
        </r>
      </text>
    </comment>
    <comment ref="CP12" authorId="0" shapeId="0" xr:uid="{63A1910E-45A8-4422-AEBE-C3602E4371FD}">
      <text>
        <r>
          <rPr>
            <b/>
            <sz val="9"/>
            <color indexed="81"/>
            <rFont val="Tahoma"/>
            <family val="2"/>
          </rPr>
          <t xml:space="preserve">Fra Alvinesa 20250019 (10/01/25): 
</t>
        </r>
        <r>
          <rPr>
            <sz val="9"/>
            <color indexed="81"/>
            <rFont val="Tahoma"/>
            <family val="2"/>
          </rPr>
          <t>30.820 L: Cisterna 14
32.086 L: Cisterna 15
Precio: 1,025
64.478,65€: Pndte transferencia
23/01/25: OK Alberto pagar cuando entre el ingreso Totsa
Transf. Bankinter realizada el 29/01/25</t>
        </r>
      </text>
    </comment>
    <comment ref="CQ13" authorId="0" shapeId="0" xr:uid="{6C354876-8E5F-4429-946B-30901A70AFED}">
      <text>
        <r>
          <rPr>
            <b/>
            <sz val="9"/>
            <color indexed="81"/>
            <rFont val="Tahoma"/>
            <family val="2"/>
          </rPr>
          <t xml:space="preserve">Fra Alvinesa 20250024 (13/01/25): 
</t>
        </r>
        <r>
          <rPr>
            <sz val="9"/>
            <color indexed="81"/>
            <rFont val="Tahoma"/>
            <family val="2"/>
          </rPr>
          <t>29.908 L: Cisterna 16
30.643 L: Cisterna 17
31.833 L: Cisterna 18
Precio: 1,025
94.693,61€: Pndte transferencia
23/01/25: OK Alberto pagar cuando entre el ingreso Totsa
Transferencia Bankinter x el total 93.433,61€ realizada el 21/02/25</t>
        </r>
      </text>
    </comment>
    <comment ref="CQ14" authorId="0" shapeId="0" xr:uid="{3AC5679D-3FF0-4996-96B3-9892EC55DD9E}">
      <text>
        <r>
          <rPr>
            <b/>
            <sz val="9"/>
            <color indexed="81"/>
            <rFont val="Tahoma"/>
            <family val="2"/>
          </rPr>
          <t xml:space="preserve">Fra Alvinesa 20250028 (14/01/25): 
</t>
        </r>
        <r>
          <rPr>
            <sz val="9"/>
            <color indexed="81"/>
            <rFont val="Tahoma"/>
            <family val="2"/>
          </rPr>
          <t>31.098 L: Cisterna 19
31.402 L: Cisterna 20
Precio: 1,025
64.062,50€: Pndte transferencia
Transf. Bankinter realizada el 05/02/25</t>
        </r>
      </text>
    </comment>
    <comment ref="CQ15" authorId="0" shapeId="0" xr:uid="{89F04AF1-4870-426B-A7B2-665A67AE5C46}">
      <text>
        <r>
          <rPr>
            <b/>
            <sz val="9"/>
            <color indexed="81"/>
            <rFont val="Tahoma"/>
            <family val="2"/>
          </rPr>
          <t xml:space="preserve">Fra Alvinesa 20250032 (15/01/25): 
</t>
        </r>
        <r>
          <rPr>
            <sz val="9"/>
            <color indexed="81"/>
            <rFont val="Tahoma"/>
            <family val="2"/>
          </rPr>
          <t>30.921 L: Cisterna 21
31.022 L: Cisterna 22
Precio: 1,025
63.491,58€: Pndte transferencia
Transf. Bankinter realizada el 05/02/25</t>
        </r>
      </text>
    </comment>
    <comment ref="CQ16" authorId="0" shapeId="0" xr:uid="{059583DD-341A-41C9-8E16-276002DB66C8}">
      <text>
        <r>
          <rPr>
            <b/>
            <sz val="9"/>
            <color indexed="81"/>
            <rFont val="Tahoma"/>
            <family val="2"/>
          </rPr>
          <t xml:space="preserve">Fra Alvinesa 20250047 (17/01/25): 
</t>
        </r>
        <r>
          <rPr>
            <sz val="9"/>
            <color indexed="81"/>
            <rFont val="Tahoma"/>
            <family val="2"/>
          </rPr>
          <t xml:space="preserve">31.073 L: Cisterna 23
31.022 L: Cisterna 24
Precio: 1,025
63.647,38€: Pndte transferencia
Transf. Bankinter realizada el 05/02/25
</t>
        </r>
      </text>
    </comment>
    <comment ref="CQ17" authorId="0" shapeId="0" xr:uid="{A5D4543C-4F3D-4359-8C62-6E4AFC2E1F39}">
      <text>
        <r>
          <rPr>
            <b/>
            <sz val="9"/>
            <color indexed="81"/>
            <rFont val="Tahoma"/>
            <family val="2"/>
          </rPr>
          <t xml:space="preserve">Fra Alvinesa 20250052 (20/01/25): 
</t>
        </r>
        <r>
          <rPr>
            <sz val="9"/>
            <color indexed="81"/>
            <rFont val="Tahoma"/>
            <family val="2"/>
          </rPr>
          <t>30.972 L: Cisterna 25
30.567 L: Cisterna 26
Precio: 1,025
63.077,48€: Pndte transferencia
Transf. Bankinter realizada el 05/02/25</t>
        </r>
      </text>
    </comment>
    <comment ref="CQ18" authorId="0" shapeId="0" xr:uid="{9B3888C9-99BB-42E8-B5F3-CE05C697BF3E}">
      <text>
        <r>
          <rPr>
            <b/>
            <sz val="9"/>
            <color indexed="81"/>
            <rFont val="Tahoma"/>
            <family val="2"/>
          </rPr>
          <t xml:space="preserve">Fra Alvinesa 20250063 (21/01/25): 
</t>
        </r>
        <r>
          <rPr>
            <sz val="9"/>
            <color indexed="81"/>
            <rFont val="Tahoma"/>
            <family val="2"/>
          </rPr>
          <t>31.402 L: Cisterna 27
30.845 L: Cisterna 28
Precio: 1,025
63.803,18€: Pndte transferencia
Transf. Bankinter realizada el 05/02/25</t>
        </r>
      </text>
    </comment>
    <comment ref="CQ19" authorId="0" shapeId="0" xr:uid="{D21108F4-9988-4429-B8E3-8B15699733CE}">
      <text>
        <r>
          <rPr>
            <b/>
            <sz val="9"/>
            <color indexed="81"/>
            <rFont val="Tahoma"/>
            <family val="2"/>
          </rPr>
          <t xml:space="preserve">Fra Alvinesa 20250069 (22/01/25): 
</t>
        </r>
        <r>
          <rPr>
            <sz val="9"/>
            <color indexed="81"/>
            <rFont val="Tahoma"/>
            <family val="2"/>
          </rPr>
          <t>30.415 L: Cisterna 29
31.250 L: Cisterna 30
Precio: 1,025
63.206,63: Pndte transferencia
Transf. Bankinter realizada el 05/02/25</t>
        </r>
      </text>
    </comment>
    <comment ref="CQ20" authorId="0" shapeId="0" xr:uid="{8907DBB8-C0CB-4E13-B781-9CDF11B8EF79}">
      <text>
        <r>
          <rPr>
            <b/>
            <sz val="9"/>
            <color indexed="81"/>
            <rFont val="Tahoma"/>
            <family val="2"/>
          </rPr>
          <t>Fra: 2025/ALV/001 (05/02/25):</t>
        </r>
        <r>
          <rPr>
            <sz val="9"/>
            <color indexed="81"/>
            <rFont val="Tahoma"/>
            <family val="2"/>
          </rPr>
          <t xml:space="preserve">
Se corresponde con el pago de las fras de Pañalon por demora por 450 Eur cada una, hay que repercutírselo a Alvinesa
Fra abono: 2025/ALV/002 (12/02/25):
Fra: 2025/ALV/003 (12/02/25): SIN IVA
21/02/25: OK Pañalon descontar del pago pendiente
Transferencia Bankinter x el total 93.433,61€ realizada el 21/02/25
-----------------------------------------------
</t>
        </r>
        <r>
          <rPr>
            <b/>
            <sz val="9"/>
            <color indexed="81"/>
            <rFont val="Tahoma"/>
            <family val="2"/>
          </rPr>
          <t>Fra: 2025/ALV/004 (20/02/25):</t>
        </r>
        <r>
          <rPr>
            <sz val="9"/>
            <color indexed="81"/>
            <rFont val="Tahoma"/>
            <family val="2"/>
          </rPr>
          <t xml:space="preserve">
Se corresponde con el pago de las fras de Pañalon por demora por 360 Eur, hay que repercutírselo a Alvinesa
21/02/25: OK Pañalon descontar del pago pendiente
17/03/25: Realizamos fra de abono y nueva fra 2025/ALV/006
Transferencia Bankinter x el total 93.433,61€ realizada el 21/02/25</t>
        </r>
      </text>
    </comment>
    <comment ref="CP21" authorId="0" shapeId="0" xr:uid="{9A2E71AA-8747-4088-8068-1909CBE78636}">
      <text>
        <r>
          <rPr>
            <b/>
            <sz val="9"/>
            <color indexed="81"/>
            <rFont val="Tahoma"/>
            <family val="2"/>
          </rPr>
          <t xml:space="preserve">Fra Pañalon F20241200491 (31/12/24): </t>
        </r>
        <r>
          <rPr>
            <sz val="9"/>
            <color indexed="81"/>
            <rFont val="Tahoma"/>
            <family val="2"/>
          </rPr>
          <t xml:space="preserve">
Precio: 2.015€/camión
Cisterna 30/12/24
Cisterna 30/12/24
Cisterna 31/12/24
6.045€+21% IVA= 7314,45€: Pndte transferencia
Vcmto: 30/01/25
24/01/25: OK Alberto pagar
Transferencia Caixa realizada el 28/01/25 </t>
        </r>
      </text>
    </comment>
    <comment ref="CQ21" authorId="0" shapeId="0" xr:uid="{726A6DE4-B695-4B8A-A782-B0A8C88E8B3B}">
      <text>
        <r>
          <rPr>
            <b/>
            <sz val="9"/>
            <color indexed="81"/>
            <rFont val="Tahoma"/>
            <family val="2"/>
          </rPr>
          <t xml:space="preserve">Fra Pañalon F20250100189 (20/01/25): </t>
        </r>
        <r>
          <rPr>
            <sz val="9"/>
            <color indexed="81"/>
            <rFont val="Tahoma"/>
            <family val="2"/>
          </rPr>
          <t xml:space="preserve">
Paralización de carga 15/01/25
450€+21% IVA= 544,50€: 
Info Alberto: Las dos factura de demora por 450 Eur cada una, hay que repercutírselo a Alvinesa
Pndte transferencia cuando pague Alvinesa
Vcmto: 19/02/25
Transferencia Bankinter x el total 51.459,65€ realizada el 21/02/25
----------------------------------------
</t>
        </r>
        <r>
          <rPr>
            <b/>
            <sz val="9"/>
            <color indexed="81"/>
            <rFont val="Tahoma"/>
            <family val="2"/>
          </rPr>
          <t xml:space="preserve">Fra Pañalon F20250100190 (20/01/25): </t>
        </r>
        <r>
          <rPr>
            <sz val="9"/>
            <color indexed="81"/>
            <rFont val="Tahoma"/>
            <family val="2"/>
          </rPr>
          <t xml:space="preserve">
Paralización de carga 15/01/25
450€+21% IVA= 544,50€: 
Info Alberto: Las dos factura de demora por 450 Eur cada una, hay que repercutírselo a Alvinesa
Pndte transferencia cuando pague Alvinesa
Vcmto: 19/02/25
Transferencia Bankinter x el total 51.459,65€ realizada el 21/02/25
---------------------------------------
</t>
        </r>
        <r>
          <rPr>
            <b/>
            <sz val="9"/>
            <color indexed="81"/>
            <rFont val="Tahoma"/>
            <family val="2"/>
          </rPr>
          <t xml:space="preserve">Fra Pañalon F20250100188 (20/01/25): </t>
        </r>
        <r>
          <rPr>
            <sz val="9"/>
            <color indexed="81"/>
            <rFont val="Tahoma"/>
            <family val="2"/>
          </rPr>
          <t xml:space="preserve">
Paralización descarga 07/01/25
45€+21% IVA= 54,45€: 
Info Alberto: Las dos factura de demora por 450 Eur cada una, hay que repercutírselo a Alvinesa, no ésta.
Pndte transferencia
Vcmto: 19/02/25
Transferencia Bankinter x el total 51.459,65€ realizada el 21/02/25
---------------------------------------
</t>
        </r>
        <r>
          <rPr>
            <b/>
            <sz val="9"/>
            <color indexed="81"/>
            <rFont val="Tahoma"/>
            <family val="2"/>
          </rPr>
          <t xml:space="preserve">Fra Pañalon F20250100032 (10/01/25): </t>
        </r>
        <r>
          <rPr>
            <sz val="9"/>
            <color indexed="81"/>
            <rFont val="Tahoma"/>
            <family val="2"/>
          </rPr>
          <t xml:space="preserve">
Paralización carga 31/12/24
45€+21% IVA= 54,45€: 
Info Alberto: Hay que repercutírselo a Alvinesa
Pndte transferencia
Vcmto: 09/02/25
Transferencia Bankinter x el total 51.459,65€ realizada el 21/02/25
---------------------------------------------
</t>
        </r>
        <r>
          <rPr>
            <b/>
            <sz val="9"/>
            <color indexed="81"/>
            <rFont val="Tahoma"/>
            <family val="2"/>
          </rPr>
          <t xml:space="preserve">Fra Pañalon F20250100031 (10/01/25): </t>
        </r>
        <r>
          <rPr>
            <sz val="9"/>
            <color indexed="81"/>
            <rFont val="Tahoma"/>
            <family val="2"/>
          </rPr>
          <t xml:space="preserve">
Paralización carga 31/12/24
45€+21% IVA= 54,45€: 
Info Alberto: Hay que repercutírselo a Alvinesa
Pndte transferencia
Vcmto: 09/02/25
Transferencia Bankinter x el total 51.459,65€ realizada el 21/02/25
---------------------------------------
</t>
        </r>
        <r>
          <rPr>
            <b/>
            <sz val="9"/>
            <color indexed="81"/>
            <rFont val="Tahoma"/>
            <family val="2"/>
          </rPr>
          <t xml:space="preserve">Fra Pañalon F20241200506  (31/12/24): </t>
        </r>
        <r>
          <rPr>
            <sz val="9"/>
            <color indexed="81"/>
            <rFont val="Tahoma"/>
            <family val="2"/>
          </rPr>
          <t xml:space="preserve">
Paralización carga 30/12/24
112,5€+21% IVA= 136,13€: 
Info Alberto: Hay que repercutírselo a Alvinesa
Pndte transferencia
Vcmto: 30/01/25
Transferencia Bankinter x el total 51.459,65€ realizada el 21/02/25
-------------------------------------------
</t>
        </r>
        <r>
          <rPr>
            <b/>
            <sz val="9"/>
            <color indexed="81"/>
            <rFont val="Tahoma"/>
            <family val="2"/>
          </rPr>
          <t xml:space="preserve">Fra Pañalon F20241200505 (31/12/24): </t>
        </r>
        <r>
          <rPr>
            <sz val="9"/>
            <color indexed="81"/>
            <rFont val="Tahoma"/>
            <family val="2"/>
          </rPr>
          <t xml:space="preserve">
Paralización carga 30/12/24
112,5€+21% IVA= 136,13€: 
Info Alberto: Hay que repercutírselo a Alvinesa
Pndte transferencia
Vcmto: 30/01/25
Transferencia Bankinter x el total 51.459,65€ realizada el 21/02/25
-------------------------------------------
</t>
        </r>
        <r>
          <rPr>
            <b/>
            <sz val="9"/>
            <color indexed="81"/>
            <rFont val="Tahoma"/>
            <family val="2"/>
          </rPr>
          <t>Fra Pañalon F20250100170 (20/01/25)</t>
        </r>
        <r>
          <rPr>
            <sz val="9"/>
            <color indexed="81"/>
            <rFont val="Tahoma"/>
            <family val="2"/>
          </rPr>
          <t xml:space="preserve">: 
Precio: 2.015€/camión
+50,98€ Incremento gasoil
Cisterna 10/01/25
2.065,98€+21% IVA= 2.499,84€: Pndte transferencia
Vcmto: 19/02/25- La envían el 20/02/25
Transferencia Bankinter x el total 51.459,65€ realizada el 21/02/25
--------------------------------------------
</t>
        </r>
        <r>
          <rPr>
            <b/>
            <sz val="9"/>
            <color indexed="81"/>
            <rFont val="Tahoma"/>
            <family val="2"/>
          </rPr>
          <t>Fra Pañalon F20250100026 (08/01/25):</t>
        </r>
        <r>
          <rPr>
            <sz val="9"/>
            <color indexed="81"/>
            <rFont val="Tahoma"/>
            <family val="2"/>
          </rPr>
          <t xml:space="preserve"> 
Precio: 2.015€/camión
+50,98€ Incremento gasoil
Cisterna 02/01/25
Cisterna 02/01/25
Cisterna 03/01/25
6.197,94€+21% IVA= 7.499,51€: Pndte transferencia
Vcmto: 07/02/25- La envían el 20/02/25
Transferencia Bankinter x el total 51.459,65€ realizada el 21/02/25
--------------------------------------------------
</t>
        </r>
        <r>
          <rPr>
            <b/>
            <sz val="9"/>
            <color indexed="81"/>
            <rFont val="Tahoma"/>
            <family val="2"/>
          </rPr>
          <t xml:space="preserve">Fra Pañalon F20250100327 (31/01/25): </t>
        </r>
        <r>
          <rPr>
            <sz val="9"/>
            <color indexed="81"/>
            <rFont val="Tahoma"/>
            <family val="2"/>
          </rPr>
          <t xml:space="preserve">
Precio: 2.015€/camión
+50,98€ Incremento gasoil
Cisterna 17/01/25
Cisterna 20/01/25
4.131,96€+21% IVA= 4.999,67€: Pndte transferencia
Vcmto: 02/03/25- La envían el 20/02/25
Transferencia Bankinter x el total 51.459,65€ realizada el 21/02/25
--------------------------------------------------
</t>
        </r>
        <r>
          <rPr>
            <b/>
            <sz val="9"/>
            <color indexed="81"/>
            <rFont val="Tahoma"/>
            <family val="2"/>
          </rPr>
          <t xml:space="preserve">Fra Pañalon F20241200504 (31/12/24): </t>
        </r>
        <r>
          <rPr>
            <sz val="9"/>
            <color indexed="81"/>
            <rFont val="Tahoma"/>
            <family val="2"/>
          </rPr>
          <t xml:space="preserve">
Precio: 2.015€/camión
Cisterna 31/12/24
2.015€+21% IVA= 2.438,15€: Pndte transferencia
Vcmto: 30/01/25- La envían el 20/02/25
Transferencia Bankinter x el total 51.459,65€ realizada el 21/02/25
--------------------------------------------------
</t>
        </r>
        <r>
          <rPr>
            <b/>
            <sz val="9"/>
            <color indexed="81"/>
            <rFont val="Tahoma"/>
            <family val="2"/>
          </rPr>
          <t xml:space="preserve">Fra Pañalon F20250100276 (28/01/25): </t>
        </r>
        <r>
          <rPr>
            <sz val="9"/>
            <color indexed="81"/>
            <rFont val="Tahoma"/>
            <family val="2"/>
          </rPr>
          <t xml:space="preserve">
Precio: 2.015€/camión
+50,98€ Incremento gasoil
Cisterna 21/01/25
2.065,98€+21% IVA= 2.499,84€: Pndte transferencia
Vcmto: 27/02/25- La envían el 20/02/25
Transferencia Bankinter x el total 51.459,65€ realizada el 21/02/25
------------------------------------------------
</t>
        </r>
        <r>
          <rPr>
            <b/>
            <sz val="9"/>
            <color indexed="81"/>
            <rFont val="Tahoma"/>
            <family val="2"/>
          </rPr>
          <t xml:space="preserve">Fra Pañalon F20250100221 (22/01/25): </t>
        </r>
        <r>
          <rPr>
            <sz val="9"/>
            <color indexed="81"/>
            <rFont val="Tahoma"/>
            <family val="2"/>
          </rPr>
          <t xml:space="preserve">
Precio: 2.015€/camión
+50,98€ Incremento gasoil
Cisterna 08/01/25
2.065,98€+21% IVA= 2.499,84€: Pndte transferencia
Vcmto: 21/02/25- La envían el 20/02/25
Transferencia Bankinter x el total 51.459,65€ realizada el 21/02/25
------------------------------------------
</t>
        </r>
        <r>
          <rPr>
            <b/>
            <sz val="9"/>
            <color indexed="81"/>
            <rFont val="Tahoma"/>
            <family val="2"/>
          </rPr>
          <t xml:space="preserve">Fra Pañalon F20250100249 (25/01/25): </t>
        </r>
        <r>
          <rPr>
            <sz val="9"/>
            <color indexed="81"/>
            <rFont val="Tahoma"/>
            <family val="2"/>
          </rPr>
          <t xml:space="preserve">
Precio: 2.015€/camión
+50,98€ Incremento gasoil
Cisterna 09/01/25
Cisterna 14/01/25
Cisterna 15/01/25
6.197,94€+21% IVA= 7.499,51€: Pndte transferencia
Vcmto: 24/02/25- La envían el 20/02/25
Transferencia Bankinter x el total 51.459,65€ realizada el 21/02/25
--------------------------------------------------
</t>
        </r>
        <r>
          <rPr>
            <b/>
            <sz val="9"/>
            <color indexed="81"/>
            <rFont val="Tahoma"/>
            <family val="2"/>
          </rPr>
          <t xml:space="preserve">Fra Pañalon F20250100250 (25/01/25): </t>
        </r>
        <r>
          <rPr>
            <sz val="9"/>
            <color indexed="81"/>
            <rFont val="Tahoma"/>
            <family val="2"/>
          </rPr>
          <t xml:space="preserve">
Precio: 2.015€/camión
+50,98€ Incremento gasoil
Cisterna 10/01/25
Cisterna 17/01/25
4.131,96€+21% IVA= 4.999,67€: Pndte transferencia
Vcmto: 24/02/25- La envían el 20/02/25
Transferencia Bankinter x el total 51.459,65€ realizada el 21/02/25
--------------------------------------------------
</t>
        </r>
        <r>
          <rPr>
            <b/>
            <sz val="9"/>
            <color indexed="81"/>
            <rFont val="Tahoma"/>
            <family val="2"/>
          </rPr>
          <t xml:space="preserve">Fra Pañalon F20250100275 (28/01/25): </t>
        </r>
        <r>
          <rPr>
            <sz val="9"/>
            <color indexed="81"/>
            <rFont val="Tahoma"/>
            <family val="2"/>
          </rPr>
          <t xml:space="preserve">
Precio: 2.015€/camión
+50,98€ Incremento gasoil
Cisterna 14/01/25
Cisterna 15/01/25
4.131,96€+21% IVA= 4.999,67€: Pndte transferencia
Vcmto: 27/02/25- La envían el 20/02/25
Transferencia Bankinter x el total 51.459,65€ realizada el 21/02/25
------------------------------------------
</t>
        </r>
        <r>
          <rPr>
            <b/>
            <sz val="9"/>
            <color indexed="81"/>
            <rFont val="Tahoma"/>
            <family val="2"/>
          </rPr>
          <t xml:space="preserve">Fra Pañalon F20250100045 (15/01/25): </t>
        </r>
        <r>
          <rPr>
            <sz val="9"/>
            <color indexed="81"/>
            <rFont val="Tahoma"/>
            <family val="2"/>
          </rPr>
          <t xml:space="preserve">
Precio: 2.015€/camión
+50,98€ Incremento gasoil
Cisterna 07/01/25
Cisterna 07/01/25
Cisterna 07/01/25
Cisterna 09/01/25
8.263,92€+21% IVA= 9.999,34€: Pndte transferencia
Vcmto: 14/02/25- La envían el 20/02/25
Transferencia Bankinter x el total 51.459,65€ realizada el 21/02/25
------------------------------------------------
</t>
        </r>
        <r>
          <rPr>
            <b/>
            <sz val="9"/>
            <color indexed="81"/>
            <rFont val="Tahoma"/>
            <family val="2"/>
          </rPr>
          <t xml:space="preserve">Fra Pañalon F20250100401 (31/01/25): </t>
        </r>
        <r>
          <rPr>
            <sz val="9"/>
            <color indexed="81"/>
            <rFont val="Tahoma"/>
            <family val="2"/>
          </rPr>
          <t xml:space="preserve">
Precio: 2.015€/camión
+50,98€ Incremento gasoil
Cisterna 03/01/25
Cisterna 08/01/25
Cisterna 10/01/25
Cisterna 13/01/25
Cisterna 13/01/25
Cisterna 20/01/25
Cisterna 21/01/25
14.461,86€+21% IVA= 17.498,85€: Pndte transferencia
Vcmto: 02/03/25
06/02/25: OK Alberto pagar a vcmto
Transferencia Bankinter realizada el 27/02/25</t>
        </r>
      </text>
    </comment>
    <comment ref="X22" authorId="1" shapeId="0" xr:uid="{C365AA13-6F14-4845-BAC8-401B662B7FC0}">
      <text>
        <r>
          <rPr>
            <b/>
            <sz val="8"/>
            <color indexed="81"/>
            <rFont val="Tahoma"/>
            <family val="2"/>
          </rPr>
          <t>alfonso:</t>
        </r>
        <r>
          <rPr>
            <sz val="8"/>
            <color indexed="81"/>
            <rFont val="Tahoma"/>
            <family val="2"/>
          </rPr>
          <t xml:space="preserve">
factura de agosto
(Hacen dos pagos por error)</t>
        </r>
      </text>
    </comment>
    <comment ref="CY22" authorId="0" shapeId="0" xr:uid="{009066DC-23DD-4665-8D90-4C88BECD6C25}">
      <text>
        <r>
          <rPr>
            <sz val="9"/>
            <color indexed="81"/>
            <rFont val="Tahoma"/>
            <family val="2"/>
          </rPr>
          <t>Pptdo por 12.375€= 900*11,25+1500*1,5
Fra 1/2025 (23/05/25):
15.570€: Importe
-2.335,50€: -15% retención
+3.269,70€: +21% IVA
16.504,20€: Transf. Caixa realizada el 28/05/25
por financiación 
Vcmto: 25/09/25
Cargado Caixa: 25/09/25</t>
        </r>
      </text>
    </comment>
    <comment ref="CR23" authorId="0" shapeId="0" xr:uid="{90BC7BD4-CD62-41CD-B4A4-07B91E8EB819}">
      <text>
        <r>
          <rPr>
            <b/>
            <sz val="9"/>
            <color indexed="81"/>
            <rFont val="Tahoma"/>
            <family val="2"/>
          </rPr>
          <t xml:space="preserve">Fra Alvinesa 20250224 (25/02/25): 
</t>
        </r>
        <r>
          <rPr>
            <sz val="9"/>
            <color indexed="81"/>
            <rFont val="Tahoma"/>
            <family val="2"/>
          </rPr>
          <t>31.326 L: Cisterna 1
Precio: 0,9467
29.656,32€: Pndte transferencia
Transf. Bankinter realizada el 25/03/25</t>
        </r>
      </text>
    </comment>
    <comment ref="CR24" authorId="0" shapeId="0" xr:uid="{03574171-A5E1-4248-A72C-5F7C2E886743}">
      <text>
        <r>
          <rPr>
            <b/>
            <sz val="9"/>
            <color indexed="81"/>
            <rFont val="Tahoma"/>
            <family val="2"/>
          </rPr>
          <t xml:space="preserve">Fra Alvinesa 20250234 (26/02/25): 
</t>
        </r>
        <r>
          <rPr>
            <sz val="9"/>
            <color indexed="81"/>
            <rFont val="Tahoma"/>
            <family val="2"/>
          </rPr>
          <t>30.541 L: Cisterna 2
31.301 L: Cisterna 3
31.833 L: Cisterna 4
Precio: 0,9467
88.682,12€: Pndte transferencia
Transf. Bankinter realizada el 25/03/25</t>
        </r>
      </text>
    </comment>
    <comment ref="CR25" authorId="0" shapeId="0" xr:uid="{25A127E6-0D55-4C42-9D7F-DA9D92EF2255}">
      <text>
        <r>
          <rPr>
            <b/>
            <sz val="9"/>
            <color indexed="81"/>
            <rFont val="Tahoma"/>
            <family val="2"/>
          </rPr>
          <t xml:space="preserve">Fra Alvinesa 20250243 (27/02/25): 
</t>
        </r>
        <r>
          <rPr>
            <sz val="9"/>
            <color indexed="81"/>
            <rFont val="Tahoma"/>
            <family val="2"/>
          </rPr>
          <t>31.174 L: Cisterna 5
30.009 L: Cisterna 6
30.060 L: Cisterna 7
Precio: 0,9467
86.379,75€: Pndte transferencia
Transf. Bankinter realizada el 25/03/25</t>
        </r>
      </text>
    </comment>
    <comment ref="CR26" authorId="0" shapeId="0" xr:uid="{58AACC24-DC71-4124-8D59-7225BBD826EB}">
      <text>
        <r>
          <rPr>
            <b/>
            <sz val="9"/>
            <color indexed="81"/>
            <rFont val="Tahoma"/>
            <family val="2"/>
          </rPr>
          <t xml:space="preserve">Fra Alvinesa 20250256 (28/02/25): 
</t>
        </r>
        <r>
          <rPr>
            <sz val="9"/>
            <color indexed="81"/>
            <rFont val="Tahoma"/>
            <family val="2"/>
          </rPr>
          <t>30.389 L: Cisterna 8
30.288 L: Cisterna 9
31.225 L: Cisterna 10
Precio: 0,9467
87.003,63€: Pndte transferencia
Transf. Bankinter realizada el 25/03/25</t>
        </r>
      </text>
    </comment>
    <comment ref="CR27" authorId="0" shapeId="0" xr:uid="{3D4DE6EF-054D-46F7-9160-2F9EEB6118E1}">
      <text>
        <r>
          <rPr>
            <b/>
            <sz val="9"/>
            <color indexed="81"/>
            <rFont val="Tahoma"/>
            <family val="2"/>
          </rPr>
          <t xml:space="preserve">Fra Alvinesa 20250264 (04/03/25): 
</t>
        </r>
        <r>
          <rPr>
            <sz val="9"/>
            <color indexed="81"/>
            <rFont val="Tahoma"/>
            <family val="2"/>
          </rPr>
          <t>30.440 L: Cisterna 11
31.073 L: Cisterna 12
30.491 L: Cisterna 13
Precio: 0,9467
87.100,19€: Pndte transferencia
Transf. Bankinter realizada el 25/03/25</t>
        </r>
      </text>
    </comment>
    <comment ref="CR28" authorId="0" shapeId="0" xr:uid="{513C700B-4D8B-4029-A614-25CF636423D9}">
      <text>
        <r>
          <rPr>
            <b/>
            <sz val="9"/>
            <color indexed="81"/>
            <rFont val="Tahoma"/>
            <family val="2"/>
          </rPr>
          <t xml:space="preserve">Fra Alvinesa 20250269 (05/03/25): 
</t>
        </r>
        <r>
          <rPr>
            <sz val="9"/>
            <color indexed="81"/>
            <rFont val="Tahoma"/>
            <family val="2"/>
          </rPr>
          <t>30.491 L: Cisterna 14
30.947 L: Cisterna 15
31.073 L: Cisterna 16
30.921 L: Cisterna 17
Precio: 0,9467
116.853,07€: Pndte transferencia
Transf. Bankinter realizada el 28/03/25</t>
        </r>
      </text>
    </comment>
    <comment ref="CR29" authorId="0" shapeId="0" xr:uid="{5C326836-ACA6-4039-8E85-B85EC80F820F}">
      <text>
        <r>
          <rPr>
            <b/>
            <sz val="9"/>
            <color indexed="81"/>
            <rFont val="Tahoma"/>
            <family val="2"/>
          </rPr>
          <t xml:space="preserve">Fra Alvinesa 20250274 (06/03/25): 
</t>
        </r>
        <r>
          <rPr>
            <sz val="9"/>
            <color indexed="81"/>
            <rFont val="Tahoma"/>
            <family val="2"/>
          </rPr>
          <t>31.782 L: Cisterna 18
30.972 L: Cisterna 19
31.225 L: Cisterna 20
Precio: 0,9467
88.969,92€: Pndte transferencia
Transf. Bankinter realizada el 28/03/25</t>
        </r>
      </text>
    </comment>
    <comment ref="CR30" authorId="0" shapeId="0" xr:uid="{45107892-7C2E-469B-AAA8-7296782C68AE}">
      <text>
        <r>
          <rPr>
            <b/>
            <sz val="9"/>
            <color indexed="81"/>
            <rFont val="Tahoma"/>
            <family val="2"/>
          </rPr>
          <t xml:space="preserve">Fra Alvinesa 20250280 (07/03/25): 
</t>
        </r>
        <r>
          <rPr>
            <sz val="9"/>
            <color indexed="81"/>
            <rFont val="Tahoma"/>
            <family val="2"/>
          </rPr>
          <t>30.896 L: Cisterna 21
31.200 L: Cisterna 22
31.301 L: Cisterna 23
Precio: 0,9467
88.418,94€: Pndte transferencia
Transf. Bankinter realizada el 28/03/25</t>
        </r>
      </text>
    </comment>
    <comment ref="CS31" authorId="0" shapeId="0" xr:uid="{6CFED94D-9C80-49C2-88BF-E35AAF78257F}">
      <text>
        <r>
          <rPr>
            <b/>
            <sz val="9"/>
            <color indexed="81"/>
            <rFont val="Tahoma"/>
            <family val="2"/>
          </rPr>
          <t xml:space="preserve">Fra Alvinesa 20250283 (10/03/25): 
</t>
        </r>
        <r>
          <rPr>
            <sz val="9"/>
            <color indexed="81"/>
            <rFont val="Tahoma"/>
            <family val="2"/>
          </rPr>
          <t>30.592 L: Cisterna 24
31.757 L: Cisterna 25
31.884 L: Cisterna 26
30.997 L: Cisterna 27
Precio: 0,9467
118.555,24€: Pndte transferencia
Transf. Bankinter realizada el 02/04/25</t>
        </r>
      </text>
    </comment>
    <comment ref="CS32" authorId="0" shapeId="0" xr:uid="{95AD7877-435B-4B36-A882-03E6B2689B45}">
      <text>
        <r>
          <rPr>
            <b/>
            <sz val="9"/>
            <color indexed="81"/>
            <rFont val="Tahoma"/>
            <family val="2"/>
          </rPr>
          <t xml:space="preserve">Fra Alvinesa 20250289 (11/03/25): 
</t>
        </r>
        <r>
          <rPr>
            <sz val="9"/>
            <color indexed="81"/>
            <rFont val="Tahoma"/>
            <family val="2"/>
          </rPr>
          <t xml:space="preserve">31.808 L: Cisterna 28
31.884 L: Cisterna 29
31.453 L: Cisterna 30
31.352 L: Cisterna 31
32.086 L: Cisterna 32
31.808 L: Cisterna 33
</t>
        </r>
        <r>
          <rPr>
            <b/>
            <i/>
            <sz val="9"/>
            <color indexed="81"/>
            <rFont val="Tahoma"/>
            <family val="2"/>
          </rPr>
          <t>30.972 L: Cisterna 37</t>
        </r>
        <r>
          <rPr>
            <sz val="9"/>
            <color indexed="81"/>
            <rFont val="Tahoma"/>
            <family val="2"/>
          </rPr>
          <t xml:space="preserve">
Precio: 0,9467
209.564,35€: Pndte transferencia
Transf. Bankinter realizada el 11/04/25</t>
        </r>
      </text>
    </comment>
    <comment ref="CS33" authorId="0" shapeId="0" xr:uid="{E4502941-9A6B-4C79-9597-BE49F5D11C08}">
      <text>
        <r>
          <rPr>
            <b/>
            <sz val="9"/>
            <color indexed="81"/>
            <rFont val="Tahoma"/>
            <family val="2"/>
          </rPr>
          <t xml:space="preserve">Fra Alvinesa 20250294 (12/03/25): 
</t>
        </r>
        <r>
          <rPr>
            <sz val="9"/>
            <color indexed="81"/>
            <rFont val="Tahoma"/>
            <family val="2"/>
          </rPr>
          <t>30.744 L: Cisterna 34
31.706 L: Cisterna 35
Precio: 0,9467
59.121,41€: Pndte transferencia
Transf. Bankinter realizada el 07/04/25</t>
        </r>
      </text>
    </comment>
    <comment ref="CS34" authorId="0" shapeId="0" xr:uid="{311A0746-DE6C-4CA5-B061-C400DCAAC012}">
      <text>
        <r>
          <rPr>
            <b/>
            <sz val="9"/>
            <color indexed="81"/>
            <rFont val="Tahoma"/>
            <family val="2"/>
          </rPr>
          <t xml:space="preserve">Fra Alvinesa 20250308 (14/03/25): 
</t>
        </r>
        <r>
          <rPr>
            <sz val="9"/>
            <color indexed="81"/>
            <rFont val="Tahoma"/>
            <family val="2"/>
          </rPr>
          <t>30.016,07 L: Cisterna 36
Precio: 0,9467
30.016,07€: Pndte transferencia
Transf. Bankinter realizada el 07/04/25</t>
        </r>
      </text>
    </comment>
    <comment ref="CS35" authorId="0" shapeId="0" xr:uid="{00392E20-F1BA-44F1-ADD8-A6CB3858A633}">
      <text>
        <r>
          <rPr>
            <b/>
            <sz val="9"/>
            <color indexed="81"/>
            <rFont val="Tahoma"/>
            <family val="2"/>
          </rPr>
          <t xml:space="preserve">Fra Alvinesa 20250312 (17/03/25): 
</t>
        </r>
        <r>
          <rPr>
            <sz val="9"/>
            <color indexed="81"/>
            <rFont val="Tahoma"/>
            <family val="2"/>
          </rPr>
          <t>31.073 L: Cisterna 38
30.921 L: Cisterna 39
31.073 L: Cisterna 40
Precio: 0,9467
88106,53€: Pndte transferencia
Transf. Bankinter realizada el 11/04/25</t>
        </r>
      </text>
    </comment>
    <comment ref="CS36" authorId="0" shapeId="0" xr:uid="{027A71C8-4747-4A3C-A4E7-8750FFE5C439}">
      <text>
        <r>
          <rPr>
            <b/>
            <sz val="9"/>
            <color indexed="81"/>
            <rFont val="Tahoma"/>
            <family val="2"/>
          </rPr>
          <t xml:space="preserve">Fra Alvinesa 20250324 (18/03/25): 
</t>
        </r>
        <r>
          <rPr>
            <sz val="9"/>
            <color indexed="81"/>
            <rFont val="Tahoma"/>
            <family val="2"/>
          </rPr>
          <t>31.681 L: Cisterna 41
Precio: 0,9467
29.992,40€: Pndte transferencia
Transf. Bankinter x el total 28.644,30€ realizada el 11/04/25</t>
        </r>
      </text>
    </comment>
    <comment ref="CS37" authorId="0" shapeId="0" xr:uid="{BCA04ACF-14D4-4EBC-A650-941A1EE662EA}">
      <text>
        <r>
          <rPr>
            <b/>
            <sz val="9"/>
            <color indexed="81"/>
            <rFont val="Tahoma"/>
            <family val="2"/>
          </rPr>
          <t xml:space="preserve">Fra Alvinesa AB2025024 (26/03/25): 
</t>
        </r>
        <r>
          <rPr>
            <sz val="9"/>
            <color indexed="81"/>
            <rFont val="Tahoma"/>
            <family val="2"/>
          </rPr>
          <t>-901 L: Cisterna 40
-523 L: Cisterna 41
Precio: 0,9467
-1.348,10€: Pndte abono
Transf. Bankinter x el total 28.644,30€ realizada el 11/04/25</t>
        </r>
      </text>
    </comment>
    <comment ref="CY38" authorId="0" shapeId="0" xr:uid="{63F2E94E-033D-4E6D-8122-C002FEF427D1}">
      <text>
        <r>
          <rPr>
            <b/>
            <sz val="9"/>
            <color indexed="81"/>
            <rFont val="Tahoma"/>
            <family val="2"/>
          </rPr>
          <t xml:space="preserve">Fra Alvinesa 20250329 (19/03/25): 
</t>
        </r>
        <r>
          <rPr>
            <sz val="9"/>
            <color indexed="81"/>
            <rFont val="Tahoma"/>
            <family val="2"/>
          </rPr>
          <t>30.643 L: Cisterna 42
Precio: 0,9467
29.009,73€: Pndte transferencia
29.009,73€: Transferencia Caixa x el total 22.439,73€ (10.000€+12.439,73€) realizada el 16/05/25
por financiación 
Vcmto: 16/09/25
Cargado Caixa: 16/09/25</t>
        </r>
      </text>
    </comment>
    <comment ref="CS39" authorId="0" shapeId="0" xr:uid="{B6945DFD-2B77-4351-ABDB-0818D83DA976}">
      <text>
        <r>
          <rPr>
            <b/>
            <sz val="9"/>
            <color indexed="81"/>
            <rFont val="Tahoma"/>
            <family val="2"/>
          </rPr>
          <t xml:space="preserve">Fra Alvinesa 20250333 (20/03/25): 
</t>
        </r>
        <r>
          <rPr>
            <sz val="9"/>
            <color indexed="81"/>
            <rFont val="Tahoma"/>
            <family val="2"/>
          </rPr>
          <t>32.111 L: Cisterna 43
31.124 L: Cisterna 44
Precio: 0,9467
59.864,57€: Pndte transferencia
Transf. Bankinter realizada el 07/04/25</t>
        </r>
      </text>
    </comment>
    <comment ref="CS40" authorId="0" shapeId="0" xr:uid="{37A73910-8F00-45CD-A9A7-CD1CBE17500A}">
      <text>
        <r>
          <rPr>
            <b/>
            <sz val="9"/>
            <color indexed="81"/>
            <rFont val="Tahoma"/>
            <family val="2"/>
          </rPr>
          <t xml:space="preserve">Fra Alvinesa 20250338 (21/03/25): 
</t>
        </r>
        <r>
          <rPr>
            <sz val="9"/>
            <color indexed="81"/>
            <rFont val="Tahoma"/>
            <family val="2"/>
          </rPr>
          <t>31.808 L: Cisterna 45
30.845 L: Cisterna 46
31.352 L: Cisterna 47
31.808 L: Cisterna 48
Precio: 0,9467
119.107,16€: Pndte transferencia
Transf. Bankinter realizada el 07/04/25</t>
        </r>
      </text>
    </comment>
    <comment ref="CY41" authorId="0" shapeId="0" xr:uid="{7984891B-5E17-4A21-A93A-11733B6F3BFF}">
      <text>
        <r>
          <rPr>
            <b/>
            <sz val="9"/>
            <color indexed="81"/>
            <rFont val="Tahoma"/>
            <family val="2"/>
          </rPr>
          <t xml:space="preserve">Fra Alvinesa AB2025030 (09/04/25): 
</t>
        </r>
        <r>
          <rPr>
            <sz val="9"/>
            <color indexed="81"/>
            <rFont val="Tahoma"/>
            <family val="2"/>
          </rPr>
          <t>-4.500€: Abono por diferencia de precio Febrero-Marzo de transporte
-4.500€: Transferencia Caixa x el total 22.439,73€ (10.000€+12.439,73€) realizada el 16/05/25
por financiación 
Vcmto: 16/09/25
Cargado Caixa: 16/09/25</t>
        </r>
      </text>
    </comment>
    <comment ref="CY42" authorId="0" shapeId="0" xr:uid="{7F08BBE4-6289-49A9-A907-81CDE541F839}">
      <text>
        <r>
          <rPr>
            <b/>
            <sz val="9"/>
            <color indexed="81"/>
            <rFont val="Tahoma"/>
            <family val="2"/>
          </rPr>
          <t>Fra: 2025/ALV/007 (29/04/25):
SIN IVA</t>
        </r>
        <r>
          <rPr>
            <sz val="9"/>
            <color indexed="81"/>
            <rFont val="Tahoma"/>
            <family val="2"/>
          </rPr>
          <t xml:space="preserve">
Se corresponde con el pago de las fras de Pañalon por demora por 2.070Eur, hay que repercutírselo a Alvinesa
15/05/25: OK Alvinesa si descontamos del pago pendiente
-2.070€: Transferencia Caixa x el total 22.439,73€ (10.000€+12.439,73€) realizada el 16/05/25
por financiación 
Vcmto: 16/09/25
Cargado Caixa: 16/09/25
</t>
        </r>
      </text>
    </comment>
    <comment ref="CS43" authorId="0" shapeId="0" xr:uid="{FCCFBCCF-8DAA-414B-A5E0-659A300DD916}">
      <text>
        <r>
          <rPr>
            <b/>
            <sz val="9"/>
            <color indexed="81"/>
            <rFont val="Tahoma"/>
            <family val="2"/>
          </rPr>
          <t xml:space="preserve">Fra Pañalon F20250300029   (07/03/25): </t>
        </r>
        <r>
          <rPr>
            <sz val="9"/>
            <color indexed="81"/>
            <rFont val="Tahoma"/>
            <family val="2"/>
          </rPr>
          <t xml:space="preserve">
Precio: 2.015€/camión
+90,47€ Incremento gasoil
Cisterna 03/03/25
Cisterna 04/03/25
4.210,94€: Pndte transferencia
Vcmto: 06/04/25
Transferencia Bankinter por el total 20.043,47€ realizada el 25/04/25
------------------------------------------
</t>
        </r>
        <r>
          <rPr>
            <b/>
            <sz val="9"/>
            <color indexed="81"/>
            <rFont val="Tahoma"/>
            <family val="2"/>
          </rPr>
          <t xml:space="preserve">Fra Pañalon F20250300088 (11/03/25): </t>
        </r>
        <r>
          <rPr>
            <sz val="9"/>
            <color indexed="81"/>
            <rFont val="Tahoma"/>
            <family val="2"/>
          </rPr>
          <t xml:space="preserve">
Precio: 2.015€/camión
+80,60€ Incremento gasoil
Cisterna 25/02/25
Cisterna 26/02/25
Cisterna 26/02/25
6.286,80€: Pndte transferencia
Vcmto: 10/04/25
Transferencia Bankinter por el total 20.043,47€ realizada el 25/04/25
--------------------------------------
</t>
        </r>
        <r>
          <rPr>
            <b/>
            <sz val="9"/>
            <color indexed="81"/>
            <rFont val="Tahoma"/>
            <family val="2"/>
          </rPr>
          <t>Fra Pañalon F20250300089  (11/03/25):</t>
        </r>
        <r>
          <rPr>
            <sz val="9"/>
            <color indexed="81"/>
            <rFont val="Tahoma"/>
            <family val="2"/>
          </rPr>
          <t xml:space="preserve"> 
Precio: 2.015€/camión
+90,47€ Incremento gasoil
Cisterna 04/03/25
2.105,47€: Pndte transferencia
Vcmto: 10/04/25
Transferencia Bankinter por el total 20.043,47€ realizada el 25/04/25
------------------------------------------
</t>
        </r>
        <r>
          <rPr>
            <b/>
            <sz val="9"/>
            <color indexed="81"/>
            <rFont val="Tahoma"/>
            <family val="2"/>
          </rPr>
          <t xml:space="preserve">Fra Pañalon F20250300091 (11/03/25): </t>
        </r>
        <r>
          <rPr>
            <sz val="9"/>
            <color indexed="81"/>
            <rFont val="Tahoma"/>
            <family val="2"/>
          </rPr>
          <t xml:space="preserve">
Precio: 2.015€/camión
+80,60€ Incremento gasoil
Cisterna 28/02/25
2.095,60€: Pndte transferencia
Vcmto: 10/04/25
Transferencia Bankinter por el total 20.043,47€ realizada el 25/04/25
--------------------------------------
</t>
        </r>
        <r>
          <rPr>
            <b/>
            <sz val="9"/>
            <color indexed="81"/>
            <rFont val="Tahoma"/>
            <family val="2"/>
          </rPr>
          <t xml:space="preserve">Fra Pañalon F20250300092  (11/03/25): </t>
        </r>
        <r>
          <rPr>
            <sz val="9"/>
            <color indexed="81"/>
            <rFont val="Tahoma"/>
            <family val="2"/>
          </rPr>
          <t xml:space="preserve">
Precio: 2.015€/camión
+90,47€ Incremento gasoil
Cisterna 03/03/25
2.105,47€: Pndte transferencia
Vcmto: 10/04/25
Transferencia Bankinter por el total 20.043,47€ realizada el 25/04/25          
------------------------------------------
</t>
        </r>
        <r>
          <rPr>
            <b/>
            <sz val="9"/>
            <color indexed="81"/>
            <rFont val="Tahoma"/>
            <family val="2"/>
          </rPr>
          <t xml:space="preserve">Fra Pañalon F20250300339  (20/03/25): </t>
        </r>
        <r>
          <rPr>
            <sz val="9"/>
            <color indexed="81"/>
            <rFont val="Tahoma"/>
            <family val="2"/>
          </rPr>
          <t xml:space="preserve">
Precio: 3.100€/camión
+139,19€ Incremento gasoil
Cisterna 06/03/25
3239,19€: Pndte transferencia
Vcmto: 19/04/25
Transferencia Bankinter por el total 20.043,47€ realizada el 25/04/25
</t>
        </r>
      </text>
    </comment>
    <comment ref="CT43" authorId="0" shapeId="0" xr:uid="{157DDAAB-9AA9-48DF-AA39-97EC2DCF020E}">
      <text>
        <r>
          <rPr>
            <b/>
            <sz val="9"/>
            <color indexed="81"/>
            <rFont val="Tahoma"/>
            <family val="2"/>
          </rPr>
          <t xml:space="preserve">Fra Pañalon F20250300090 (11/03/25): 
</t>
        </r>
        <r>
          <rPr>
            <sz val="9"/>
            <color indexed="81"/>
            <rFont val="Tahoma"/>
            <family val="2"/>
          </rPr>
          <t>Paralización de carga 03/03/25: 90€ 
Hay que repercutírselo a Alvinesa
09/05: OK Alberto pagar ya aunque no haya pagado Alvinesa
Vcmto: 10/04/25
Transferencia Bankinter x el total 990€ realizada el 09/05/25</t>
        </r>
        <r>
          <rPr>
            <b/>
            <sz val="9"/>
            <color indexed="81"/>
            <rFont val="Tahoma"/>
            <family val="2"/>
          </rPr>
          <t xml:space="preserve">
----------------------------------------
Fra Pañalon F20250300394 (25/03/25): 
</t>
        </r>
        <r>
          <rPr>
            <sz val="9"/>
            <color indexed="81"/>
            <rFont val="Tahoma"/>
            <family val="2"/>
          </rPr>
          <t>Paralización de carga 27/02/25: 450€ 
Hay que repercutírselo a Alvinesa
09/05: OK Alberto pagar ya aunque no haya pagado Alvinesa
Vcmto: 24/04/25
Transferencia Bankinter x el total 990€ realizada el 09/05/25</t>
        </r>
        <r>
          <rPr>
            <b/>
            <sz val="9"/>
            <color indexed="81"/>
            <rFont val="Tahoma"/>
            <family val="2"/>
          </rPr>
          <t xml:space="preserve">
----------------------------------------
Fra Pañalon F20250300395 (25/03/25): </t>
        </r>
        <r>
          <rPr>
            <sz val="9"/>
            <color indexed="81"/>
            <rFont val="Tahoma"/>
            <family val="2"/>
          </rPr>
          <t xml:space="preserve">
Paralización de carga 27/02/25: 450€ 
Hay que repercutírselo a Alvinesa
09/05: OK Alberto pagar ya aunque no haya pagado Alvinesa
Vcmto: 24/04/25
Transferencia Bankinter x el total 990€ realizada el 09/05/25</t>
        </r>
      </text>
    </comment>
    <comment ref="CS44" authorId="0" shapeId="0" xr:uid="{A80DF72C-C6E8-41B4-96C1-08971750D05B}">
      <text>
        <r>
          <rPr>
            <b/>
            <sz val="9"/>
            <color indexed="81"/>
            <rFont val="Tahoma"/>
            <family val="2"/>
          </rPr>
          <t xml:space="preserve">Fra Santos F20250200461  (28/02/25): </t>
        </r>
        <r>
          <rPr>
            <sz val="9"/>
            <color indexed="81"/>
            <rFont val="Tahoma"/>
            <family val="2"/>
          </rPr>
          <t xml:space="preserve">
Precio: 2.015€/camión
+80,60€ Incremento gasoil
Cisterna 25/02/25
2.095,60€: Pndte transferencia
Vcmto: 30/03/25
Transferencia Bankinter por el total 16.784,54€ realizada el 25/04/25
--------------------------------------
</t>
        </r>
        <r>
          <rPr>
            <b/>
            <sz val="9"/>
            <color indexed="81"/>
            <rFont val="Tahoma"/>
            <family val="2"/>
          </rPr>
          <t xml:space="preserve">Fra Santos F20250200700   (28/02/25): </t>
        </r>
        <r>
          <rPr>
            <sz val="9"/>
            <color indexed="81"/>
            <rFont val="Tahoma"/>
            <family val="2"/>
          </rPr>
          <t xml:space="preserve">
Precio: 2.015€/camión
+80,60€ Incremento gasoil
Cisterna 24/02/25
2.095,60€: Pndte transferencia
Vcmto: 30/03/25
Transferencia Bankinter por el total 16.784,54€ realizada el 25/04/25
--------------------------------------
</t>
        </r>
        <r>
          <rPr>
            <b/>
            <sz val="9"/>
            <color indexed="81"/>
            <rFont val="Tahoma"/>
            <family val="2"/>
          </rPr>
          <t xml:space="preserve">Fra Santos F20250300056   (07/03/25): </t>
        </r>
        <r>
          <rPr>
            <sz val="9"/>
            <color indexed="81"/>
            <rFont val="Tahoma"/>
            <family val="2"/>
          </rPr>
          <t xml:space="preserve">
Precio: 2.015€/camión
+90,47€ Incremento gasoil
Cisterna 03/03/25
Cisterna 04/03/25
4.210,94€: Pndte transferencia
Vcmto: 06/04/25
Transferencia Bankinter por el total 16.784,54€ realizada el 25/04/25
--------------------------------------
</t>
        </r>
        <r>
          <rPr>
            <b/>
            <sz val="9"/>
            <color indexed="81"/>
            <rFont val="Tahoma"/>
            <family val="2"/>
          </rPr>
          <t xml:space="preserve">Fra Santos F20250200820 (28/02/25): </t>
        </r>
        <r>
          <rPr>
            <sz val="9"/>
            <color indexed="81"/>
            <rFont val="Tahoma"/>
            <family val="2"/>
          </rPr>
          <t xml:space="preserve">
Precio: 2.015€/camión
+80,60€ Incremento gasoil
Cisterna 25/02/25
2.095,60€: Pndte transferencia
Vcmto: 30/03/25
Transferencia Bankinter por el total 16.784,54€ realizada el 25/04/25
------------------------------------------
</t>
        </r>
        <r>
          <rPr>
            <b/>
            <sz val="9"/>
            <color indexed="81"/>
            <rFont val="Tahoma"/>
            <family val="2"/>
          </rPr>
          <t xml:space="preserve">Fra Santos F20250300099 (11/03/25): </t>
        </r>
        <r>
          <rPr>
            <sz val="9"/>
            <color indexed="81"/>
            <rFont val="Tahoma"/>
            <family val="2"/>
          </rPr>
          <t xml:space="preserve">
Precio: 2.015€/camión
+80,60€ Incremento gasoil
Cisterna 28/02/25
2.095,60€: Pndte transferencia
Vcmto: 10/04/25
Transferencia Bankinter por el total 16.784,54€ realizada el 25/04/25
-----------------------------------------
</t>
        </r>
        <r>
          <rPr>
            <b/>
            <sz val="9"/>
            <color indexed="81"/>
            <rFont val="Tahoma"/>
            <family val="2"/>
          </rPr>
          <t xml:space="preserve">Fra Santos F20250300106 (11/03/25): </t>
        </r>
        <r>
          <rPr>
            <sz val="9"/>
            <color indexed="81"/>
            <rFont val="Tahoma"/>
            <family val="2"/>
          </rPr>
          <t xml:space="preserve">
Precio: 2.015€/camión
+80,60€ Incremento gasoil
Cisterna 26/02/25
Cisterna 28/02/25
4.191,20€: Pndte transferencia
Vcmto: 10/04/25
Transferencia Bankinter por el total 16.784,54€ realizada el 25/04/25
------------------------------------------
</t>
        </r>
      </text>
    </comment>
    <comment ref="CT44" authorId="0" shapeId="0" xr:uid="{B34D197E-F240-4EBD-BE25-2F08C2F6CC39}">
      <text>
        <r>
          <rPr>
            <b/>
            <sz val="9"/>
            <color indexed="81"/>
            <rFont val="Tahoma"/>
            <family val="2"/>
          </rPr>
          <t xml:space="preserve">Fra Santos F20250200777 (28/02/25): </t>
        </r>
        <r>
          <rPr>
            <sz val="9"/>
            <color indexed="81"/>
            <rFont val="Tahoma"/>
            <family val="2"/>
          </rPr>
          <t xml:space="preserve">
Paralización de carga 25/02/25: 45€+21% IVA= 54,45€:  
Hay que repercutírselo a Alvinesa
09/05: OK Alberto pagar ya aunque no haya pagado Alvinesa
Vcmto: 30/03/25
Transferencia Bankinter x el total 1.108,35€ realizada el 09/05/25
----------------------------------------
</t>
        </r>
        <r>
          <rPr>
            <b/>
            <sz val="9"/>
            <color indexed="81"/>
            <rFont val="Tahoma"/>
            <family val="2"/>
          </rPr>
          <t>Fra Santos F20250200778 (28/02/25):</t>
        </r>
        <r>
          <rPr>
            <sz val="9"/>
            <color indexed="81"/>
            <rFont val="Tahoma"/>
            <family val="2"/>
          </rPr>
          <t xml:space="preserve"> 
Paralización de carga 28/02/25: 45€+21% IVA= 54,45€:  
Hay que repercutírselo a Alvinesa
09/05: OK Alberto pagar ya aunque no haya pagado Alvinesa
Vcmto: 30/03/25
Transferencia Bankinter x el total 1.108,35€ realizada el 09/05/25
----------------------------------------
</t>
        </r>
        <r>
          <rPr>
            <b/>
            <sz val="9"/>
            <color indexed="81"/>
            <rFont val="Tahoma"/>
            <family val="2"/>
          </rPr>
          <t>Fra Santos F20250200779 (28/02/25):</t>
        </r>
        <r>
          <rPr>
            <sz val="9"/>
            <color indexed="81"/>
            <rFont val="Tahoma"/>
            <family val="2"/>
          </rPr>
          <t xml:space="preserve"> 
Paralización de carga 28/02/25: 45€+21% IVA= 54,45€:  
Hay que repercutírselo a Alvinesa
09/05: OK Alberto pagar ya aunque no haya pagado Alvinesa
Vcmto: 30/03/25
Transferencia Bankinter x el total 1.108,35€ realizada el 09/05/25
----------------------------------------
</t>
        </r>
        <r>
          <rPr>
            <b/>
            <sz val="9"/>
            <color indexed="81"/>
            <rFont val="Tahoma"/>
            <family val="2"/>
          </rPr>
          <t>Fra Santos F20250300043 (07/03/25):</t>
        </r>
        <r>
          <rPr>
            <sz val="9"/>
            <color indexed="81"/>
            <rFont val="Tahoma"/>
            <family val="2"/>
          </rPr>
          <t xml:space="preserve"> 
Paralización de carga 03/03/25: 45€  
Hay que repercutírselo a Alvinesa
09/05: OK Alberto pagar ya aunque no haya pagado Alvinesa
Vcmto: 06/04/25
Transferencia Bankinter x el total 1.108,35€ realizada el 09/05/25
----------------------------------------
</t>
        </r>
        <r>
          <rPr>
            <b/>
            <sz val="9"/>
            <color indexed="81"/>
            <rFont val="Tahoma"/>
            <family val="2"/>
          </rPr>
          <t>Fra Santos F20250300369 (21/03/25):</t>
        </r>
        <r>
          <rPr>
            <sz val="9"/>
            <color indexed="81"/>
            <rFont val="Tahoma"/>
            <family val="2"/>
          </rPr>
          <t xml:space="preserve"> 
Paralización de carga 27/02/25: 450€  
Hay que repercutírselo a Alvinesa
09/05: OK Alberto pagar ya aunque no haya pagado Alvinesa
Vcmto: 20/04/25
Transferencia Bankinter x el total 1.108,35€ realizada el 09/05/25
------------------------------------------
</t>
        </r>
        <r>
          <rPr>
            <b/>
            <sz val="9"/>
            <color indexed="81"/>
            <rFont val="Tahoma"/>
            <family val="2"/>
          </rPr>
          <t>Fra Santos F20250300370 (21/03/25):</t>
        </r>
        <r>
          <rPr>
            <sz val="9"/>
            <color indexed="81"/>
            <rFont val="Tahoma"/>
            <family val="2"/>
          </rPr>
          <t xml:space="preserve"> 
Paralización de carga 27/02/25: 450€  
Hay que repercutírselo a Alvinesa
09/05: OK Alberto pagar ya aunque no haya pagado Alvinesa
Vcmto: 20/04/25
Transferencia Bankinter x el total 1.108,35€ realizada el 09/05/25
------------------------------------------
</t>
        </r>
      </text>
    </comment>
    <comment ref="CS45" authorId="0" shapeId="0" xr:uid="{A08DE540-3A34-42EE-B81A-B08E84E77A33}">
      <text>
        <r>
          <rPr>
            <b/>
            <sz val="9"/>
            <color indexed="81"/>
            <rFont val="Tahoma"/>
            <family val="2"/>
          </rPr>
          <t xml:space="preserve">Fra SAMAT 3601250568 (20/03/25): </t>
        </r>
        <r>
          <rPr>
            <sz val="9"/>
            <color indexed="81"/>
            <rFont val="Tahoma"/>
            <family val="2"/>
          </rPr>
          <t xml:space="preserve">
Precio: 2.450€/camión
Cisterna 07/03/25
Cisterna 07/03/25
Cisterna 10/03/25
Cisterna 14/03/25
Cisterna 17/03/25
14.822,50€: Pndte transferencia
Vcmto: 20/04/25
14.822,50€: Transf. Bankinter x el total 37.845,55€ realizada el 25/04/25
--------------------------------------
</t>
        </r>
        <r>
          <rPr>
            <b/>
            <sz val="9"/>
            <color indexed="81"/>
            <rFont val="Tahoma"/>
            <family val="2"/>
          </rPr>
          <t xml:space="preserve">Fra SAMAT 3601250588 (20/03/25): 
</t>
        </r>
        <r>
          <rPr>
            <sz val="9"/>
            <color indexed="81"/>
            <rFont val="Tahoma"/>
            <family val="2"/>
          </rPr>
          <t xml:space="preserve">Precio: 2.450€/camión
Cisterna 14/03/25
Cisterna 18/03/25
Cisterna 19/03/25
Cisterna 19/03/25
Cisterna 20/03/25
Cisterna 20/03/25
Cisterna 20/03/25
Cisterna 20/03/25
23.716€: Pndte transferencia
Vcmto: 20/04/25
23.716€: Transf. Bankinter x el total 37.845,55€ realizada el 25/04/25
-----------------------------------
</t>
        </r>
      </text>
    </comment>
    <comment ref="CS46" authorId="0" shapeId="0" xr:uid="{FF96945A-A9B9-4E45-B457-0EED2C79E29D}">
      <text>
        <r>
          <rPr>
            <b/>
            <sz val="9"/>
            <color indexed="81"/>
            <rFont val="Tahoma"/>
            <family val="2"/>
          </rPr>
          <t xml:space="preserve">Fra: 2025/SAM/001 (24/04/25):
</t>
        </r>
        <r>
          <rPr>
            <sz val="9"/>
            <color indexed="81"/>
            <rFont val="Tahoma"/>
            <family val="2"/>
          </rPr>
          <t>Se corresponden con los 523 litros perdidos por el conductor de la cistena del 17/03/25 
24/04/25: OK Samat descontar del pago pendiente</t>
        </r>
        <r>
          <rPr>
            <b/>
            <sz val="9"/>
            <color indexed="81"/>
            <rFont val="Tahoma"/>
            <family val="2"/>
          </rPr>
          <t xml:space="preserve">
</t>
        </r>
        <r>
          <rPr>
            <sz val="9"/>
            <color indexed="81"/>
            <rFont val="Tahoma"/>
            <family val="2"/>
          </rPr>
          <t>-692,95€: Transf. Bankinter x el total 37.845,55€ realizada el 25/04/25</t>
        </r>
        <r>
          <rPr>
            <b/>
            <sz val="9"/>
            <color indexed="81"/>
            <rFont val="Tahoma"/>
            <family val="2"/>
          </rPr>
          <t xml:space="preserve">
</t>
        </r>
      </text>
    </comment>
    <comment ref="CS47" authorId="0" shapeId="0" xr:uid="{9B995FE5-3810-4F88-860A-3FC2E39C67C4}">
      <text>
        <r>
          <rPr>
            <b/>
            <sz val="9"/>
            <color indexed="81"/>
            <rFont val="Tahoma"/>
            <family val="2"/>
          </rPr>
          <t xml:space="preserve">Fra GEODIS CBEC0115  (31/03/25): </t>
        </r>
        <r>
          <rPr>
            <sz val="9"/>
            <color indexed="81"/>
            <rFont val="Tahoma"/>
            <family val="2"/>
          </rPr>
          <t xml:space="preserve">
Precio: 3.800€/camión
Cisterna 05/03/25
Cisterna 05/03/25
Cisterna 05/03/25
Cisterna 05/03/25
Cisterna 06/03/25
Cisterna 06/03/25
Cisterna 07/03/25
Cisterna 07/03/25
Cisterna 10/03/25
Cisterna 10/03/25
Cisterna 10/03/25
Cisterna 10/03/25
Cisterna 10/03/25
Cisterna 11/03/25
Cisterna 11/03/25
Cisterna 14/03/25
Cisterna 14/03/25
64.600€: Transf. Bankinter x el total 71.100€ realizada el 30/04/25
--------------------------------------
</t>
        </r>
        <r>
          <rPr>
            <b/>
            <sz val="9"/>
            <color indexed="81"/>
            <rFont val="Tahoma"/>
            <family val="2"/>
          </rPr>
          <t xml:space="preserve">Fra GEODIS CBEC0168 (31/03/25): 
Precio: 3.800€/camión
</t>
        </r>
        <r>
          <rPr>
            <sz val="9"/>
            <color indexed="81"/>
            <rFont val="Tahoma"/>
            <family val="2"/>
          </rPr>
          <t xml:space="preserve">Cisterna 10/03/25
3.800€: Transf. Bankinter x el total 71.100€ realizada el 30/04/25
-----------------------------------
</t>
        </r>
        <r>
          <rPr>
            <b/>
            <sz val="9"/>
            <color indexed="81"/>
            <rFont val="Tahoma"/>
            <family val="2"/>
          </rPr>
          <t xml:space="preserve">Fra GEODIS CBED0081  (29/04/25): </t>
        </r>
        <r>
          <rPr>
            <sz val="9"/>
            <color indexed="81"/>
            <rFont val="Tahoma"/>
            <family val="2"/>
          </rPr>
          <t xml:space="preserve">
Precio: 2.700€/camión
Anulación Cisterna 19/03/25
30/04/25: OK Alberto, se compensa con la fra de abono de Alvinesa por 4.500€.
2.700€: Transf. Bankinter x el total 71.100€ realizada el 30/04/25</t>
        </r>
      </text>
    </comment>
    <comment ref="CT48" authorId="0" shapeId="0" xr:uid="{63259971-664C-434A-A5A4-D32E00126EAC}">
      <text>
        <r>
          <rPr>
            <b/>
            <sz val="9"/>
            <color indexed="81"/>
            <rFont val="Tahoma"/>
            <family val="2"/>
          </rPr>
          <t>13.972€=1500*103-33589-38539-68400</t>
        </r>
      </text>
    </comment>
    <comment ref="CV49" authorId="0" shapeId="0" xr:uid="{1FD68187-47E8-44C0-BF1A-2F10EF30E071}">
      <text>
        <r>
          <rPr>
            <sz val="9"/>
            <color indexed="81"/>
            <rFont val="Tahoma"/>
            <family val="2"/>
          </rPr>
          <t>Info Alberto: 900.780,50€=950*948,19 
----------------------------------
Fra Alvinesa 20250794 (07/07/25): 
25.200 Kg: Albarán AV-59793
25.760 Kg: Albarán AV-59794
26.080 Kg: Albarán AV-59796
25.300 Kg: Albarán AV-59797
Precio: 0,948
+10% IVA
106.720,15€: Pndte transferencia
Transf. Caixa realizada el 29/07/25</t>
        </r>
      </text>
    </comment>
    <comment ref="CZ49" authorId="0" shapeId="0" xr:uid="{42B5525D-3900-4F18-830E-C103232A9E1A}">
      <text>
        <r>
          <rPr>
            <sz val="9"/>
            <color indexed="81"/>
            <rFont val="Tahoma"/>
            <family val="2"/>
          </rPr>
          <t xml:space="preserve">11/08/25: El IVA correcto de las fras es del 21% en lugar del 10%
----------------------------------
</t>
        </r>
        <r>
          <rPr>
            <b/>
            <sz val="9"/>
            <color indexed="81"/>
            <rFont val="Tahoma"/>
            <family val="2"/>
          </rPr>
          <t>Fra Alvinesa 20251028 (11/08/25):</t>
        </r>
        <r>
          <rPr>
            <sz val="9"/>
            <color indexed="81"/>
            <rFont val="Tahoma"/>
            <family val="2"/>
          </rPr>
          <t xml:space="preserve"> 
25.200 Kg: Albarán AV-59793
25.760 Kg: Albarán AV-59794
26.080 Kg: Albarán AV-59796
25.300 Kg: Albarán AV-59797
Precio: 0,948 +21% IVA=117.392,17€
</t>
        </r>
        <r>
          <rPr>
            <b/>
            <sz val="9"/>
            <color indexed="81"/>
            <rFont val="Tahoma"/>
            <family val="2"/>
          </rPr>
          <t>Fra abono Alvinesa AB2025068 (08/08/25):</t>
        </r>
        <r>
          <rPr>
            <sz val="9"/>
            <color indexed="81"/>
            <rFont val="Tahoma"/>
            <family val="2"/>
          </rPr>
          <t xml:space="preserve"> 
25.200 Kg: Albarán AV-59793
25.760 Kg: Albarán AV-59794
26.080 Kg: Albarán AV-59796
25.300 Kg: Albarán AV-59797
Precio: 0,948 +10% IVA= 106.720,15€ 
117.392,17€-106.720,15= 10.672,02€: 03/09/25: OK Alberto realizar transferencia a vcmto 10/10/25 
Transf. Caixa realizada el 09/10/25</t>
        </r>
      </text>
    </comment>
    <comment ref="CV50" authorId="0" shapeId="0" xr:uid="{70F11AA6-EEB7-4A3D-9856-77148E51BE73}">
      <text>
        <r>
          <rPr>
            <sz val="9"/>
            <color indexed="81"/>
            <rFont val="Tahoma"/>
            <family val="2"/>
          </rPr>
          <t>Info Alberto: 900.780,50€=950*948,19 
----------------------------------
Fra Alvinesa 20250803 (08/07/25): 
25.540 Kg: Albarán AV-59814
25.640 Kg: Albarán AV-59818
25.880 Kg: Albarán AV-59819
Precio: 0,948
+10% IVA
80.358,17€: Pndte transferencia
Transf. Caixa realizada el 29/07/25</t>
        </r>
      </text>
    </comment>
    <comment ref="CZ50" authorId="0" shapeId="0" xr:uid="{B6707B2A-AC39-4B0E-89A2-BBD3F7D3EBE5}">
      <text>
        <r>
          <rPr>
            <sz val="9"/>
            <color indexed="81"/>
            <rFont val="Tahoma"/>
            <family val="2"/>
          </rPr>
          <t xml:space="preserve">11/08/25: El IVA correcto de las fras es del 21% en lugar del 10%
----------------------------------
</t>
        </r>
        <r>
          <rPr>
            <b/>
            <sz val="9"/>
            <color indexed="81"/>
            <rFont val="Tahoma"/>
            <family val="2"/>
          </rPr>
          <t xml:space="preserve">Fra Alvinesa 20251029 (11/08/25): </t>
        </r>
        <r>
          <rPr>
            <sz val="9"/>
            <color indexed="81"/>
            <rFont val="Tahoma"/>
            <family val="2"/>
          </rPr>
          <t xml:space="preserve">
25.540 Kg: Albarán AV-59814
25.640 Kg: Albarán AV-59818
25.880 Kg: Albarán AV-59819
Precio: 0,948 +21% IVA=88.393,98€
</t>
        </r>
        <r>
          <rPr>
            <b/>
            <sz val="9"/>
            <color indexed="81"/>
            <rFont val="Tahoma"/>
            <family val="2"/>
          </rPr>
          <t>Fra abono Alvinesa AB2025069 (08/08/25):</t>
        </r>
        <r>
          <rPr>
            <sz val="9"/>
            <color indexed="81"/>
            <rFont val="Tahoma"/>
            <family val="2"/>
          </rPr>
          <t xml:space="preserve"> 
25.540 Kg: Albarán AV-59814
25.640 Kg: Albarán AV-59818
25.880 Kg: Albarán AV-59819
Precio: 0,948 +10% IVA= 80.358,17€ 
88.393,98€-80.358,17€= 8.035,81€: 03/09/25: OK Alberto realizar transferencia a vcmto 10/10/25 
Transf. Caixa realizada el 09/10/25</t>
        </r>
      </text>
    </comment>
    <comment ref="T51" authorId="1" shapeId="0" xr:uid="{D327346B-3592-4316-B414-DB441416EB9D}">
      <text>
        <r>
          <rPr>
            <b/>
            <sz val="8"/>
            <color indexed="81"/>
            <rFont val="Tahoma"/>
            <family val="2"/>
          </rPr>
          <t>alfonso:</t>
        </r>
        <r>
          <rPr>
            <sz val="8"/>
            <color indexed="81"/>
            <rFont val="Tahoma"/>
            <family val="2"/>
          </rPr>
          <t xml:space="preserve">
factura de abril por 8000 USD</t>
        </r>
      </text>
    </comment>
    <comment ref="CV51" authorId="0" shapeId="0" xr:uid="{6EA8A1E7-0BAB-4044-969B-0C2D9E03894F}">
      <text>
        <r>
          <rPr>
            <sz val="9"/>
            <color indexed="81"/>
            <rFont val="Tahoma"/>
            <family val="2"/>
          </rPr>
          <t>Info Alberto: 900.780,50€=950*948,19 
----------------------------------
Fra Alvinesa 20250815 (09/07/25): 
24.220 Kg: Albarán AV-59824
25.460 Kg: Albarán AV-59832
24.500 Kg: Albarán AV-59833
25.640 Kg: Albarán AV-59836
25.220 Kg: Albarán AV-59838
Precio: 0,948
+10% IVA
130.391,71€: Pndte transferencia
Transf. Caixa realizada el 29/07/25</t>
        </r>
      </text>
    </comment>
    <comment ref="CZ51" authorId="0" shapeId="0" xr:uid="{427E66D8-E7FE-41BF-BBAA-0BC6774531B7}">
      <text>
        <r>
          <rPr>
            <sz val="9"/>
            <color indexed="81"/>
            <rFont val="Tahoma"/>
            <family val="2"/>
          </rPr>
          <t xml:space="preserve">11/08/25: El IVA correcto de las fras es del 21% en lugar del 10%
----------------------------------
</t>
        </r>
        <r>
          <rPr>
            <b/>
            <sz val="9"/>
            <color indexed="81"/>
            <rFont val="Tahoma"/>
            <family val="2"/>
          </rPr>
          <t>Fra Alvinesa 20251030 (11/08/25):</t>
        </r>
        <r>
          <rPr>
            <sz val="9"/>
            <color indexed="81"/>
            <rFont val="Tahoma"/>
            <family val="2"/>
          </rPr>
          <t xml:space="preserve"> 
24.220 Kg: Albarán AV-59824
25.460 Kg: Albarán AV-59832
24.500 Kg: Albarán AV-59833
25.640 Kg: Albarán AV-59836
25.220 Kg: Albarán AV-59838
Precio: 0,948 +21% IVA=143.430,88€
</t>
        </r>
        <r>
          <rPr>
            <b/>
            <sz val="9"/>
            <color indexed="81"/>
            <rFont val="Tahoma"/>
            <family val="2"/>
          </rPr>
          <t>Fra abono Alvinesa AB2025071 (08/08/25)</t>
        </r>
        <r>
          <rPr>
            <sz val="9"/>
            <color indexed="81"/>
            <rFont val="Tahoma"/>
            <family val="2"/>
          </rPr>
          <t>: 
24.220 Kg: Albarán AV-59824
25.460 Kg: Albarán AV-59832
24.500 Kg: Albarán AV-59833
25.640 Kg: Albarán AV-59836
25.220 Kg: Albarán AV-59838
Precio: 0,948 +10% IVA= 130.391,71€ 
143.430,88€-130.391,71€= 13.039,17€: 03/09/25: OK Alberto realizar transferencia a vcmto 10/10/25 
Transf. Caixa realizada el 09/10/25</t>
        </r>
      </text>
    </comment>
    <comment ref="CV52" authorId="0" shapeId="0" xr:uid="{34F2FBD9-A0EB-48D9-9461-9D5DE93A5B15}">
      <text>
        <r>
          <rPr>
            <sz val="9"/>
            <color indexed="81"/>
            <rFont val="Tahoma"/>
            <family val="2"/>
          </rPr>
          <t xml:space="preserve">Info Alberto: 900.780,50€=950*948,19 
----------------------------------
Fra Alvinesa 20250823 (10/07/25): 
25.020 Kg: Albarán AV-59840
25.000 Kg: Albarán AV-59842
24.300 Kg: Albarán AV-59844
25.460 Kg: Albarán AV-59846
24.820 Kg: Albarán AV-59849
25.320 Kg: Albarán AV-59850
25.920 Kg: Albarán AV-59853
Precio: 0,948
+10% IVA
183.365,95€: Pndte transferencia
Transf. Caixa realizada el 29/07/25 </t>
        </r>
      </text>
    </comment>
    <comment ref="CZ52" authorId="0" shapeId="0" xr:uid="{0DBBEF45-39AD-4235-A3E6-AC3B16A263E4}">
      <text>
        <r>
          <rPr>
            <sz val="9"/>
            <color indexed="81"/>
            <rFont val="Tahoma"/>
            <family val="2"/>
          </rPr>
          <t xml:space="preserve">11/08/25: El IVA correcto de las fras es del 21% en lugar del 10%
----------------------------------
</t>
        </r>
        <r>
          <rPr>
            <b/>
            <sz val="9"/>
            <color indexed="81"/>
            <rFont val="Tahoma"/>
            <family val="2"/>
          </rPr>
          <t>Fra Alvinesa 20251031 (11/08/25):</t>
        </r>
        <r>
          <rPr>
            <sz val="9"/>
            <color indexed="81"/>
            <rFont val="Tahoma"/>
            <family val="2"/>
          </rPr>
          <t xml:space="preserve"> 
25.020 Kg: Albarán AV-59840
25.000 Kg: Albarán AV-59842
24.300 Kg: Albarán AV-59844
25.460 Kg: Albarán AV-59846
24.820 Kg: Albarán AV-59849
25.320 Kg: Albarán AV-59850
25.920 Kg: Albarán AV-59853
Precio: 0,948 +21% IVA=201.702,55€
</t>
        </r>
        <r>
          <rPr>
            <b/>
            <sz val="9"/>
            <color indexed="81"/>
            <rFont val="Tahoma"/>
            <family val="2"/>
          </rPr>
          <t>Fra abono Alvinesa AB2025072 (08/08/25)</t>
        </r>
        <r>
          <rPr>
            <sz val="9"/>
            <color indexed="81"/>
            <rFont val="Tahoma"/>
            <family val="2"/>
          </rPr>
          <t>: 
25.020 Kg: Albarán AV-59840
25.000 Kg: Albarán AV-59842
24.300 Kg: Albarán AV-59844
25.460 Kg: Albarán AV-59846
24.820 Kg: Albarán AV-59849
25.320 Kg: Albarán AV-59850
25.920 Kg: Albarán AV-59853
Precio: 0,948 +10% IVA= 183.365,95€ 
201.702,55€-183.365,95€= 18.336,60€: 03/09/25: OK Alberto realizar transferencia a vcmto 10/10/25 
Transf. Caixa realizada el 09/10/25</t>
        </r>
      </text>
    </comment>
    <comment ref="CV53" authorId="0" shapeId="0" xr:uid="{569FC22D-5F8D-4E5B-9416-87E5CBE984D4}">
      <text>
        <r>
          <rPr>
            <sz val="9"/>
            <color indexed="81"/>
            <rFont val="Tahoma"/>
            <family val="2"/>
          </rPr>
          <t>Info Alberto: 900.780,50€=950*948,19 
----------------------------------
Fra Alvinesa 20250830 (11/07/25): 
24.900 Kg: Albarán AV-59857
24.700 Kg: Albarán AV-59862
24.900 Kg: Albarán AV-59864
25.600 Kg: Albarán AV-59868
Precio: 0,948
+10% IVA
104.384,28€: Pndte transferencia
Transf. Caixa realizada el 29/07/25</t>
        </r>
      </text>
    </comment>
    <comment ref="CZ53" authorId="0" shapeId="0" xr:uid="{6A6A8257-2F0B-451F-A013-8563A85958B0}">
      <text>
        <r>
          <rPr>
            <sz val="9"/>
            <color indexed="81"/>
            <rFont val="Tahoma"/>
            <family val="2"/>
          </rPr>
          <t xml:space="preserve">11/08/25: El IVA correcto de las fras es del 21% en lugar del 10%
----------------------------------
</t>
        </r>
        <r>
          <rPr>
            <b/>
            <sz val="9"/>
            <color indexed="81"/>
            <rFont val="Tahoma"/>
            <family val="2"/>
          </rPr>
          <t>Fra Alvinesa 20251032 (11/08/25):</t>
        </r>
        <r>
          <rPr>
            <sz val="9"/>
            <color indexed="81"/>
            <rFont val="Tahoma"/>
            <family val="2"/>
          </rPr>
          <t xml:space="preserve"> 
24.900 Kg: Albarán AV-59857
24.700 Kg: Albarán AV-59862
24.900 Kg: Albarán AV-59864
25.600 Kg: Albarán AV-59868
Precio: 0,948 +21% IVA=114.822,71€
</t>
        </r>
        <r>
          <rPr>
            <b/>
            <sz val="9"/>
            <color indexed="81"/>
            <rFont val="Tahoma"/>
            <family val="2"/>
          </rPr>
          <t>Fra abono Alvinesa AB2025073 (08/08/25)</t>
        </r>
        <r>
          <rPr>
            <sz val="9"/>
            <color indexed="81"/>
            <rFont val="Tahoma"/>
            <family val="2"/>
          </rPr>
          <t>: 
24.900 Kg: Albarán AV-59857
24.700 Kg: Albarán AV-59862
24.900 Kg: Albarán AV-59864
25.600 Kg: Albarán AV-59868
Precio: 0,948 +10% IVA= 104.384,28€ 
114.822,71€-104.384,28€= 10.438,43€: 03/09/25: OK Alberto realizar transferencia a vcmto 10/10/25 
Transf. Caixa realizada el 09/10/25</t>
        </r>
      </text>
    </comment>
    <comment ref="CV54" authorId="0" shapeId="0" xr:uid="{D46E2E9D-A885-4871-AB06-36CDA30AC906}">
      <text>
        <r>
          <rPr>
            <sz val="9"/>
            <color indexed="81"/>
            <rFont val="Tahoma"/>
            <family val="2"/>
          </rPr>
          <t>Info Alberto: 900.780,50€=950*948,19 
----------------------------------
Fra Alvinesa 20250837 (14/07/25): 
26.740 Kg: Albarán AV-59870
24.120 Kg: Albarán AV-59872
25.040 Kg: Albarán AV-59873
24.740 Kg: Albarán AV-59874
24.480 Kg: Albarán AV-59877
24.660 Kg: Albarán AV-59882
25.240 Kg: Albarán AV-59883
25.660 Kg: Albarán AV-59884
25.220 Kg: Albarán AV-59885
25.060 Kg: Albarán AV-59886
Precio: 0,948
+10% IVA
261.701,09€: Pndte transferencia
Transf. Caixa realizada el 29/07/25</t>
        </r>
      </text>
    </comment>
    <comment ref="CZ54" authorId="0" shapeId="0" xr:uid="{07DBE0E5-1C61-44D5-B8C7-9B39F7B5A82B}">
      <text>
        <r>
          <rPr>
            <sz val="9"/>
            <color indexed="81"/>
            <rFont val="Tahoma"/>
            <family val="2"/>
          </rPr>
          <t xml:space="preserve">11/08/25: El IVA correcto de las fras es del 21% en lugar del 10%
----------------------------------
</t>
        </r>
        <r>
          <rPr>
            <b/>
            <sz val="9"/>
            <color indexed="81"/>
            <rFont val="Tahoma"/>
            <family val="2"/>
          </rPr>
          <t>Fra Alvinesa 20251033 (11/08/25):</t>
        </r>
        <r>
          <rPr>
            <sz val="9"/>
            <color indexed="81"/>
            <rFont val="Tahoma"/>
            <family val="2"/>
          </rPr>
          <t xml:space="preserve"> 
26.740 Kg: Albarán AV-59870
24.120 Kg: Albarán AV-59872
25.040 Kg: Albarán AV-59873
24.740 Kg: Albarán AV-59874
24.480 Kg: Albarán AV-59877
24.660 Kg: Albarán AV-59882
25.240 Kg: Albarán AV-59883
25.660 Kg: Albarán AV-59884
25.220 Kg: Albarán AV-59885
25.060 Kg: Albarán AV-59886
Precio: 0,948 +21% IVA=287.871,20€
</t>
        </r>
        <r>
          <rPr>
            <b/>
            <sz val="9"/>
            <color indexed="81"/>
            <rFont val="Tahoma"/>
            <family val="2"/>
          </rPr>
          <t>Fra abono Alvinesa AB2025074 (08/08/25)</t>
        </r>
        <r>
          <rPr>
            <sz val="9"/>
            <color indexed="81"/>
            <rFont val="Tahoma"/>
            <family val="2"/>
          </rPr>
          <t>: 
26.740 Kg: Albarán AV-59870
24.120 Kg: Albarán AV-59872
25.040 Kg: Albarán AV-59873
24.740 Kg: Albarán AV-59874
24.480 Kg: Albarán AV-59877
24.660 Kg: Albarán AV-59882
25.240 Kg: Albarán AV-59883
25.660 Kg: Albarán AV-59884
25.220 Kg: Albarán AV-59885
25.060 Kg: Albarán AV-59886
Precio: 0,948 +10% IVA= 261.701,09€ 
287.871,20€-261.701,09€= 26.170,11€: 03/09/25: OK Alberto realizar transferencia a vcmto 10/10/25 
Transf. Caixa realizada el 09/10/25</t>
        </r>
      </text>
    </comment>
    <comment ref="CV55" authorId="0" shapeId="0" xr:uid="{EE85ADDB-F749-4068-84B2-840586977F11}">
      <text>
        <r>
          <rPr>
            <sz val="9"/>
            <color indexed="81"/>
            <rFont val="Tahoma"/>
            <family val="2"/>
          </rPr>
          <t>Info Alberto: 900.780,50€=950*948,19 
----------------------------------
Fra Alvinesa 20250849 (15/07/25): 
24.460 Kg: Albarán AV-59896
25.620 Kg: Albarán AV-59900
26.040 Kg: Albarán AV-59902
24.820 Kg: Albarán AV-59906
25.200 Kg: Albarán AV-59907
Precio: 0,948
+10% IVA
131.538,79€: Pndte transferencia
Transf. Caixa realizada el 29/07/25</t>
        </r>
      </text>
    </comment>
    <comment ref="CZ55" authorId="0" shapeId="0" xr:uid="{1FB27D3B-27F5-487F-89B5-4B690875B2CC}">
      <text>
        <r>
          <rPr>
            <sz val="9"/>
            <color indexed="81"/>
            <rFont val="Tahoma"/>
            <family val="2"/>
          </rPr>
          <t xml:space="preserve">11/08/25: El IVA correcto de las fras es del 21% en lugar del 10%
----------------------------------
</t>
        </r>
        <r>
          <rPr>
            <b/>
            <sz val="9"/>
            <color indexed="81"/>
            <rFont val="Tahoma"/>
            <family val="2"/>
          </rPr>
          <t>Fra Alvinesa 20251034 (11/08/25):</t>
        </r>
        <r>
          <rPr>
            <sz val="9"/>
            <color indexed="81"/>
            <rFont val="Tahoma"/>
            <family val="2"/>
          </rPr>
          <t xml:space="preserve"> 
24.460 Kg: Albarán AV-59896
25.620 Kg: Albarán AV-59900
26.040 Kg: Albarán AV-59902
24.820 Kg: Albarán AV-59906
25.200 Kg: Albarán AV-59907
Precio: 0,948 +21% IVA=144.692,67€
</t>
        </r>
        <r>
          <rPr>
            <b/>
            <sz val="9"/>
            <color indexed="81"/>
            <rFont val="Tahoma"/>
            <family val="2"/>
          </rPr>
          <t>Fra abono Alvinesa AB2025075 (08/08/25)</t>
        </r>
        <r>
          <rPr>
            <sz val="9"/>
            <color indexed="81"/>
            <rFont val="Tahoma"/>
            <family val="2"/>
          </rPr>
          <t>: 
24.460 Kg: Albarán AV-59896
25.620 Kg: Albarán AV-59900
26.040 Kg: Albarán AV-59902
24.820 Kg: Albarán AV-59906
25.200 Kg: Albarán AV-59907
Precio: 0,948 +10% IVA= 131.538,79€ 
144.692,67€-131.538,79€= 13.153,88€: 03/09/25: OK Alberto realizar transferencia a vcmto 10/10/25 
Transf. Caixa realizada el 09/10/25</t>
        </r>
      </text>
    </comment>
    <comment ref="DA56" authorId="0" shapeId="0" xr:uid="{6862815E-81DB-4333-8AF0-4FD2D83A2B0C}">
      <text>
        <r>
          <rPr>
            <b/>
            <sz val="9"/>
            <color indexed="81"/>
            <rFont val="Tahoma"/>
            <family val="2"/>
          </rPr>
          <t>Fra Alvinesa 20251367 (07/10/25):</t>
        </r>
        <r>
          <rPr>
            <sz val="9"/>
            <color indexed="81"/>
            <rFont val="Tahoma"/>
            <family val="2"/>
          </rPr>
          <t xml:space="preserve"> 
25.460 Kg: Albarán AV-60497
24.740 Kg: Albarán AV-60499
25.080 Kg: Albarán AV-60502
25.140 Kg: Albarán AV-60508
Precio: 1,0247+21% IVA=124.509,46€
Vcmto 06/12/25
Transf. Caixa realizada el 24/11/25</t>
        </r>
      </text>
    </comment>
    <comment ref="V57" authorId="1" shapeId="0" xr:uid="{E38A0D49-FE8F-44FA-9443-A3F000CE3144}">
      <text>
        <r>
          <rPr>
            <b/>
            <sz val="9"/>
            <color indexed="81"/>
            <rFont val="Tahoma"/>
            <family val="2"/>
          </rPr>
          <t>alfonso:</t>
        </r>
        <r>
          <rPr>
            <sz val="9"/>
            <color indexed="81"/>
            <rFont val="Tahoma"/>
            <family val="2"/>
          </rPr>
          <t xml:space="preserve">
factura no pasada por Alberto a Sinver. Acordado ponerla en IS 2019 para a Iva declaradas en Enero de 2020. No lleva IVA asi que no debe llevar sanción</t>
        </r>
      </text>
    </comment>
    <comment ref="DA57" authorId="0" shapeId="0" xr:uid="{748D5D2E-9BCC-40C1-A135-5BBF5DFD06A1}">
      <text>
        <r>
          <rPr>
            <b/>
            <sz val="9"/>
            <color indexed="81"/>
            <rFont val="Tahoma"/>
            <family val="2"/>
          </rPr>
          <t>Fra Alvinesa 20251376 (08/10/25):</t>
        </r>
        <r>
          <rPr>
            <sz val="9"/>
            <color indexed="81"/>
            <rFont val="Tahoma"/>
            <family val="2"/>
          </rPr>
          <t xml:space="preserve"> 
25.100 Kg: Albarán AV-60511
24.880 Kg: Albarán AV-60514
24.340 Kg: Albarán AV-60523
25.460 Kg: Albarán AV-60524
25.780 Kg: Albarán AV-60526
Precio: 1,0247+21% IVA=155.680,22€
Vcmto 07/12/25
Transf. Caixa realizada el 25/11/25</t>
        </r>
      </text>
    </comment>
    <comment ref="Y58" authorId="1" shapeId="0" xr:uid="{6E807078-190A-4FDF-B2E3-F19C4F52D88C}">
      <text>
        <r>
          <rPr>
            <b/>
            <sz val="8"/>
            <color indexed="81"/>
            <rFont val="Tahoma"/>
            <family val="2"/>
          </rPr>
          <t>alfonso:</t>
        </r>
        <r>
          <rPr>
            <sz val="8"/>
            <color indexed="81"/>
            <rFont val="Tahoma"/>
            <family val="2"/>
          </rPr>
          <t xml:space="preserve">
factura de mayo o junio.
14.10.19 Alberto da toque para cobro</t>
        </r>
      </text>
    </comment>
    <comment ref="DA58" authorId="0" shapeId="0" xr:uid="{30AA26ED-6FB4-4FDF-B012-8BCC2DABE1E1}">
      <text>
        <r>
          <rPr>
            <b/>
            <sz val="9"/>
            <color indexed="81"/>
            <rFont val="Tahoma"/>
            <family val="2"/>
          </rPr>
          <t>Fra Alvinesa 20251387 (09/10/25):</t>
        </r>
        <r>
          <rPr>
            <sz val="9"/>
            <color indexed="81"/>
            <rFont val="Tahoma"/>
            <family val="2"/>
          </rPr>
          <t xml:space="preserve"> 
24.340 Kg: Albarán AV-60531
25.460 Kg: Albarán AV-60533
25.160 Kg: Albarán AV-60537
Precio: 1,0247+21% IVA=92.941,93€
Vcmto 08/12/25
Transf. Caixa realizada el 26/11/25</t>
        </r>
      </text>
    </comment>
    <comment ref="DA59" authorId="0" shapeId="0" xr:uid="{784FF5F5-BE41-40C9-B6A1-E9686245F21F}">
      <text>
        <r>
          <rPr>
            <b/>
            <sz val="9"/>
            <color indexed="81"/>
            <rFont val="Tahoma"/>
            <family val="2"/>
          </rPr>
          <t>Fra Alvinesa 20251391 (10/10/25):</t>
        </r>
        <r>
          <rPr>
            <sz val="9"/>
            <color indexed="81"/>
            <rFont val="Tahoma"/>
            <family val="2"/>
          </rPr>
          <t xml:space="preserve"> 
25.840 Kg: Albarán AV-60543
24.980 Kg: Albarán AV-60548
25.300 Kg: Albarán AV-60549
24.640 Kg: Albarán AV-60553
Precio: 1,0247+21% IVA=124.931,02€
Vcmto 09/12/25
Transf. BBVA realizada el 27/11/25</t>
        </r>
      </text>
    </comment>
    <comment ref="DA60" authorId="0" shapeId="0" xr:uid="{584D6B48-D6AA-4E0C-9E63-07AC2EBB791E}">
      <text>
        <r>
          <rPr>
            <b/>
            <sz val="9"/>
            <color indexed="81"/>
            <rFont val="Tahoma"/>
            <family val="2"/>
          </rPr>
          <t>Fra Alvinesa 20251397 (13/10/25):</t>
        </r>
        <r>
          <rPr>
            <sz val="9"/>
            <color indexed="81"/>
            <rFont val="Tahoma"/>
            <family val="2"/>
          </rPr>
          <t xml:space="preserve"> 
24.260 Kg: Albarán AV-60559
Precio: 1,0247+21% IVA=30.079,66€
Vcmto 12/12/25
Transf. Caixa realizada el 28/11/25</t>
        </r>
      </text>
    </comment>
    <comment ref="DB61" authorId="0" shapeId="0" xr:uid="{6398E075-B991-4DA7-8060-14589119DC58}">
      <text>
        <r>
          <rPr>
            <b/>
            <sz val="9"/>
            <color indexed="81"/>
            <rFont val="Tahoma"/>
            <family val="2"/>
          </rPr>
          <t>Fra Alvinesa 20251405 (14/10/25):</t>
        </r>
        <r>
          <rPr>
            <sz val="9"/>
            <color indexed="81"/>
            <rFont val="Tahoma"/>
            <family val="2"/>
          </rPr>
          <t xml:space="preserve"> 
25.300 Kg: Albarán AV-60573
25.780 Kg: Albarán AV-60575
25.380 Kg: Albarán AV-60578
Precio: 1,0247+21% IVA=94.801,77€
Vcmto 13/12/25
Transf. BBVA realizada el 02/12/25</t>
        </r>
      </text>
    </comment>
    <comment ref="DB62" authorId="0" shapeId="0" xr:uid="{EBF6866D-E727-4AFB-AB04-9E6CBB97B116}">
      <text>
        <r>
          <rPr>
            <b/>
            <sz val="9"/>
            <color indexed="81"/>
            <rFont val="Tahoma"/>
            <family val="2"/>
          </rPr>
          <t>Fra Alvinesa 20251414 (15/10/25):</t>
        </r>
        <r>
          <rPr>
            <sz val="9"/>
            <color indexed="81"/>
            <rFont val="Tahoma"/>
            <family val="2"/>
          </rPr>
          <t xml:space="preserve"> 
25.480 Kg: Albarán AV-60584
25.160 Kg: Albarán AV-60587
24.520 Kg: Albarán AV-60591
24.120 Kg: Albarán AV-60592
Precio: 1,0247+21% IVA=123.095,97€
Vcmto 14/12/25
Transf. BBVA realizada el 02/12/25</t>
        </r>
      </text>
    </comment>
    <comment ref="DB63" authorId="0" shapeId="0" xr:uid="{40C66B8B-1738-4039-9919-C0D5A5213135}">
      <text>
        <r>
          <rPr>
            <b/>
            <sz val="9"/>
            <color indexed="81"/>
            <rFont val="Tahoma"/>
            <family val="2"/>
          </rPr>
          <t>Fra Alvinesa 20251421 (16/10/25):</t>
        </r>
        <r>
          <rPr>
            <sz val="9"/>
            <color indexed="81"/>
            <rFont val="Tahoma"/>
            <family val="2"/>
          </rPr>
          <t xml:space="preserve"> 
25.540 Kg: Albarán AV-60595
26.560 Kg: Albarán AV-60596
25.560 Kg: Albarán AV-60600
24.340 Kg: Albarán AV-60601
Precio: 1,0247+21% IVA=126.468,47€
Vcmto 15/12/25
Transf. BBVA realizada el 15/12/25</t>
        </r>
      </text>
    </comment>
    <comment ref="DB64" authorId="0" shapeId="0" xr:uid="{82DBC2EC-B84F-463B-B7A5-B732FFF9B7A6}">
      <text>
        <r>
          <rPr>
            <b/>
            <sz val="9"/>
            <color indexed="81"/>
            <rFont val="Tahoma"/>
            <family val="2"/>
          </rPr>
          <t>Fra Alvinesa 20251425 (17/10/25):</t>
        </r>
        <r>
          <rPr>
            <sz val="9"/>
            <color indexed="81"/>
            <rFont val="Tahoma"/>
            <family val="2"/>
          </rPr>
          <t xml:space="preserve"> 
8.700 Kg: Albarán AV-60602
16.040 Kg: Albarán AV-60604
25.860 Kg: Albarán AV-60605
25.860 Kg: Albarán AV-60607
Precio: 1,0247+21% IVA=94.801,76€
Vcmto 16/12/25
Transf. Caixa realizada el 15/12/25</t>
        </r>
      </text>
    </comment>
    <comment ref="DB65" authorId="0" shapeId="0" xr:uid="{EB5D7563-6F72-4CB8-B909-9D332F851A4A}">
      <text>
        <r>
          <rPr>
            <b/>
            <sz val="9"/>
            <color indexed="81"/>
            <rFont val="Tahoma"/>
            <family val="2"/>
          </rPr>
          <t>Fra Alvinesa 20251434 (20/10/25):</t>
        </r>
        <r>
          <rPr>
            <sz val="9"/>
            <color indexed="81"/>
            <rFont val="Tahoma"/>
            <family val="2"/>
          </rPr>
          <t xml:space="preserve"> 
24.200 Kg: Albarán AV-60617
26.260 Kg: Albarán AV-60619
24.920 Kg: Albarán AV-60623
Precio: 1,0247+21% IVA=93.462,67€
Vcmto 19/12/25
Transf. Caixa realizada el 17/12/25</t>
        </r>
      </text>
    </comment>
    <comment ref="DB66" authorId="0" shapeId="0" xr:uid="{12B4A56F-204A-4F07-B90F-327AAE039411}">
      <text>
        <r>
          <rPr>
            <b/>
            <sz val="9"/>
            <color indexed="81"/>
            <rFont val="Tahoma"/>
            <family val="2"/>
          </rPr>
          <t>Fra Alvinesa 20251438 (21/10/25):</t>
        </r>
        <r>
          <rPr>
            <sz val="9"/>
            <color indexed="81"/>
            <rFont val="Tahoma"/>
            <family val="2"/>
          </rPr>
          <t xml:space="preserve"> 
25.300 Kg: Albarán AV-60625
24.980 Kg: Albarán AV-60626
25.920 Kg: Albarán AV-60627
24.400 Kg: Albarán AV-60628
25.400 Kg: Albarán AV-60629
25.640 Kg: Albarán AV-60630
Precio: 1,0247+21% IVA=188.016,47€
Vcmto 20/12/25
Transf. BBVA realizada el 17/12/25</t>
        </r>
      </text>
    </comment>
    <comment ref="DB67" authorId="0" shapeId="0" xr:uid="{0361157B-8DF5-42A0-9511-13DF240AE933}">
      <text>
        <r>
          <rPr>
            <b/>
            <sz val="9"/>
            <color indexed="81"/>
            <rFont val="Tahoma"/>
            <family val="2"/>
          </rPr>
          <t>Fra Alvinesa 20251447 (22/10/25):</t>
        </r>
        <r>
          <rPr>
            <sz val="9"/>
            <color indexed="81"/>
            <rFont val="Tahoma"/>
            <family val="2"/>
          </rPr>
          <t xml:space="preserve"> 
26.120 Kg: Albarán AV-60639
25.960 Kg: Albarán AV-60640
24.340 Kg: Albarán AV-60641
25.440 Kg: Albarán AV-60643
25.500 Kg: Albarán AV-60646
Precio: 1,0247+21% IVA=157.912,01€
Vcmto 21/12/25
Transf. Bankinter realizada el 19/12/25 </t>
        </r>
      </text>
    </comment>
    <comment ref="DB68" authorId="0" shapeId="0" xr:uid="{13929DA3-03C2-42AB-AEE9-D38B7B2095DF}">
      <text>
        <r>
          <rPr>
            <b/>
            <sz val="9"/>
            <color indexed="81"/>
            <rFont val="Tahoma"/>
            <family val="2"/>
          </rPr>
          <t>Fra Alvinesa 20251454 (23/10/25):</t>
        </r>
        <r>
          <rPr>
            <sz val="9"/>
            <color indexed="81"/>
            <rFont val="Tahoma"/>
            <family val="2"/>
          </rPr>
          <t xml:space="preserve"> 
24.680 Kg: Albarán AV-60650
Precio: 1,0247+21% IVA=30.600,42€
Vcmto 22/12/25
Transf. Bankinter realizada el 19/12/25 </t>
        </r>
      </text>
    </comment>
    <comment ref="DH69" authorId="0" shapeId="0" xr:uid="{FA32EF8F-9277-418B-93D3-C69071E8C6E4}">
      <text>
        <r>
          <rPr>
            <b/>
            <sz val="9"/>
            <color indexed="81"/>
            <rFont val="Tahoma"/>
            <family val="2"/>
          </rPr>
          <t>Fra Alvinesa FV20260073 (22/05/26):</t>
        </r>
        <r>
          <rPr>
            <sz val="9"/>
            <color indexed="81"/>
            <rFont val="Tahoma"/>
            <family val="2"/>
          </rPr>
          <t xml:space="preserve"> 
1.140.500 Kg
Precio: 60+21% IVA=82.800,30€
Nota: Enviaron fra errónea FV20250203 (31/12/25) y fra abono AB260002 (22/05/26)
Vcmto 27/05/26
Transf. Caixa realizada el </t>
        </r>
      </text>
    </comment>
    <comment ref="DC70" authorId="0" shapeId="0" xr:uid="{99B09C1E-BB6E-4676-A569-1DDD8838692C}">
      <text>
        <r>
          <rPr>
            <b/>
            <sz val="9"/>
            <color indexed="81"/>
            <rFont val="Tahoma"/>
            <family val="2"/>
          </rPr>
          <t xml:space="preserve">Fra AmSpec (26/12/25): </t>
        </r>
        <r>
          <rPr>
            <sz val="9"/>
            <color indexed="81"/>
            <rFont val="Tahoma"/>
            <family val="2"/>
          </rPr>
          <t xml:space="preserve">
2.186,19€: Gastos por traslado cisterna, repercutidos a Alvinesa 
Vcmto: A 30 días
25/01/26: Realizar transferencia cuando pague Alvinesa
Transf. Caixa realizada el 
23/01/26</t>
        </r>
      </text>
    </comment>
    <comment ref="DH70" authorId="0" shapeId="0" xr:uid="{12BE3E39-CF5F-44B4-B1E6-39B134C92440}">
      <text>
        <r>
          <rPr>
            <b/>
            <sz val="9"/>
            <color indexed="81"/>
            <rFont val="Tahoma"/>
            <family val="2"/>
          </rPr>
          <t xml:space="preserve">Fra: 2026/ALV/001 (19/01/26): </t>
        </r>
        <r>
          <rPr>
            <sz val="9"/>
            <color indexed="81"/>
            <rFont val="Tahoma"/>
            <family val="2"/>
          </rPr>
          <t xml:space="preserve">
-2.186,19€: Gastos por traslado cisterna, repercutidos a Alvinesa 
Descontar del pago pndte a Alvinesa
--------------------------
</t>
        </r>
      </text>
    </comment>
    <comment ref="DC71" authorId="0" shapeId="0" xr:uid="{3780FC85-CF7E-4ACD-AB87-8954AFE23ECC}">
      <text>
        <r>
          <rPr>
            <b/>
            <sz val="9"/>
            <color indexed="81"/>
            <rFont val="Tahoma"/>
            <family val="2"/>
          </rPr>
          <t>Fra Alvinesa 20251533 (11/11/25):</t>
        </r>
        <r>
          <rPr>
            <sz val="9"/>
            <color indexed="81"/>
            <rFont val="Tahoma"/>
            <family val="2"/>
          </rPr>
          <t xml:space="preserve"> 
30.389 L: Albarán AV-60746
Precio: 0,9264
28.152,37€: Vcmto 11/12/25
19/12/25: OK Alberto pagar a principios de enero
Transf. Bankinter realizada el 12/01/26</t>
        </r>
      </text>
    </comment>
    <comment ref="DC72" authorId="0" shapeId="0" xr:uid="{EFF30752-61AD-42A9-9092-B8DDE049AFE8}">
      <text>
        <r>
          <rPr>
            <b/>
            <sz val="9"/>
            <color indexed="81"/>
            <rFont val="Tahoma"/>
            <family val="2"/>
          </rPr>
          <t>Fra Alvinesa 20251542 (12/11/25):</t>
        </r>
        <r>
          <rPr>
            <sz val="9"/>
            <color indexed="81"/>
            <rFont val="Tahoma"/>
            <family val="2"/>
          </rPr>
          <t xml:space="preserve"> 
30.744 L: Albarán AV-60755
Precio: 0,9264
28.481,24€: Vcmto 12/12/25
19/12/25: OK Alberto pagar a principios de enero
Transf. Bankinter realizada el 12/01/26</t>
        </r>
      </text>
    </comment>
    <comment ref="DG73" authorId="0" shapeId="0" xr:uid="{B85E0F3F-7A1E-4941-8835-40130D659DF6}">
      <text>
        <r>
          <rPr>
            <b/>
            <sz val="9"/>
            <color indexed="81"/>
            <rFont val="Tahoma"/>
            <family val="2"/>
          </rPr>
          <t>Fra Alvinesa 20251546 (13/11/25):</t>
        </r>
        <r>
          <rPr>
            <sz val="9"/>
            <color indexed="81"/>
            <rFont val="Tahoma"/>
            <family val="2"/>
          </rPr>
          <t xml:space="preserve"> 
30.643 L: Albarán AV-60763
Precio: 0,9264
28.387,68€: Vcmto 13/12/25
19/12/25: OK Alberto pagar a principios de enero
28.387,68€: Transf. Caixa realizada el 12/01/26 por financiación 
Vcmto: 15/05/25
Cargado Caixa: 15/05/26</t>
        </r>
      </text>
    </comment>
    <comment ref="DG74" authorId="0" shapeId="0" xr:uid="{0E3CBC75-E04B-438C-848A-5DCC10B9D3B1}">
      <text>
        <r>
          <rPr>
            <b/>
            <sz val="9"/>
            <color indexed="81"/>
            <rFont val="Tahoma"/>
            <family val="2"/>
          </rPr>
          <t>Fra Alvinesa 20251562 (17/11/25):</t>
        </r>
        <r>
          <rPr>
            <sz val="9"/>
            <color indexed="81"/>
            <rFont val="Tahoma"/>
            <family val="2"/>
          </rPr>
          <t xml:space="preserve"> 
30.313 L: Albarán AV-60782
31.149 L: Albarán AV-60783
Precio: 0,9264
56.938,39€: Vcmto 17/12/25
19/12/25: OK Alberto pagar a principios de enero
56.938,39€: Transf. Caixa realizada el 12/01/26 por financiación 
Vcmto: 15/05/25
Cargado Caixa: 15/05/26</t>
        </r>
      </text>
    </comment>
    <comment ref="DC75" authorId="0" shapeId="0" xr:uid="{AA518829-099D-4AA7-A285-2D6E12EEF63D}">
      <text>
        <r>
          <rPr>
            <b/>
            <sz val="9"/>
            <color indexed="81"/>
            <rFont val="Tahoma"/>
            <family val="2"/>
          </rPr>
          <t>Fra Alvinesa 20251566 (18/11/25):</t>
        </r>
        <r>
          <rPr>
            <sz val="9"/>
            <color indexed="81"/>
            <rFont val="Tahoma"/>
            <family val="2"/>
          </rPr>
          <t xml:space="preserve"> 
30.465L: Albarán AV-60791
Precio: 0,9264
28.222,78€: Vcmto 18/12/25
19/12/25: OK Alberto pagar a principios de enero
Transf. Caixa realizada el 15/01/26</t>
        </r>
      </text>
    </comment>
    <comment ref="DC76" authorId="0" shapeId="0" xr:uid="{19FD8C49-788F-486E-8730-30F626B69F7E}">
      <text>
        <r>
          <rPr>
            <b/>
            <sz val="9"/>
            <color indexed="81"/>
            <rFont val="Tahoma"/>
            <family val="2"/>
          </rPr>
          <t>Fra Alvinesa 20251574 (19/11/25):</t>
        </r>
        <r>
          <rPr>
            <sz val="9"/>
            <color indexed="81"/>
            <rFont val="Tahoma"/>
            <family val="2"/>
          </rPr>
          <t xml:space="preserve"> 
31.073 L: Albarán AV-60799
Precio: 0,9264
28.786,03€: Vcmto 19/12/25
19/12/25: OK Alberto pagar a principios de enero
Transf. Caixa realizada el 15/01/26</t>
        </r>
      </text>
    </comment>
    <comment ref="DC77" authorId="0" shapeId="0" xr:uid="{FF992D2B-5EBA-4337-B66F-69C59DFBEE24}">
      <text>
        <r>
          <rPr>
            <b/>
            <sz val="9"/>
            <color indexed="81"/>
            <rFont val="Tahoma"/>
            <family val="2"/>
          </rPr>
          <t>Fra Alvinesa 20251585 (20/11/25):</t>
        </r>
        <r>
          <rPr>
            <sz val="9"/>
            <color indexed="81"/>
            <rFont val="Tahoma"/>
            <family val="2"/>
          </rPr>
          <t xml:space="preserve"> 
30.085 L: Albarán AV-60819
Precio: 0,9264
27.870,74€: Vcmto 20/12/25
19/12/25: OK Alberto pagar a principios de enero
Transf. Caixa realizada el 15/01/26</t>
        </r>
      </text>
    </comment>
    <comment ref="DD78" authorId="1" shapeId="0" xr:uid="{EF5BEF27-C1D1-4BB5-B4E0-1972C9218B80}">
      <text>
        <r>
          <rPr>
            <b/>
            <sz val="9"/>
            <color indexed="81"/>
            <rFont val="Tahoma"/>
            <family val="2"/>
          </rPr>
          <t xml:space="preserve">Fra Alvinesa 20260008 (05/01/26): </t>
        </r>
        <r>
          <rPr>
            <sz val="9"/>
            <color indexed="81"/>
            <rFont val="Tahoma"/>
            <family val="2"/>
          </rPr>
          <t xml:space="preserve">
30.111 L: Albarán AV-61118
Precio: 0,94 (Nota: Deben facturar al precio 0,912, mandan fra de abono por la diferencia)
28.304,34€: Vcmto 04/02/26 (Deben abonar 843,11€)
Transf. Bankinter realizada el 27/02/26
</t>
        </r>
      </text>
    </comment>
    <comment ref="DE78" authorId="1" shapeId="0" xr:uid="{E73F8738-90E8-4DA2-AF7A-E9F111CC92F2}">
      <text>
        <r>
          <rPr>
            <b/>
            <sz val="9"/>
            <color indexed="81"/>
            <rFont val="Tahoma"/>
            <family val="2"/>
          </rPr>
          <t xml:space="preserve">Fra Alvinesa 20260015 (08/01/26): </t>
        </r>
        <r>
          <rPr>
            <sz val="9"/>
            <color indexed="81"/>
            <rFont val="Tahoma"/>
            <family val="2"/>
          </rPr>
          <t xml:space="preserve">
30.972 L: Albarán AV-61131
Precio: 0,94 (Nota: Deben facturar al precio 0,912, mandan fra de abono por la diferencia)
29.113,68€: Vcmto 07/02/26 (Deben abonar 867,22€)
Transf. Bankinter realizada el 10/03/26
</t>
        </r>
        <r>
          <rPr>
            <b/>
            <sz val="9"/>
            <color indexed="81"/>
            <rFont val="Tahoma"/>
            <family val="2"/>
          </rPr>
          <t xml:space="preserve">Fra Alvinesa 20260042 (13/01/26): </t>
        </r>
        <r>
          <rPr>
            <sz val="9"/>
            <color indexed="81"/>
            <rFont val="Tahoma"/>
            <family val="2"/>
          </rPr>
          <t xml:space="preserve">
31.174 L: Albarán AV-61171
Precio: 0,94 (Nota: Deben facturar al precio 0,912, mandan fra de abono por la diferencia)
29.303,56€: Vcmto 12/02/26 (Deben abonar 872,87€)
Transf. Bankinter realizada el 10/03/26
</t>
        </r>
        <r>
          <rPr>
            <b/>
            <sz val="9"/>
            <color indexed="81"/>
            <rFont val="Tahoma"/>
            <family val="2"/>
          </rPr>
          <t xml:space="preserve">Fra Alvinesa 20260108 (21/01/26): </t>
        </r>
        <r>
          <rPr>
            <sz val="9"/>
            <color indexed="81"/>
            <rFont val="Tahoma"/>
            <family val="2"/>
          </rPr>
          <t xml:space="preserve">
30.389 L: Albarán AV-61296
Precio: 0,94 (Nota: Deben facturar al precio 0,912, mandan fra de abono por la diferencia)
28.565,66€: Vcmto 20/02/26 (Deben abonar 850,89€)
Transf. Bankinter realizada el 12/03/26
</t>
        </r>
        <r>
          <rPr>
            <b/>
            <sz val="9"/>
            <color indexed="81"/>
            <rFont val="Tahoma"/>
            <family val="2"/>
          </rPr>
          <t xml:space="preserve">Fra Alvinesa 20260187 (31/01/26): </t>
        </r>
        <r>
          <rPr>
            <sz val="9"/>
            <color indexed="81"/>
            <rFont val="Tahoma"/>
            <family val="2"/>
          </rPr>
          <t xml:space="preserve">
31.174 L: Albarán AV-61396
Precio: 0,94 (Nota: Deben facturar al precio 0,912, mandan fra de abono por la diferencia)
29.303,56€: Vcmto 02/03/26 (Deben abonar 872,87€)
Transf. Bankinter realizada el 17/03/26
</t>
        </r>
        <r>
          <rPr>
            <b/>
            <sz val="9"/>
            <color indexed="81"/>
            <rFont val="Tahoma"/>
            <family val="2"/>
          </rPr>
          <t xml:space="preserve">Fra Alvinesa 20260207 (04/02/26): </t>
        </r>
        <r>
          <rPr>
            <sz val="9"/>
            <color indexed="81"/>
            <rFont val="Tahoma"/>
            <family val="2"/>
          </rPr>
          <t xml:space="preserve">
30.693 L: Albarán AV-61423
Precio: 0,94 (Nota: Deben facturar al precio 0,912, mandan fra de abono por la diferencia)
28.851,42€: Vcmto 06/03/26 (Deben abonar 859,40€)
Transf. Bankinter x el total 23.685,06€ realizada el 24/03/26
</t>
        </r>
        <r>
          <rPr>
            <b/>
            <sz val="9"/>
            <color indexed="81"/>
            <rFont val="Tahoma"/>
            <family val="2"/>
          </rPr>
          <t xml:space="preserve">Fra abono Alvinesa AB2026016 (26/02/26): </t>
        </r>
        <r>
          <rPr>
            <sz val="9"/>
            <color indexed="81"/>
            <rFont val="Tahoma"/>
            <family val="2"/>
          </rPr>
          <t xml:space="preserve">
-5.166,36€: Diferencia precio enero a 03/02/26
Nota: Facturan a 0,94 y deben facturar al precio 0,912, mandan fra de abono por la diferencia)
-5.166,36€: Vcmto 26/02/26 Descontar del pago
Transf. Bankinter x el total 23.685,06€ realizada el 24/03/26
</t>
        </r>
        <r>
          <rPr>
            <b/>
            <sz val="9"/>
            <color indexed="81"/>
            <rFont val="Tahoma"/>
            <family val="2"/>
          </rPr>
          <t xml:space="preserve">Fra Alvinesa 20260273 (16/02/26): </t>
        </r>
        <r>
          <rPr>
            <sz val="9"/>
            <color indexed="81"/>
            <rFont val="Tahoma"/>
            <family val="2"/>
          </rPr>
          <t xml:space="preserve">
31.073 L: Albarán AV-61512
Precio: 0,912
28.338,58€: Vcmto 18/03/26 
Transf. Bankinter realizada el 24/03/26
</t>
        </r>
      </text>
    </comment>
    <comment ref="DF78" authorId="1" shapeId="0" xr:uid="{98FF4108-7E2A-4499-89BA-6201727572BB}">
      <text>
        <r>
          <rPr>
            <b/>
            <sz val="9"/>
            <color indexed="81"/>
            <rFont val="Tahoma"/>
            <family val="2"/>
          </rPr>
          <t xml:space="preserve">Fra Alvinesa 20260291 (18/02/26): 
</t>
        </r>
        <r>
          <rPr>
            <sz val="9"/>
            <color indexed="81"/>
            <rFont val="Tahoma"/>
            <family val="2"/>
          </rPr>
          <t>30.592 L: Albarán AV-61530
Precio: 0,912
27.899,90€: Vcmto 20/03/26 
Transf. Caixa realizada el 09/04/26</t>
        </r>
        <r>
          <rPr>
            <b/>
            <sz val="9"/>
            <color indexed="81"/>
            <rFont val="Tahoma"/>
            <family val="2"/>
          </rPr>
          <t xml:space="preserve">
Fra Alvinesa 20260349 (27/02/26): 
</t>
        </r>
        <r>
          <rPr>
            <sz val="9"/>
            <color indexed="81"/>
            <rFont val="Tahoma"/>
            <family val="2"/>
          </rPr>
          <t>30.693 L: Albarán AV-61602
Precio: 0,912
27.992,02€: Vcmto 29/03/26 
Transf. Bankinter realizada el 15/04/26</t>
        </r>
        <r>
          <rPr>
            <b/>
            <sz val="9"/>
            <color indexed="81"/>
            <rFont val="Tahoma"/>
            <family val="2"/>
          </rPr>
          <t xml:space="preserve">
-------------------------------------
Fra Alvinesa 20260381 (04/03/26): </t>
        </r>
        <r>
          <rPr>
            <sz val="9"/>
            <color indexed="81"/>
            <rFont val="Tahoma"/>
            <family val="2"/>
          </rPr>
          <t xml:space="preserve">
31.225 L: Albarán AV-61636
Precio: 0,912
28.477,20€: Vcmto 03/04/26 
Transf. Bankinter realizada el 17/04/26
</t>
        </r>
        <r>
          <rPr>
            <b/>
            <sz val="9"/>
            <color indexed="81"/>
            <rFont val="Tahoma"/>
            <family val="2"/>
          </rPr>
          <t xml:space="preserve">Fra Alvinesa 20260418 (10/03/26): 
</t>
        </r>
        <r>
          <rPr>
            <sz val="9"/>
            <color indexed="81"/>
            <rFont val="Tahoma"/>
            <family val="2"/>
          </rPr>
          <t>31.225 L: Albarán AV-61680
Precio: 0,912
28.477,20€: Vcmto 09/04/26 
Transf. Bankinter realizada el 23/04/26</t>
        </r>
        <r>
          <rPr>
            <b/>
            <sz val="9"/>
            <color indexed="81"/>
            <rFont val="Tahoma"/>
            <family val="2"/>
          </rPr>
          <t xml:space="preserve">
</t>
        </r>
      </text>
    </comment>
    <comment ref="DG78" authorId="1" shapeId="0" xr:uid="{89507824-802D-4C76-BE95-DD6EF20FAF07}">
      <text>
        <r>
          <rPr>
            <b/>
            <sz val="9"/>
            <color indexed="81"/>
            <rFont val="Tahoma"/>
            <family val="2"/>
          </rPr>
          <t xml:space="preserve">Fra Alvinesa 20260435 (12/03/26): 
</t>
        </r>
        <r>
          <rPr>
            <sz val="9"/>
            <color indexed="81"/>
            <rFont val="Tahoma"/>
            <family val="2"/>
          </rPr>
          <t xml:space="preserve">30.668 L: Albarán AV-61707
Precio: 0,912
27.969,22€: Vcmto 11/04/26 
Transf. Bankinter realizada el 08/05/26
-------------------------------------------
</t>
        </r>
        <r>
          <rPr>
            <b/>
            <sz val="9"/>
            <color indexed="81"/>
            <rFont val="Tahoma"/>
            <family val="2"/>
          </rPr>
          <t xml:space="preserve">Fra Alvinesa 20260536 (31/03/26): </t>
        </r>
        <r>
          <rPr>
            <sz val="9"/>
            <color indexed="81"/>
            <rFont val="Tahoma"/>
            <family val="2"/>
          </rPr>
          <t xml:space="preserve">
31.225 L: Albarán AV-61820
Precio: 0,912
28.477,20€: Vcmto 30/04/26 
Transf. Bankinter realizada el 28/05/26
</t>
        </r>
      </text>
    </comment>
    <comment ref="DH78" authorId="0" shapeId="0" xr:uid="{7C77AD80-CD33-4262-B059-680EC257F933}">
      <text>
        <r>
          <rPr>
            <b/>
            <sz val="9"/>
            <color indexed="81"/>
            <rFont val="Tahoma"/>
            <family val="2"/>
          </rPr>
          <t xml:space="preserve">Fra Alvinesa 20260579 (08/04/26): 
</t>
        </r>
        <r>
          <rPr>
            <sz val="9"/>
            <color indexed="81"/>
            <rFont val="Tahoma"/>
            <family val="2"/>
          </rPr>
          <t>30.820 L: Albarán AV-61852
Precio: 0,912
28.107,84€: Vcmto 08/05/26 
Transf. Bankinter realizada el 16/06/26</t>
        </r>
        <r>
          <rPr>
            <b/>
            <sz val="9"/>
            <color indexed="81"/>
            <rFont val="Tahoma"/>
            <family val="2"/>
          </rPr>
          <t xml:space="preserve">
-------------------------------------------
Fra Alvinesa 20260708 (30/04/26): 
</t>
        </r>
        <r>
          <rPr>
            <sz val="9"/>
            <color indexed="81"/>
            <rFont val="Tahoma"/>
            <family val="2"/>
          </rPr>
          <t xml:space="preserve">30.288 L: Albarán AV-62074
Precio: 0,912
27.622,66€: Vcmto 30/05/26 
Transf. Bankinter realizada el 
-------------------------------------------
</t>
        </r>
        <r>
          <rPr>
            <b/>
            <sz val="9"/>
            <color indexed="81"/>
            <rFont val="Tahoma"/>
            <family val="2"/>
          </rPr>
          <t xml:space="preserve">Fra Alvinesa 20260721 (06/05/26): </t>
        </r>
        <r>
          <rPr>
            <sz val="9"/>
            <color indexed="81"/>
            <rFont val="Tahoma"/>
            <family val="2"/>
          </rPr>
          <t xml:space="preserve">
30.440 L: Albarán AV-62089
Precio: 0,912
27.761,28€: Vcmto 05/06/26 
Transf. Bankinter realizada el 
-------------------------------------------
</t>
        </r>
        <r>
          <rPr>
            <b/>
            <sz val="9"/>
            <color indexed="81"/>
            <rFont val="Tahoma"/>
            <family val="2"/>
          </rPr>
          <t xml:space="preserve">Fra Alvinesa 20260744 (11/05/26): </t>
        </r>
        <r>
          <rPr>
            <sz val="9"/>
            <color indexed="81"/>
            <rFont val="Tahoma"/>
            <family val="2"/>
          </rPr>
          <t xml:space="preserve">
31.174 L: Albarán AV-62126
31.402 L: Albarán AV-62128
Precio: 0,912
57.069,31€: Vcmto 10/06/26 
Transf. Bankinter realizada el 
</t>
        </r>
      </text>
    </comment>
    <comment ref="DL78" authorId="0" shapeId="0" xr:uid="{5A5040A2-F2E4-4DD5-A4BA-A9CBF4AF5200}">
      <text>
        <r>
          <rPr>
            <b/>
            <sz val="9"/>
            <color indexed="81"/>
            <rFont val="Tahoma"/>
            <family val="2"/>
          </rPr>
          <t xml:space="preserve">Fra Alvinesa 20260551 (31/03/26): </t>
        </r>
        <r>
          <rPr>
            <sz val="9"/>
            <color indexed="81"/>
            <rFont val="Tahoma"/>
            <family val="2"/>
          </rPr>
          <t xml:space="preserve">
30.769 L: Albarán AV-61829
29.706 L: Albarán AV-61836 
Precio: 0,912
55.153,20€: Vcmto 30/04/26 
Transf. Caixa realizada el 21/05/26 por financiación 
Vcmto: 18/09/26
Cargado Caixa: 
</t>
        </r>
      </text>
    </comment>
    <comment ref="W93" authorId="2" shapeId="0" xr:uid="{BAEB39CF-B471-4623-A490-E5EB13DDB334}">
      <text>
        <r>
          <rPr>
            <b/>
            <sz val="9"/>
            <color indexed="81"/>
            <rFont val="Tahoma"/>
            <family val="2"/>
          </rPr>
          <t>Alberto Carmona:</t>
        </r>
        <r>
          <rPr>
            <sz val="9"/>
            <color indexed="81"/>
            <rFont val="Tahoma"/>
            <family val="2"/>
          </rPr>
          <t xml:space="preserve">
1h Guidepoint
fra de agosto por 270,5 USD</t>
        </r>
      </text>
    </comment>
    <comment ref="V97" authorId="3" shapeId="0" xr:uid="{4A028149-0BDE-4E00-AE86-E389C77A1E8C}">
      <text>
        <r>
          <rPr>
            <b/>
            <sz val="9"/>
            <color indexed="81"/>
            <rFont val="Tahoma"/>
            <family val="2"/>
          </rPr>
          <t>Backoffice:</t>
        </r>
        <r>
          <rPr>
            <sz val="9"/>
            <color indexed="81"/>
            <rFont val="Tahoma"/>
            <family val="2"/>
          </rPr>
          <t xml:space="preserve">
1174 cbm brokeados con Interalco</t>
        </r>
      </text>
    </comment>
    <comment ref="T99" authorId="4" shapeId="0" xr:uid="{E87EE197-6D03-40ED-80DE-D0C4E06E0835}">
      <text>
        <r>
          <rPr>
            <b/>
            <sz val="9"/>
            <color indexed="81"/>
            <rFont val="Tahoma"/>
            <family val="2"/>
          </rPr>
          <t>Alberto:</t>
        </r>
        <r>
          <rPr>
            <sz val="9"/>
            <color indexed="81"/>
            <rFont val="Tahoma"/>
            <family val="2"/>
          </rPr>
          <t xml:space="preserve">
0,66 USD/cbm x 10k cbm
=2666700*0,0025/1,13
fra de mayo por 6666,75USD</t>
        </r>
      </text>
    </comment>
    <comment ref="W99" authorId="1" shapeId="0" xr:uid="{9B5B76F3-2121-46C4-B61C-3A85799523DB}">
      <text>
        <r>
          <rPr>
            <b/>
            <sz val="8"/>
            <color indexed="81"/>
            <rFont val="Tahoma"/>
            <family val="2"/>
          </rPr>
          <t>alfonso:</t>
        </r>
        <r>
          <rPr>
            <sz val="8"/>
            <color indexed="81"/>
            <rFont val="Tahoma"/>
            <family val="2"/>
          </rPr>
          <t xml:space="preserve">
la factura es de agosto por 6,063,36 USD¿?</t>
        </r>
      </text>
    </comment>
    <comment ref="AA100" authorId="2" shapeId="0" xr:uid="{32EF718D-4818-4C53-BC8A-823EED359179}">
      <text>
        <r>
          <rPr>
            <b/>
            <sz val="9"/>
            <color indexed="81"/>
            <rFont val="Tahoma"/>
            <family val="2"/>
          </rPr>
          <t>Alberto Carmona:</t>
        </r>
        <r>
          <rPr>
            <sz val="9"/>
            <color indexed="81"/>
            <rFont val="Tahoma"/>
            <family val="2"/>
          </rPr>
          <t xml:space="preserve">
7k cbm brokeados con Cremer @ 2USD/cbm
12803,93 eu entran en banco
25,61 de comision bancaria</t>
        </r>
      </text>
    </comment>
    <comment ref="X101" authorId="3" shapeId="0" xr:uid="{BE8ABE00-5526-4F11-B778-51B78FB58DE1}">
      <text>
        <r>
          <rPr>
            <b/>
            <sz val="9"/>
            <color indexed="81"/>
            <rFont val="Tahoma"/>
            <family val="2"/>
          </rPr>
          <t>Backoffice:</t>
        </r>
        <r>
          <rPr>
            <sz val="9"/>
            <color indexed="81"/>
            <rFont val="Tahoma"/>
            <family val="2"/>
          </rPr>
          <t xml:space="preserve">
12k brokeados con Murex
=12126,722*1,789=21,694,71
en factura pone 24.253,44 USD</t>
        </r>
      </text>
    </comment>
    <comment ref="Z101" authorId="2" shapeId="0" xr:uid="{556D8274-010E-4AED-9A02-B6C513A74E44}">
      <text>
        <r>
          <rPr>
            <sz val="9"/>
            <color indexed="81"/>
            <rFont val="Tahoma"/>
            <family val="2"/>
          </rPr>
          <t>7167 cbm brokeados con Seaboard @ 2USD/cbm
12963 eu entran en banco
25,93 de comision bancaria</t>
        </r>
      </text>
    </comment>
    <comment ref="C112" authorId="1" shapeId="0" xr:uid="{2556B1FD-BDFB-4425-B3D1-7134A273D5B2}">
      <text>
        <r>
          <rPr>
            <b/>
            <sz val="9"/>
            <color indexed="81"/>
            <rFont val="Tahoma"/>
            <family val="2"/>
          </rPr>
          <t>alfonso:
1000 aparecia en la linea de prestamo.</t>
        </r>
        <r>
          <rPr>
            <sz val="9"/>
            <color indexed="81"/>
            <rFont val="Tahoma"/>
            <family val="2"/>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programas4</author>
    <author>alfonso</author>
    <author>recepción</author>
    <author>Maria</author>
    <author>Alfonso Carmona</author>
    <author>Alberto Carmona</author>
  </authors>
  <commentList>
    <comment ref="CC7" authorId="0" shapeId="0" xr:uid="{7F070655-9E74-4976-A2F9-6586980D5FDC}">
      <text>
        <r>
          <rPr>
            <sz val="9"/>
            <color indexed="81"/>
            <rFont val="Tahoma"/>
            <family val="2"/>
          </rPr>
          <t xml:space="preserve">
</t>
        </r>
        <r>
          <rPr>
            <b/>
            <sz val="9"/>
            <color indexed="81"/>
            <rFont val="Tahoma"/>
            <family val="2"/>
          </rPr>
          <t>Fra 83 La Gestora del Kiosko del 24/04/23.</t>
        </r>
        <r>
          <rPr>
            <sz val="9"/>
            <color indexed="81"/>
            <rFont val="Tahoma"/>
            <family val="2"/>
          </rPr>
          <t xml:space="preserve">
9 chuletones: 339,05€. 
Abonado:18/01/24 en Caixa de NA, pendiente hacer transfer. 
Transferencia desde Cta Nixal Agri abonada el 29/01/24
-------------------------------------------------------
</t>
        </r>
        <r>
          <rPr>
            <b/>
            <sz val="9"/>
            <color indexed="81"/>
            <rFont val="Tahoma"/>
            <family val="2"/>
          </rPr>
          <t>Fra 90 GMI del 12/06/23.</t>
        </r>
        <r>
          <rPr>
            <sz val="9"/>
            <color indexed="81"/>
            <rFont val="Tahoma"/>
            <family val="2"/>
          </rPr>
          <t xml:space="preserve">
9 chuletones: 170,12€. 
Abonado: 16/01/24</t>
        </r>
      </text>
    </comment>
    <comment ref="CD7" authorId="0" shapeId="0" xr:uid="{6A476631-8E34-4769-9C33-8AE507A85193}">
      <text>
        <r>
          <rPr>
            <b/>
            <sz val="9"/>
            <color indexed="81"/>
            <rFont val="Tahoma"/>
            <family val="2"/>
          </rPr>
          <t>Factura 67 gestkitchen restauracion del 23/02/23.</t>
        </r>
        <r>
          <rPr>
            <sz val="9"/>
            <color indexed="81"/>
            <rFont val="Tahoma"/>
            <family val="2"/>
          </rPr>
          <t xml:space="preserve">
6 chuletones: 134,58€. 
Abonado: 20/02/24
--------------------------------------------
</t>
        </r>
        <r>
          <rPr>
            <sz val="9"/>
            <color indexed="81"/>
            <rFont val="Tahoma"/>
            <family val="2"/>
          </rPr>
          <t xml:space="preserve">
</t>
        </r>
      </text>
    </comment>
    <comment ref="DI7" authorId="0" shapeId="0" xr:uid="{B4BD953E-6B60-4E09-BA7E-EC4CD09776C1}">
      <text>
        <r>
          <rPr>
            <b/>
            <sz val="9"/>
            <color indexed="81"/>
            <rFont val="Tahoma"/>
            <family val="2"/>
          </rPr>
          <t>Fra 55 de José Camacho Orta 30/09/22.</t>
        </r>
        <r>
          <rPr>
            <sz val="9"/>
            <color indexed="81"/>
            <rFont val="Tahoma"/>
            <family val="2"/>
          </rPr>
          <t xml:space="preserve">
Lomo alto, lomo bajo y Entraña de vaca: 559,64€. + iva=615,60
50% molino y 50% masero.
Abonado: 
-------------------------------------------------------</t>
        </r>
        <r>
          <rPr>
            <sz val="9"/>
            <color indexed="81"/>
            <rFont val="Tahoma"/>
            <family val="2"/>
          </rPr>
          <t xml:space="preserve">
</t>
        </r>
        <r>
          <rPr>
            <b/>
            <sz val="9"/>
            <color indexed="81"/>
            <rFont val="Tahoma"/>
            <family val="2"/>
          </rPr>
          <t>Fra 78 Jose Camacho Orta del 28/03/23.</t>
        </r>
        <r>
          <rPr>
            <sz val="9"/>
            <color indexed="81"/>
            <rFont val="Tahoma"/>
            <family val="2"/>
          </rPr>
          <t xml:space="preserve">
6 chuletones: 121,93€. 
Abonado:
--------------------------------------------------------
</t>
        </r>
      </text>
    </comment>
    <comment ref="CP8" authorId="1" shapeId="0" xr:uid="{C3C6133A-F107-4472-A776-A0A7B837D4C4}">
      <text>
        <r>
          <rPr>
            <b/>
            <sz val="9"/>
            <color indexed="81"/>
            <rFont val="Tahoma"/>
            <family val="2"/>
          </rPr>
          <t>alfonso:</t>
        </r>
        <r>
          <rPr>
            <sz val="9"/>
            <color indexed="81"/>
            <rFont val="Tahoma"/>
            <family val="2"/>
          </rPr>
          <t xml:space="preserve">
Concesión subvanción ayuda Sequia contra facturas de compras anotadas en meses anteriores: 
Tuberias 
Depositos
Bebederos
**Alfonso:deberia entrar antes de diciembre
13920€: Abonado Caja Rural: 28/12/24
4640€: Abonado Caja Rural: 31/12/24</t>
        </r>
      </text>
    </comment>
    <comment ref="CQ8" authorId="1" shapeId="0" xr:uid="{112321B1-01A3-41C7-B0A5-46BC20B46275}">
      <text>
        <r>
          <rPr>
            <sz val="9"/>
            <color indexed="81"/>
            <rFont val="Tahoma"/>
            <family val="2"/>
          </rPr>
          <t xml:space="preserve">2.972,85€: Abonado Caja Rural: 13/01/25
</t>
        </r>
      </text>
    </comment>
    <comment ref="DI8" authorId="0" shapeId="0" xr:uid="{69BE9AB1-70B3-42B5-A395-EFC2BB47008D}">
      <text>
        <r>
          <rPr>
            <sz val="9"/>
            <color indexed="81"/>
            <rFont val="Tahoma"/>
            <family val="2"/>
          </rPr>
          <t xml:space="preserve">Subvencion reforestación 1º AYUDA pendiente de ingresar. 
177331 son los trabajos finalmente realizados a cobrar. (no se hace majanos, cajas nido y vado sanitario.
12/11/25: Info ALF: Todavía no han venido a certificarla y tras la certificación me dijeron que 3 meses es lo normal. Yo la pondría en marzo 26 como pronto.
</t>
        </r>
      </text>
    </comment>
    <comment ref="DN8" authorId="0" shapeId="0" xr:uid="{710E2611-0A2A-47C0-92D0-CDB06CE057C2}">
      <text>
        <r>
          <rPr>
            <sz val="9"/>
            <color indexed="81"/>
            <rFont val="Tahoma"/>
            <family val="2"/>
          </rPr>
          <t xml:space="preserve">Subvencion reforestación 1º AYUDA pendiente de ingresar. 
177331 son los trabajos finalmente realizados a cobrar. (no se hace majanos, cajas nido y vado sanitario.
12/11/25: Info ALF: Todavía no han venido a certificarla y tras la certificación me dijeron que 3 meses es lo normal. Yo la pondría en marzo 26 como pronto.
</t>
        </r>
      </text>
    </comment>
    <comment ref="DK9" authorId="0" shapeId="0" xr:uid="{3D4276D8-925A-41D4-95AC-8F430C0CDC72}">
      <text>
        <r>
          <rPr>
            <sz val="9"/>
            <color indexed="81"/>
            <rFont val="Tahoma"/>
            <family val="2"/>
          </rPr>
          <t xml:space="preserve">Subvencion reforestación 2º AYUDA pendiente de ingresar. 
78.549,90€ Cobro Subvención 31/12/26
</t>
        </r>
        <r>
          <rPr>
            <b/>
            <sz val="9"/>
            <color indexed="81"/>
            <rFont val="Tahoma"/>
            <family val="2"/>
          </rPr>
          <t>Anotar dic 2026
-----------------------------</t>
        </r>
      </text>
    </comment>
    <comment ref="DP9" authorId="0" shapeId="0" xr:uid="{AACCCB3A-76D1-4019-BB82-6D909E9FFB81}">
      <text>
        <r>
          <rPr>
            <sz val="9"/>
            <color indexed="81"/>
            <rFont val="Tahoma"/>
            <family val="2"/>
          </rPr>
          <t xml:space="preserve">Subvencion reforestación 2º AYUDA pendiente de ingresar. 
78.549,90€ Cobro Subvención 31/12/26
</t>
        </r>
        <r>
          <rPr>
            <b/>
            <sz val="9"/>
            <color indexed="81"/>
            <rFont val="Tahoma"/>
            <family val="2"/>
          </rPr>
          <t>Anotar dic 2026
-----------------------------</t>
        </r>
      </text>
    </comment>
    <comment ref="BY10" authorId="0" shapeId="0" xr:uid="{19F94C9C-90E0-4F18-83B8-9F4848EA2556}">
      <text>
        <r>
          <rPr>
            <sz val="9"/>
            <color indexed="81"/>
            <rFont val="Tahoma"/>
            <family val="2"/>
          </rPr>
          <t>Previsión Alfonso ventas fresco:
compras Sebas piezas nobles a 150 kg/mes para consumir stock propio de 750 Kg en nobles, se gasta en 5 meses
----------------------------------------------</t>
        </r>
        <r>
          <rPr>
            <b/>
            <sz val="9"/>
            <color indexed="81"/>
            <rFont val="Tahoma"/>
            <family val="2"/>
          </rPr>
          <t xml:space="preserve">
Fra 92 Gapestore del 10/07/23.
</t>
        </r>
        <r>
          <rPr>
            <sz val="9"/>
            <color indexed="81"/>
            <rFont val="Tahoma"/>
            <family val="2"/>
          </rPr>
          <t xml:space="preserve">Varios: 2.277,03€. 
Abonado: 29/09/23.
</t>
        </r>
      </text>
    </comment>
    <comment ref="CA14" authorId="0" shapeId="0" xr:uid="{95613740-42F6-415C-9D77-3BCDC57E92F6}">
      <text>
        <r>
          <rPr>
            <b/>
            <sz val="9"/>
            <color indexed="81"/>
            <rFont val="Tahoma"/>
            <family val="2"/>
          </rPr>
          <t xml:space="preserve">Fra Agencia Puente del 17/08/23. </t>
        </r>
        <r>
          <rPr>
            <sz val="9"/>
            <color indexed="81"/>
            <rFont val="Tahoma"/>
            <family val="2"/>
          </rPr>
          <t>Transporte de Cal
Abono: 471,90€ 
Pendiente realizar transferencia. 
Transferencia Caixa realizada el 16/11/23</t>
        </r>
      </text>
    </comment>
    <comment ref="CG14" authorId="1" shapeId="0" xr:uid="{11D7E7E9-CE47-45BC-B281-88AA0EE91FA4}">
      <text>
        <r>
          <rPr>
            <b/>
            <sz val="9"/>
            <color indexed="81"/>
            <rFont val="Tahoma"/>
            <family val="2"/>
          </rPr>
          <t>Fra Borrero Ochoa del 15/10/23</t>
        </r>
        <r>
          <rPr>
            <sz val="9"/>
            <color indexed="81"/>
            <rFont val="Tahoma"/>
            <family val="2"/>
          </rPr>
          <t xml:space="preserve">
Viaje Estiercol: 387,20€.
Transferencia realizada el 14/05/24.</t>
        </r>
      </text>
    </comment>
    <comment ref="DB14" authorId="1" shapeId="0" xr:uid="{DCE36C89-7B13-43A7-94D8-71C61CC80A59}">
      <text>
        <r>
          <rPr>
            <b/>
            <sz val="9"/>
            <color indexed="81"/>
            <rFont val="Tahoma"/>
            <family val="2"/>
          </rPr>
          <t xml:space="preserve">Fra Remington Seeds Switzerland Sarl: 
</t>
        </r>
        <r>
          <rPr>
            <sz val="9"/>
            <color indexed="81"/>
            <rFont val="Tahoma"/>
            <family val="2"/>
          </rPr>
          <t>SERV-2025/SO-0477 del 13/11/25
Semillas: 315€.
14/11/25: OK ALB pagar
Transferencia realizada el 24/11/25</t>
        </r>
      </text>
    </comment>
    <comment ref="DD14" authorId="1" shapeId="0" xr:uid="{5CF4CBBA-F6ED-44BD-A488-D14569A6A4F7}">
      <text>
        <r>
          <rPr>
            <b/>
            <sz val="9"/>
            <color indexed="81"/>
            <rFont val="Tahoma"/>
            <family val="2"/>
          </rPr>
          <t>Fra Nutrisementes del 12/01/26</t>
        </r>
        <r>
          <rPr>
            <sz val="9"/>
            <color indexed="81"/>
            <rFont val="Tahoma"/>
            <family val="2"/>
          </rPr>
          <t xml:space="preserve">
Compra semillas de pradera: 4.590€.
Transferencia realizada el 27/01/26</t>
        </r>
      </text>
    </comment>
    <comment ref="CB15" authorId="1" shapeId="0" xr:uid="{3F2928DB-6266-4DFF-A9BD-C0440346A635}">
      <text>
        <r>
          <rPr>
            <b/>
            <sz val="9"/>
            <color indexed="81"/>
            <rFont val="Tahoma"/>
            <family val="2"/>
          </rPr>
          <t>Fra Eduardo Manuel Masero del 16/05/23.</t>
        </r>
        <r>
          <rPr>
            <sz val="9"/>
            <color indexed="81"/>
            <rFont val="Tahoma"/>
            <family val="2"/>
          </rPr>
          <t xml:space="preserve">
4.425,06€: 6 terneros
Transferencia Caixa realizada: 15/12/23
---------------------------------------------
</t>
        </r>
      </text>
    </comment>
    <comment ref="BY16" authorId="0" shapeId="0" xr:uid="{2A706442-CCA6-4ECA-B6C5-AE136C242411}">
      <text>
        <r>
          <rPr>
            <b/>
            <sz val="9"/>
            <color indexed="81"/>
            <rFont val="Tahoma"/>
            <family val="2"/>
          </rPr>
          <t xml:space="preserve">Fra Prozovet del 04/08/23.
</t>
        </r>
        <r>
          <rPr>
            <sz val="9"/>
            <color indexed="81"/>
            <rFont val="Tahoma"/>
            <family val="2"/>
          </rPr>
          <t>Medicinas: 32,00€ 
Domiciliado el 03/09/23.- Cargado el 05/09/23. (antinflamatorio y antibioticos botiquín)</t>
        </r>
        <r>
          <rPr>
            <b/>
            <sz val="9"/>
            <color indexed="81"/>
            <rFont val="Tahoma"/>
            <family val="2"/>
          </rPr>
          <t xml:space="preserve">
------------------------------------
Fra Ovipor pendiente de pedir: 54,03€.
</t>
        </r>
      </text>
    </comment>
    <comment ref="BZ16" authorId="0" shapeId="0" xr:uid="{CD8252B5-BB74-4D16-8048-845054D18666}">
      <text>
        <r>
          <rPr>
            <b/>
            <sz val="9"/>
            <color indexed="81"/>
            <rFont val="Tahoma"/>
            <family val="2"/>
          </rPr>
          <t xml:space="preserve">Fra Prozovet del 28/08/23.
</t>
        </r>
        <r>
          <rPr>
            <sz val="9"/>
            <color indexed="81"/>
            <rFont val="Tahoma"/>
            <family val="2"/>
          </rPr>
          <t>Medicinas: 486,20€ 
Domiciliado el 27/09/23.(IBR madres).- Cargado: 01/10/23.
-----------------------------------------------
Fra Ovipor _.
4,84€. 
Caragdo: 23/10/23.
Pendiente recibir factura.</t>
        </r>
      </text>
    </comment>
    <comment ref="CB16" authorId="0" shapeId="0" xr:uid="{AE12B7EC-9894-4F6F-B363-29AC72946DF3}">
      <text>
        <r>
          <rPr>
            <sz val="9"/>
            <color indexed="81"/>
            <rFont val="Tahoma"/>
            <family val="2"/>
          </rPr>
          <t xml:space="preserve">Fra Ovipor (29/11/23):
44,41€. 
Caragdo: 05/12/23.
</t>
        </r>
      </text>
    </comment>
    <comment ref="CD16" authorId="0" shapeId="0" xr:uid="{D6ED0100-18F7-472B-ACB7-7A41DD24CFBD}">
      <text>
        <r>
          <rPr>
            <sz val="9"/>
            <color indexed="81"/>
            <rFont val="Tahoma"/>
            <family val="2"/>
          </rPr>
          <t>Fra Ovipor (29/11/23):
33,09€. 
Transf. Caixa 3116 realizada el 06/02/24.
----------------------------------------
Fra Ovipor a nombre de Federico (30/06/23):
36,30€: Retirada de cadáveres
Fra Ovipor a nombre de Federico (30/06/23):
37,21€: Crotales
05/02/24: OK ALF pagar estas fras
73,51€: Transf. Caixa 3116 realizada el 06/02/24.
----------------------------------------
Fra abono Ovipor (31/12/23):
698,22€. 
Abonado Cta Caixa 3116: 17/02/24.</t>
        </r>
      </text>
    </comment>
    <comment ref="BZ17" authorId="0" shapeId="0" xr:uid="{5D00160D-B7E3-41CA-859F-EEB825FCE8C3}">
      <text>
        <r>
          <rPr>
            <sz val="9"/>
            <color indexed="81"/>
            <rFont val="Tahoma"/>
            <family val="2"/>
          </rPr>
          <t>AGROSEGURO: 5.030,76€ pago fraccionado en 4 plazos hasta 9 meses. 
Primer pago  638,24 domiciliado el 17/04/2023. 
Segundo pago 1.464,03€ domiciliado el 03/07/23. 
Tercer pago 1.464,17€ domiciliado el 02/10/23.
Cuarto pago 1.464,17€ domiciliado el _.
--------------------------------------------------------------
Indemnizacion Agroseguro: 
- 827,41€.
- 179,87€. 
Pendiente ingreso. 
1007,28€: Ingresado Caixa: 27/10/23</t>
        </r>
      </text>
    </comment>
    <comment ref="CA17" authorId="0" shapeId="0" xr:uid="{220B728E-BEB4-4A8E-A127-633362F1F0CC}">
      <text>
        <r>
          <rPr>
            <sz val="9"/>
            <color indexed="81"/>
            <rFont val="Tahoma"/>
            <family val="2"/>
          </rPr>
          <t>AGROSEGURO - Nueva garantía de Partos.
Cargado: 09/11/23.
preguntar a Alfonso.
-------------------------------------------
Indemnización agroseguro: 412,78€.
Abonado Caixa: 17/11/23</t>
        </r>
      </text>
    </comment>
    <comment ref="CC17" authorId="0" shapeId="0" xr:uid="{A56E037D-3FBD-4172-9870-38975565D606}">
      <text>
        <r>
          <rPr>
            <sz val="9"/>
            <color indexed="81"/>
            <rFont val="Tahoma"/>
            <family val="2"/>
          </rPr>
          <t>AGROSEGURO: 5.030,76€ pago fraccionado en 4 plazos hasta 9 meses. 
Primer pago  638,24 domiciliado el 17/04/2023. 
Segundo pago 1.464,03€ domiciliado el 03/07/23. 
Tercer pago 1.464,17€ domiciliado el 02/10/23.
Cuarto pago 1.464,46€ domiciliado el 03/01/24.
Cargado Caixa: 03/01/24
----------------------------------------------------
Indemnizacion Agroseguro por muerte de vaca y ternero: 
- 1.262,70€. 
Pendiente ingreso. 
1.262,70: Pndte Ingreso Caixa
Ingresado Caixa: 06/01/24
----------------------------------------------
Indemnizacion Agroseguro por muerte de vaca y ternero: 
- 315,67€.
- 1.452,10€. 
Pendiente ingreso. 
1.767,77€: Pndte Ingreso Caixa
Ingresado Caixa: 26/01/24</t>
        </r>
      </text>
    </comment>
    <comment ref="CC18" authorId="0" shapeId="0" xr:uid="{5C026906-6783-4C9A-B28C-8ABF1B8609D1}">
      <text>
        <r>
          <rPr>
            <sz val="9"/>
            <color indexed="81"/>
            <rFont val="Tahoma"/>
            <family val="2"/>
          </rPr>
          <t>208€: domiciliación cuota anuela Asaja. 
Cargado Unicaja: 25/01/24</t>
        </r>
      </text>
    </comment>
    <comment ref="CQ18" authorId="0" shapeId="0" xr:uid="{CAE66364-B010-48B0-9033-A3819309787E}">
      <text>
        <r>
          <rPr>
            <sz val="9"/>
            <color indexed="81"/>
            <rFont val="Tahoma"/>
            <family val="2"/>
          </rPr>
          <t>208€: domiciliación cuota anuela Asaja. 
Cargado Caja Rural: 31/01/25</t>
        </r>
      </text>
    </comment>
    <comment ref="DD18" authorId="0" shapeId="0" xr:uid="{9BCAE786-3746-422D-8BE7-57C8B603F976}">
      <text>
        <r>
          <rPr>
            <sz val="9"/>
            <color indexed="81"/>
            <rFont val="Tahoma"/>
            <family val="2"/>
          </rPr>
          <t>208€: domiciliación cuota anual Asaja. 
Cargado Caja Rural: 23/01/26</t>
        </r>
      </text>
    </comment>
    <comment ref="CT19" authorId="1" shapeId="0" xr:uid="{193732C1-07A7-4C78-BF36-CEF06AE11878}">
      <text>
        <r>
          <rPr>
            <b/>
            <sz val="9"/>
            <color indexed="81"/>
            <rFont val="Tahoma"/>
            <family val="2"/>
          </rPr>
          <t xml:space="preserve">Aberdeen-Angus Portugal. </t>
        </r>
        <r>
          <rPr>
            <sz val="9"/>
            <color indexed="81"/>
            <rFont val="Tahoma"/>
            <family val="2"/>
          </rPr>
          <t xml:space="preserve">
Fra del 29/01/25. 
Alteración de propietario: 30€
Transferencia Caixa realizada el 03/04/25
-----------------------------------------------------
</t>
        </r>
        <r>
          <rPr>
            <b/>
            <sz val="9"/>
            <color indexed="81"/>
            <rFont val="Tahoma"/>
            <family val="2"/>
          </rPr>
          <t xml:space="preserve">Aberdeen-Angus Portugal. </t>
        </r>
        <r>
          <rPr>
            <sz val="9"/>
            <color indexed="81"/>
            <rFont val="Tahoma"/>
            <family val="2"/>
          </rPr>
          <t xml:space="preserve">
Fra del 16/01/25. 
Alteración de propietario: 120€
Transferencia Caixa realizada el 03/04/25</t>
        </r>
      </text>
    </comment>
    <comment ref="CA20" authorId="0" shapeId="0" xr:uid="{EBA7875A-68CF-4C48-BA9D-90BFA90C6792}">
      <text>
        <r>
          <rPr>
            <b/>
            <sz val="9"/>
            <color indexed="81"/>
            <rFont val="Tahoma"/>
            <family val="2"/>
          </rPr>
          <t>Fra Cereales Mendez del 18/10/23.</t>
        </r>
        <r>
          <rPr>
            <sz val="9"/>
            <color indexed="81"/>
            <rFont val="Tahoma"/>
            <family val="2"/>
          </rPr>
          <t xml:space="preserve">
Cebada: 6.185,70€. 
Pendiente realizar transferencia. 
Transf. Caixa realizada el 23/11/23
-----------------------------------------------
</t>
        </r>
        <r>
          <rPr>
            <b/>
            <sz val="9"/>
            <color indexed="81"/>
            <rFont val="Tahoma"/>
            <family val="2"/>
          </rPr>
          <t>Fra Ovipor del 26/10/23.</t>
        </r>
        <r>
          <rPr>
            <sz val="9"/>
            <color indexed="81"/>
            <rFont val="Tahoma"/>
            <family val="2"/>
          </rPr>
          <t xml:space="preserve">
Capota de Almendra: 1.853,50€.
Transfrencia realizada el 07/11/23.
-----------------------------------------------
</t>
        </r>
        <r>
          <rPr>
            <b/>
            <sz val="9"/>
            <color indexed="81"/>
            <rFont val="Tahoma"/>
            <family val="2"/>
          </rPr>
          <t>Fra Ovipor del 26/10/23.</t>
        </r>
        <r>
          <rPr>
            <sz val="9"/>
            <color indexed="81"/>
            <rFont val="Tahoma"/>
            <family val="2"/>
          </rPr>
          <t xml:space="preserve">
Capota de Almendra: 1.623,60€.
Transfrencia realizada el 07/11/23.
-----------------------------------------------
</t>
        </r>
        <r>
          <rPr>
            <b/>
            <sz val="9"/>
            <color indexed="81"/>
            <rFont val="Tahoma"/>
            <family val="2"/>
          </rPr>
          <t>Fra Agroquivir del 30/10/23.</t>
        </r>
        <r>
          <rPr>
            <sz val="9"/>
            <color indexed="81"/>
            <rFont val="Tahoma"/>
            <family val="2"/>
          </rPr>
          <t xml:space="preserve">
Hoja de Olivo: 1.422,85€
Pendiente realizar transferencia. 
Transfrencia realizada el 29/11/23.
-----------------------------------------------</t>
        </r>
      </text>
    </comment>
    <comment ref="CB20" authorId="0" shapeId="0" xr:uid="{CA761FC1-5633-4395-864E-B7E40EF4423C}">
      <text>
        <r>
          <rPr>
            <b/>
            <sz val="9"/>
            <color indexed="81"/>
            <rFont val="Tahoma"/>
            <family val="2"/>
          </rPr>
          <t>FACTURA 95 del 27/10/23 NC:</t>
        </r>
        <r>
          <rPr>
            <sz val="9"/>
            <color indexed="81"/>
            <rFont val="Tahoma"/>
            <family val="2"/>
          </rPr>
          <t xml:space="preserve">
Por Fra Agroquivir del 30/10/23.
Hoja de Olivo: 1.422,85€
Pndte abono Caixa: 
1.422,85€: Abonado Caixa por el total 16.931,25€ el 20/12/23
-----------------------------------
</t>
        </r>
        <r>
          <rPr>
            <b/>
            <sz val="9"/>
            <color indexed="81"/>
            <rFont val="Tahoma"/>
            <family val="2"/>
          </rPr>
          <t xml:space="preserve">FACTURA 93 del 30/10/23 de NC:. </t>
        </r>
        <r>
          <rPr>
            <sz val="9"/>
            <color indexed="81"/>
            <rFont val="Tahoma"/>
            <family val="2"/>
          </rPr>
          <t xml:space="preserve">
Por pago Fra Cereales Mendez del 18/10/23.
Cebada: 6.185,70€. 
Pndte abono Caixa:
6.185,70€: Abonado Caixa por el total 16.931,25€ el 20/12/23
--------------------------------------
</t>
        </r>
        <r>
          <rPr>
            <b/>
            <sz val="9"/>
            <color indexed="81"/>
            <rFont val="Tahoma"/>
            <family val="2"/>
          </rPr>
          <t>FACTURA 96 del 27/11/23 de NC</t>
        </r>
        <r>
          <rPr>
            <sz val="9"/>
            <color indexed="81"/>
            <rFont val="Tahoma"/>
            <family val="2"/>
          </rPr>
          <t>:
Fra Ovipor del 26/10/23: 1853,50€. 
Fra Ovipor del 26/10/23: 1.623,60€.
Pndte abono en Caixa
3.477,10€: Abonado Caixa por el total 16.931,25€ el 20/12/23
-----------------------------------------------</t>
        </r>
      </text>
    </comment>
    <comment ref="CC20" authorId="0" shapeId="0" xr:uid="{B8B10B06-CC39-4E95-ADC3-551065F5A931}">
      <text>
        <r>
          <rPr>
            <b/>
            <sz val="9"/>
            <color indexed="81"/>
            <rFont val="Tahoma"/>
            <family val="2"/>
          </rPr>
          <t xml:space="preserve">Factura de Antonio Manuel Gonzalez del 28/11/23.
</t>
        </r>
        <r>
          <rPr>
            <sz val="9"/>
            <color indexed="81"/>
            <rFont val="Tahoma"/>
            <family val="2"/>
          </rPr>
          <t>Estiercol: 522,29€.
Transferencia realizada el 11/01/24.</t>
        </r>
        <r>
          <rPr>
            <b/>
            <sz val="9"/>
            <color indexed="81"/>
            <rFont val="Tahoma"/>
            <family val="2"/>
          </rPr>
          <t xml:space="preserve">
-----------------------------------------------
Fra Vertex del 18/05/23.
</t>
        </r>
        <r>
          <rPr>
            <sz val="9"/>
            <color indexed="81"/>
            <rFont val="Tahoma"/>
            <family val="2"/>
          </rPr>
          <t>DDGS: 25,90Ton x 389,00 = 11.082,61€.
Transferncia realizada el 29/09/23.</t>
        </r>
        <r>
          <rPr>
            <b/>
            <sz val="9"/>
            <color indexed="81"/>
            <rFont val="Tahoma"/>
            <family val="2"/>
          </rPr>
          <t xml:space="preserve">
</t>
        </r>
        <r>
          <rPr>
            <sz val="9"/>
            <color indexed="81"/>
            <rFont val="Tahoma"/>
            <family val="2"/>
          </rPr>
          <t xml:space="preserve">VENCIMIENTO EL 26/01/23.
Cargado Caixa: 26/01/24
--------------------------------------------------------
</t>
        </r>
        <r>
          <rPr>
            <b/>
            <sz val="9"/>
            <color indexed="81"/>
            <rFont val="Tahoma"/>
            <family val="2"/>
          </rPr>
          <t>Fra Iberica Feeding del 25/10/23.</t>
        </r>
        <r>
          <rPr>
            <sz val="9"/>
            <color indexed="81"/>
            <rFont val="Tahoma"/>
            <family val="2"/>
          </rPr>
          <t xml:space="preserve">
Alimento Vacas: 10.234,68€ 
Domiciliado el 25/12/23 en caixa.
Cargado Caixa: 02/01/24
FACTURA 98 del 16/01/24 de NC:
Por pago Fra Iberica Feeding del 25/10/23: 10.234,68€. 
Cargo: 02/01/24.
10.234,68€: Abonado Caixa por el total 19.906,51€ el 18/01/24
--------------------------------------------------------
</t>
        </r>
        <r>
          <rPr>
            <b/>
            <sz val="9"/>
            <color indexed="81"/>
            <rFont val="Tahoma"/>
            <family val="2"/>
          </rPr>
          <t>Fra Iberica Feeding del 30/10/23.</t>
        </r>
        <r>
          <rPr>
            <sz val="9"/>
            <color indexed="81"/>
            <rFont val="Tahoma"/>
            <family val="2"/>
          </rPr>
          <t xml:space="preserve">
Alimento Vacas: 9.671,83€ 
Domiciliado el 30/12/23 en caixa.
Cargado Caixa: 02/01/24
FACTURA 99 del 16/01/24 de NC:
Por pago Fra Iberica Feeding del 30/10/23: 9.671,83€. 
Cargo: 02/01/24.
9.671,83€: Abonado Caixa por el total 19.906,51€ el 18/01/24
------------------------------------------------
</t>
        </r>
        <r>
          <rPr>
            <sz val="9"/>
            <color indexed="81"/>
            <rFont val="Tahoma"/>
            <family val="2"/>
          </rPr>
          <t xml:space="preserve">
</t>
        </r>
      </text>
    </comment>
    <comment ref="CD20" authorId="0" shapeId="0" xr:uid="{AF9580DF-8A41-41B0-8237-E9108689456D}">
      <text>
        <r>
          <rPr>
            <b/>
            <sz val="9"/>
            <color indexed="81"/>
            <rFont val="Tahoma"/>
            <family val="2"/>
          </rPr>
          <t xml:space="preserve">Fra Agroquivir del 07/07/23. </t>
        </r>
        <r>
          <rPr>
            <sz val="9"/>
            <color indexed="81"/>
            <rFont val="Tahoma"/>
            <family val="2"/>
          </rPr>
          <t xml:space="preserve">
Cebada: 6.629,40€. 
Cargo el 01/02/24
Cargado Caixa: 01/02/24
-----------------------------------------
</t>
        </r>
        <r>
          <rPr>
            <b/>
            <sz val="9"/>
            <color indexed="81"/>
            <rFont val="Tahoma"/>
            <family val="2"/>
          </rPr>
          <t>Fra Agroquivir del 27/07/23.</t>
        </r>
        <r>
          <rPr>
            <sz val="9"/>
            <color indexed="81"/>
            <rFont val="Tahoma"/>
            <family val="2"/>
          </rPr>
          <t xml:space="preserve"> 
Cebada: 6.517,44€. 
Cargo el 01/02/24
Cargado Caixa: 01/02/24
-----------------------------------------
</t>
        </r>
        <r>
          <rPr>
            <b/>
            <sz val="9"/>
            <color indexed="81"/>
            <rFont val="Tahoma"/>
            <family val="2"/>
          </rPr>
          <t>Fra Cereales Mendez del 25/10/23,</t>
        </r>
        <r>
          <rPr>
            <sz val="9"/>
            <color indexed="81"/>
            <rFont val="Tahoma"/>
            <family val="2"/>
          </rPr>
          <t xml:space="preserve">
Cebada: 12.734,56€. 
Cargo: 23/02/23.
Cargado Caixa: 23/02/24
</t>
        </r>
        <r>
          <rPr>
            <b/>
            <sz val="9"/>
            <color indexed="81"/>
            <rFont val="Tahoma"/>
            <family val="2"/>
          </rPr>
          <t xml:space="preserve">
</t>
        </r>
        <r>
          <rPr>
            <sz val="9"/>
            <color indexed="81"/>
            <rFont val="Tahoma"/>
            <family val="2"/>
          </rPr>
          <t xml:space="preserve">
-----------------------------------------------
</t>
        </r>
      </text>
    </comment>
    <comment ref="CE20" authorId="0" shapeId="0" xr:uid="{22795975-B1A2-4D41-8CE4-F5260057F659}">
      <text>
        <r>
          <rPr>
            <b/>
            <sz val="9"/>
            <color indexed="81"/>
            <rFont val="Tahoma"/>
            <family val="2"/>
          </rPr>
          <t xml:space="preserve">Fra Nanta del 27/10/23.
</t>
        </r>
        <r>
          <rPr>
            <sz val="9"/>
            <color indexed="81"/>
            <rFont val="Tahoma"/>
            <family val="2"/>
          </rPr>
          <t xml:space="preserve">Pienso: 10.541,75€. 
Transfrencia realizada el 10/11/23.
VENCIMIENTO : 07/03/23
Cargado Caixa: 07/03/24
</t>
        </r>
      </text>
    </comment>
    <comment ref="CG20" authorId="2" shapeId="0" xr:uid="{B8C790DA-3FB1-46EF-8021-7E2C6A899496}">
      <text>
        <r>
          <rPr>
            <b/>
            <sz val="9"/>
            <color indexed="81"/>
            <rFont val="Tahoma"/>
            <family val="2"/>
          </rPr>
          <t xml:space="preserve">Fra Nanta del 17/01/24.
</t>
        </r>
        <r>
          <rPr>
            <sz val="9"/>
            <color indexed="81"/>
            <rFont val="Tahoma"/>
            <family val="2"/>
          </rPr>
          <t>Pienso montanera cochinos: 4.202€. 
Fra de abono Nanta del 18/01/24.
-6 pallets: -101,18€. 
4.100,82€: Vcmto: 25/01/24.
Domiciliado Caixa: 24/01/24
VENCIMIENTO EL 22/05/24.
Cargado Caixa 3116: 23/05/24</t>
        </r>
        <r>
          <rPr>
            <b/>
            <sz val="9"/>
            <color indexed="81"/>
            <rFont val="Tahoma"/>
            <family val="2"/>
          </rPr>
          <t xml:space="preserve">
----------------------------------------
Fra Iberica Feeding del 27/11/23.
</t>
        </r>
        <r>
          <rPr>
            <sz val="9"/>
            <color indexed="81"/>
            <rFont val="Tahoma"/>
            <family val="2"/>
          </rPr>
          <t>Alimento Vacas: 11.194,80€ 
Domiciliado el 27/01/24 en caixa.
Cargado Caixa: 29/01/24
VENCIMIENTO EL 24/05/24.
Cargado Caixa 3116: 24/05/24</t>
        </r>
        <r>
          <rPr>
            <sz val="9"/>
            <color indexed="81"/>
            <rFont val="Tahoma"/>
            <family val="2"/>
          </rPr>
          <t xml:space="preserve">
---------------------------------------------------
</t>
        </r>
        <r>
          <rPr>
            <b/>
            <sz val="9"/>
            <color indexed="81"/>
            <rFont val="Tahoma"/>
            <family val="2"/>
          </rPr>
          <t>Fra Iberica Feeding del 29/11/23.</t>
        </r>
        <r>
          <rPr>
            <sz val="9"/>
            <color indexed="81"/>
            <rFont val="Tahoma"/>
            <family val="2"/>
          </rPr>
          <t xml:space="preserve">
Alimento Vacas: 10.214,42€ 
Domiciliado el 29/01/24 en caixa.
Cargado Caixa: 01/02/24
VENCIMIENTO EL 30/05/24.
Cargado Caixa 3116: 30/05/24
</t>
        </r>
        <r>
          <rPr>
            <b/>
            <sz val="9"/>
            <color indexed="81"/>
            <rFont val="Tahoma"/>
            <family val="2"/>
          </rPr>
          <t xml:space="preserve">
</t>
        </r>
      </text>
    </comment>
    <comment ref="CH20" authorId="0" shapeId="0" xr:uid="{12BB17B5-4E42-453B-B757-885E08C6B9CE}">
      <text>
        <r>
          <rPr>
            <b/>
            <sz val="9"/>
            <color indexed="81"/>
            <rFont val="Tahoma"/>
            <family val="2"/>
          </rPr>
          <t>Fra Nanta del 06/02/24.</t>
        </r>
        <r>
          <rPr>
            <sz val="9"/>
            <color indexed="81"/>
            <rFont val="Tahoma"/>
            <family val="2"/>
          </rPr>
          <t xml:space="preserve">
Pienso montanera cochinos: 5.027,48€. 
</t>
        </r>
        <r>
          <rPr>
            <b/>
            <sz val="9"/>
            <color indexed="81"/>
            <rFont val="Tahoma"/>
            <family val="2"/>
          </rPr>
          <t>Fra de abono Nanta del 16/02/24.</t>
        </r>
        <r>
          <rPr>
            <sz val="9"/>
            <color indexed="81"/>
            <rFont val="Tahoma"/>
            <family val="2"/>
          </rPr>
          <t xml:space="preserve">
-11 pallets: -185,49€. 
4.841,99€: Vcmto: 13/02/24.
Domiciliado Caixa: 13/02/24
Cargado Caixa 3116: 13/02/24
VENCIMIENTO EL 07/06/24.
Cargado Caixa 3116: 07/06/24
---------------------------------------
</t>
        </r>
        <r>
          <rPr>
            <b/>
            <sz val="9"/>
            <color indexed="81"/>
            <rFont val="Tahoma"/>
            <family val="2"/>
          </rPr>
          <t>Fra Cereales Mendez del 17/01/24.</t>
        </r>
        <r>
          <rPr>
            <sz val="9"/>
            <color indexed="81"/>
            <rFont val="Tahoma"/>
            <family val="2"/>
          </rPr>
          <t xml:space="preserve">
Cebada: 6.164,32€. 
Vcmto: 17/02/24.
Realizar pago por financiación proveedores
Transferencia Caixa realizada el 16/02/24
VENCIMIENTO EL 13/06/24.
Cargado Caixa 3116: 13/06/24
---------------------------------------
</t>
        </r>
      </text>
    </comment>
    <comment ref="CI20" authorId="2" shapeId="0" xr:uid="{751A330D-EB36-497C-85E9-A83CBCEC8D05}">
      <text>
        <r>
          <rPr>
            <b/>
            <sz val="9"/>
            <color indexed="81"/>
            <rFont val="Tahoma"/>
            <family val="2"/>
          </rPr>
          <t>Fra Iberica Feeding del 16/01/24.</t>
        </r>
        <r>
          <rPr>
            <sz val="9"/>
            <color indexed="81"/>
            <rFont val="Tahoma"/>
            <family val="2"/>
          </rPr>
          <t xml:space="preserve">
Alimento Vacas: 5.233,25€ 
Realizar transferencia antes del 15/03/24.
Transferencia Caixa realizada el 15/03/24
VENCIMIENTO EL 10/07/24.
Cargado Caixa 1117: 10/07/24
---------------------------------------
</t>
        </r>
        <r>
          <rPr>
            <b/>
            <sz val="9"/>
            <color indexed="81"/>
            <rFont val="Tahoma"/>
            <family val="2"/>
          </rPr>
          <t>Fra Cereales Mendez del 12/03/24.</t>
        </r>
        <r>
          <rPr>
            <sz val="9"/>
            <color indexed="81"/>
            <rFont val="Tahoma"/>
            <family val="2"/>
          </rPr>
          <t xml:space="preserve">
Mezcla y Granel: 8.751,60€. 
Vcmto: 27/03/24.
Realizar pago por financiación proveedores
Transferencia Caixa realizada el 27/03/24
VENCIMIENTO EL 22/07/24.
Cargado Caixa 1117: 22/07/24
</t>
        </r>
        <r>
          <rPr>
            <b/>
            <sz val="9"/>
            <color indexed="81"/>
            <rFont val="Tahoma"/>
            <family val="2"/>
          </rPr>
          <t xml:space="preserve">
Fra Cereales Mendez del 12/03/24.</t>
        </r>
        <r>
          <rPr>
            <sz val="9"/>
            <color indexed="81"/>
            <rFont val="Tahoma"/>
            <family val="2"/>
          </rPr>
          <t xml:space="preserve">
Prestación de serviciosl: 272,25€. 
Vcmto: 27/03/24.
Realizar pago por financiación proveedores
Transferencia Caixa realizada el 27/03/24
VENCIMIENTO EL 22/07/24.
Cargado Caixa 1117:22/07/24
</t>
        </r>
        <r>
          <rPr>
            <b/>
            <sz val="9"/>
            <color indexed="81"/>
            <rFont val="Tahoma"/>
            <family val="2"/>
          </rPr>
          <t xml:space="preserve">
</t>
        </r>
      </text>
    </comment>
    <comment ref="CJ20" authorId="0" shapeId="0" xr:uid="{387774DE-1B6B-414E-A515-A385DD07869A}">
      <text>
        <r>
          <rPr>
            <b/>
            <sz val="9"/>
            <color indexed="81"/>
            <rFont val="Tahoma"/>
            <family val="2"/>
          </rPr>
          <t>FACTURA 103 del 09/02/24 de NC:</t>
        </r>
        <r>
          <rPr>
            <sz val="9"/>
            <color indexed="81"/>
            <rFont val="Tahoma"/>
            <family val="2"/>
          </rPr>
          <t xml:space="preserve">
Por pago Fra Nanta del 06/02/24.
Pienso: 4.841,99€. 
Antes del 07/06/24.
Pndte abono Caixa: 
4.841,99€: Abonado en Caixa por el total 8.942,81€ el 22/08/24
---------------------------------------
</t>
        </r>
        <r>
          <rPr>
            <b/>
            <sz val="9"/>
            <color indexed="81"/>
            <rFont val="Tahoma"/>
            <family val="2"/>
          </rPr>
          <t>FACTURA 104 del 19/02/24 de NC:</t>
        </r>
        <r>
          <rPr>
            <sz val="9"/>
            <color indexed="81"/>
            <rFont val="Tahoma"/>
            <family val="2"/>
          </rPr>
          <t xml:space="preserve">
Por pago Fra Cereales Mendez del 17/01/24.
Cebada: 6.164,32€.
Antes del 13/06/24.
Pndte abono Caixa
6.164,32€: Abonado Caixa por el total 13.611,99€ el 22/08/24
---------------------------------------
</t>
        </r>
        <r>
          <rPr>
            <b/>
            <sz val="9"/>
            <color indexed="81"/>
            <rFont val="Tahoma"/>
            <family val="2"/>
          </rPr>
          <t>FACTURA 102 del 29/01/24 de NC:</t>
        </r>
        <r>
          <rPr>
            <sz val="9"/>
            <color indexed="81"/>
            <rFont val="Tahoma"/>
            <family val="2"/>
          </rPr>
          <t xml:space="preserve">
Por pago Fra Iberica Feeding del 29/11/23: 10.214,42€. 
Pndte abono Caixa
2.214,42€: Abonado Caixa por el total 13.611,99€ el 22/08/24
8.000€: Abonado Caixa el 23/08/24
</t>
        </r>
        <r>
          <rPr>
            <b/>
            <sz val="9"/>
            <color indexed="81"/>
            <rFont val="Tahoma"/>
            <family val="2"/>
          </rPr>
          <t>--------------------------------
FACTURA 93 del 30/10/23 de NC:</t>
        </r>
        <r>
          <rPr>
            <sz val="9"/>
            <color indexed="81"/>
            <rFont val="Tahoma"/>
            <family val="2"/>
          </rPr>
          <t xml:space="preserve">
Por pago Fra Cereales Mendez del 25/10/23.
Cebada: 12.734,56€. 
Cargo: 23/02/23.
Realizar transferencia de NA a NC
Pndte abono Caixa
12.734,56€: Abonado Caixa por el total 23.276,31€ el 09/08/24
---------------------------------
</t>
        </r>
        <r>
          <rPr>
            <b/>
            <sz val="9"/>
            <color indexed="81"/>
            <rFont val="Tahoma"/>
            <family val="2"/>
          </rPr>
          <t>FACTURA 94 del 27/11/23 de NC:</t>
        </r>
        <r>
          <rPr>
            <sz val="9"/>
            <color indexed="81"/>
            <rFont val="Tahoma"/>
            <family val="2"/>
          </rPr>
          <t xml:space="preserve">
Por pago Fra Nanta del 27/10/23.
Pienso: 10.541,75€. 
Antes del 07/03/24.
10.541,75€: Abonado Caixa por el total 23.276,31€ el 09/08/24
---------------------------------------
</t>
        </r>
        <r>
          <rPr>
            <b/>
            <sz val="9"/>
            <color indexed="81"/>
            <rFont val="Tahoma"/>
            <family val="2"/>
          </rPr>
          <t>FACTURA 100 del 19/01/24 de NC:</t>
        </r>
        <r>
          <rPr>
            <sz val="9"/>
            <color indexed="81"/>
            <rFont val="Tahoma"/>
            <family val="2"/>
          </rPr>
          <t xml:space="preserve">
Por pago Fra Nanta del 17/01/24.
Pienso: 4.100,82€. 
Antes del 22/05/24.
Cargo: 23/05/24
Abonado Caixa: 
4.100,82€: Abonado en Caixa por el total 8.942,81€ el 22/08/24
---------------------------------------
</t>
        </r>
        <r>
          <rPr>
            <b/>
            <sz val="9"/>
            <color indexed="81"/>
            <rFont val="Tahoma"/>
            <family val="2"/>
          </rPr>
          <t>FACTURA 101 del 29/01/24 de NC</t>
        </r>
        <r>
          <rPr>
            <sz val="9"/>
            <color indexed="81"/>
            <rFont val="Tahoma"/>
            <family val="2"/>
          </rPr>
          <t xml:space="preserve">:
Por pago Fra Iberica Feeding del 27/11/23: 11.194,80€. 
Cargo: 24/05/24
Pndte abono Caixa
11.194,80€: Abonado Caixa el 23/08/24
---------------------------------------
</t>
        </r>
        <r>
          <rPr>
            <b/>
            <sz val="9"/>
            <color indexed="81"/>
            <rFont val="Tahoma"/>
            <family val="2"/>
          </rPr>
          <t>FACTURA 105 del 26/02/24 de NC:</t>
        </r>
        <r>
          <rPr>
            <sz val="9"/>
            <color indexed="81"/>
            <rFont val="Tahoma"/>
            <family val="2"/>
          </rPr>
          <t xml:space="preserve">
Por pago Fra Iberica Feeding del 16/01/24: 5.233,25€. 
Cargo: 15/03/24
Pndte abono Caixa: Antes del 10/07/24.
5.233,25€: Abonado Caixa por el total 13.611,99€ el 22/08/24
---------------------------------------
</t>
        </r>
        <r>
          <rPr>
            <b/>
            <sz val="9"/>
            <color indexed="81"/>
            <rFont val="Tahoma"/>
            <family val="2"/>
          </rPr>
          <t>FACTURA 106 del 14/06/24 de NC:</t>
        </r>
        <r>
          <rPr>
            <sz val="9"/>
            <color indexed="81"/>
            <rFont val="Tahoma"/>
            <family val="2"/>
          </rPr>
          <t xml:space="preserve">
Por pago Fra Cereales Mendez del 12/03/24.
Mezcla y Granel: 8.751,60€.
Prestación servicios: 272,25€
Antes del 22/07/24 
Pndte abono Caixa
9.023,85€: Abonado en Caixa el 22/08/24
---------------------------------------
</t>
        </r>
      </text>
    </comment>
    <comment ref="CK20" authorId="0" shapeId="0" xr:uid="{D1671858-B86D-4B69-8675-23B276A1FCD4}">
      <text>
        <r>
          <rPr>
            <sz val="9"/>
            <color indexed="81"/>
            <rFont val="Tahoma"/>
            <family val="2"/>
          </rPr>
          <t xml:space="preserve">Sale a PAGAR porque hay facturas de NC antiguas:
- Fra vertex del 18/05/23: 11.082,61€.
- Fra de Antonio Manuel Gonzalez del 28/11/23: 522,29€.
- Fra Agroquivir del 07/07/23: 6.629,40€. 
-  Fra Agroquivir del 27/07/23: 6.517,44€. 
</t>
        </r>
      </text>
    </comment>
    <comment ref="CN20" authorId="2" shapeId="0" xr:uid="{ABD8B8E5-674C-45E1-B21A-917FA54F1027}">
      <text>
        <r>
          <rPr>
            <b/>
            <sz val="9"/>
            <color indexed="81"/>
            <rFont val="Tahoma"/>
            <family val="2"/>
          </rPr>
          <t xml:space="preserve">Fra Agricola Garcia Ramirez del 31/03/24:
</t>
        </r>
        <r>
          <rPr>
            <sz val="9"/>
            <color indexed="81"/>
            <rFont val="Tahoma"/>
            <family val="2"/>
          </rPr>
          <t xml:space="preserve">1.974,50€: Transferencia Caixa realizada el 14/06/24
VENCIMIENTO EL 11/10/24.
Cargado Caixa 1117: 11/10/24
------------------------------------
</t>
        </r>
        <r>
          <rPr>
            <b/>
            <sz val="9"/>
            <color indexed="81"/>
            <rFont val="Tahoma"/>
            <family val="2"/>
          </rPr>
          <t>Fra Iberica Feeding del 26/04/24.</t>
        </r>
        <r>
          <rPr>
            <sz val="9"/>
            <color indexed="81"/>
            <rFont val="Tahoma"/>
            <family val="2"/>
          </rPr>
          <t xml:space="preserve">
Alimento Vacas: 6.636,06€ 
Realizar transferencia antes del 26/06/24.
Transferencia Caixa realizada : 25/06/24
VENCIMIENTO EL 23/10/24.
Cargado Caixa : 23/10/24
------------------------------------
</t>
        </r>
        <r>
          <rPr>
            <b/>
            <sz val="9"/>
            <color indexed="81"/>
            <rFont val="Tahoma"/>
            <family val="2"/>
          </rPr>
          <t>Fra Nanta del 21/06/24.</t>
        </r>
        <r>
          <rPr>
            <sz val="9"/>
            <color indexed="81"/>
            <rFont val="Tahoma"/>
            <family val="2"/>
          </rPr>
          <t xml:space="preserve">
Pienso lechón 3000 kg: 1.460,05 E. 
</t>
        </r>
        <r>
          <rPr>
            <b/>
            <sz val="9"/>
            <color indexed="81"/>
            <rFont val="Tahoma"/>
            <family val="2"/>
          </rPr>
          <t>Fra Nanta del 21/06/24.</t>
        </r>
        <r>
          <rPr>
            <sz val="9"/>
            <color indexed="81"/>
            <rFont val="Tahoma"/>
            <family val="2"/>
          </rPr>
          <t xml:space="preserve">
Pienso marrano 12.760 kg: 4.377,97 E
5.838,02 E: Vcmto: 28/06/24.
Domiciliado Caixa: 28/06/24
Cargado Caixa 3116: 01/07/24
VENCIMIENTO EL 29/10/24
Cargado Caixa 3116: 29/10/24 
</t>
        </r>
      </text>
    </comment>
    <comment ref="CT20" authorId="2" shapeId="0" xr:uid="{A55D9694-B5C0-4775-BAA2-2333B8FE52FA}">
      <text>
        <r>
          <rPr>
            <b/>
            <sz val="9"/>
            <color indexed="81"/>
            <rFont val="Tahoma"/>
            <family val="2"/>
          </rPr>
          <t xml:space="preserve">Fra Nº 108 de NC. 
</t>
        </r>
        <r>
          <rPr>
            <sz val="9"/>
            <color indexed="81"/>
            <rFont val="Tahoma"/>
            <family val="2"/>
          </rPr>
          <t xml:space="preserve">Por pago Fra agricola Garcia Ramirez del 31/03/24.
1.974,50€. 
Cargo: 11/10/24.
Realizar transferencia de NA a NC
Pndte abono Caixa
1.974,50€: Abonado Caixa por el total 14.448,58€ el 16/04/25
------------------------------------
</t>
        </r>
        <r>
          <rPr>
            <b/>
            <sz val="9"/>
            <color indexed="81"/>
            <rFont val="Tahoma"/>
            <family val="2"/>
          </rPr>
          <t>FACTURA 107 del 14/06/24 de NC</t>
        </r>
        <r>
          <rPr>
            <sz val="9"/>
            <color indexed="81"/>
            <rFont val="Tahoma"/>
            <family val="2"/>
          </rPr>
          <t xml:space="preserve">:
Por pago Fra Iberica Feeding del 26/04/24: 6.636,06€. 
Cargo:  
Pndte abono Caixa: Antes del 23/10/24.
6.636,06€: Abonado Caixa por el total 14.448,58€ el 16/04/25
------------------------------------
</t>
        </r>
        <r>
          <rPr>
            <b/>
            <sz val="9"/>
            <color indexed="81"/>
            <rFont val="Tahoma"/>
            <family val="2"/>
          </rPr>
          <t>FACTURA 110 del 26/08/24 de NC:</t>
        </r>
        <r>
          <rPr>
            <sz val="9"/>
            <color indexed="81"/>
            <rFont val="Tahoma"/>
            <family val="2"/>
          </rPr>
          <t xml:space="preserve">
Por pago Fras Nanta del 21/06/24.
Pienso marrano 12.760 kg: 4.377,97€
Pienso lechón 3000 kg: 1.460,05€
5.838,02€: Cargo:  
Pndte abono Caixa: Antes del 29/10/24.
5.838,02€: Abonado Caixa por el total 14.448,58€ el 16/04/25</t>
        </r>
      </text>
    </comment>
    <comment ref="CV20" authorId="0" shapeId="0" xr:uid="{0B2AF761-B9A4-4310-A63B-7E2A1A126A1D}">
      <text>
        <r>
          <rPr>
            <b/>
            <sz val="9"/>
            <color indexed="81"/>
            <rFont val="Tahoma"/>
            <family val="2"/>
          </rPr>
          <t xml:space="preserve">Fra biomedal del 26/05/25.
</t>
        </r>
        <r>
          <rPr>
            <sz val="9"/>
            <color indexed="81"/>
            <rFont val="Tahoma"/>
            <family val="2"/>
          </rPr>
          <t>Nutricional Etiquetado Obligatorio y Humedad: 155,41€.
Vcmto: 26/05/25 por tarjeta pone
30/05/25: Preguntado a ALF y ALB
17/06/25: Solicitada forma pago
Transf. Caixa realizada el 20/06/25</t>
        </r>
      </text>
    </comment>
    <comment ref="BY21" authorId="0" shapeId="0" xr:uid="{BC6C289A-D0E5-4EC6-8A28-4B4D2E958E20}">
      <text>
        <r>
          <rPr>
            <b/>
            <sz val="9"/>
            <color indexed="81"/>
            <rFont val="Tahoma"/>
            <family val="2"/>
          </rPr>
          <t xml:space="preserve">Fra Narval del 31/07/23.
</t>
        </r>
        <r>
          <rPr>
            <sz val="9"/>
            <color indexed="81"/>
            <rFont val="Tahoma"/>
            <family val="2"/>
          </rPr>
          <t>Transporte carne: 363,00€.
Cargado: 01/09/23.</t>
        </r>
      </text>
    </comment>
    <comment ref="BZ21" authorId="0" shapeId="0" xr:uid="{43871F4C-E38B-42CB-97B1-9F6CE26E31FB}">
      <text>
        <r>
          <rPr>
            <b/>
            <sz val="9"/>
            <color indexed="81"/>
            <rFont val="Tahoma"/>
            <family val="2"/>
          </rPr>
          <t xml:space="preserve">Fra Narval del 31/08/23.
</t>
        </r>
        <r>
          <rPr>
            <sz val="9"/>
            <color indexed="81"/>
            <rFont val="Tahoma"/>
            <family val="2"/>
          </rPr>
          <t>Transporte carne: 363,00€.
Cargado: 02/10/23
Anular y hacer contrato con NA en unos meses, cd se reanude la actividad de Gapestore</t>
        </r>
      </text>
    </comment>
    <comment ref="CA21" authorId="0" shapeId="0" xr:uid="{6821EC0B-667B-4DA1-A9FC-4E90180250B7}">
      <text>
        <r>
          <rPr>
            <b/>
            <sz val="9"/>
            <color indexed="81"/>
            <rFont val="Tahoma"/>
            <family val="2"/>
          </rPr>
          <t xml:space="preserve">Fra Narval del 30/09/23.
</t>
        </r>
        <r>
          <rPr>
            <sz val="9"/>
            <color indexed="81"/>
            <rFont val="Tahoma"/>
            <family val="2"/>
          </rPr>
          <t>Transporte carne: 364,79€.
Cargado: 01/11/23</t>
        </r>
        <r>
          <rPr>
            <b/>
            <sz val="9"/>
            <color indexed="81"/>
            <rFont val="Tahoma"/>
            <family val="2"/>
          </rPr>
          <t xml:space="preserve">
</t>
        </r>
      </text>
    </comment>
    <comment ref="CB21" authorId="0" shapeId="0" xr:uid="{04F4D419-9FB7-4F3A-9132-57023E1E48FF}">
      <text>
        <r>
          <rPr>
            <b/>
            <sz val="9"/>
            <color indexed="81"/>
            <rFont val="Tahoma"/>
            <family val="2"/>
          </rPr>
          <t xml:space="preserve">
Fra Narval del 31/10/23.
</t>
        </r>
        <r>
          <rPr>
            <sz val="9"/>
            <color indexed="81"/>
            <rFont val="Tahoma"/>
            <family val="2"/>
          </rPr>
          <t>Transporte carne: 363,00€.
+5,81€ Variable combustible
Domiciliado: 30/11/23.
Cargado Caixa: 01/12/23</t>
        </r>
      </text>
    </comment>
    <comment ref="CS21" authorId="2" shapeId="0" xr:uid="{3EF088AC-718F-4AEC-9BA1-F74FD1C91D53}">
      <text>
        <r>
          <rPr>
            <b/>
            <sz val="9"/>
            <color indexed="81"/>
            <rFont val="Tahoma"/>
            <family val="2"/>
          </rPr>
          <t xml:space="preserve">Logista Parcel: 160,19€
Fra del 12/03/24 
</t>
        </r>
        <r>
          <rPr>
            <sz val="9"/>
            <color indexed="81"/>
            <rFont val="Tahoma"/>
            <family val="2"/>
          </rPr>
          <t>Corresponde con el pago de una fra de NA pagada por NC, pndte devolución
Transferencia realizada el 27/02/23 por NC
160,19€: Pndte transferencia NA
Abonado Caixa el 27/03/25</t>
        </r>
      </text>
    </comment>
    <comment ref="BY22" authorId="0" shapeId="0" xr:uid="{12C7C5AB-2440-4AB6-BF03-9EE0665A8FC9}">
      <text>
        <r>
          <rPr>
            <b/>
            <sz val="9"/>
            <color indexed="81"/>
            <rFont val="Tahoma"/>
            <family val="2"/>
          </rPr>
          <t>Fra La Serania de Jabugo del 02/06/23.</t>
        </r>
        <r>
          <rPr>
            <sz val="9"/>
            <color indexed="81"/>
            <rFont val="Tahoma"/>
            <family val="2"/>
          </rPr>
          <t xml:space="preserve">
Pluma: 1.150,07€.
Transferencia realizada el 06/09/23. 
---------------------------------------------
</t>
        </r>
        <r>
          <rPr>
            <b/>
            <sz val="9"/>
            <color indexed="81"/>
            <rFont val="Tahoma"/>
            <family val="2"/>
          </rPr>
          <t>Fra La Serania de Jabugo del 02/06/23.</t>
        </r>
        <r>
          <rPr>
            <sz val="9"/>
            <color indexed="81"/>
            <rFont val="Tahoma"/>
            <family val="2"/>
          </rPr>
          <t xml:space="preserve">
Pluma: 160,94€.
Transferencia realizada el 06/09/23.
---------------------------------------------
</t>
        </r>
        <r>
          <rPr>
            <b/>
            <sz val="9"/>
            <color indexed="81"/>
            <rFont val="Tahoma"/>
            <family val="2"/>
          </rPr>
          <t>Fra La Serania de Jabugo del 16/06/23.</t>
        </r>
        <r>
          <rPr>
            <sz val="9"/>
            <color indexed="81"/>
            <rFont val="Tahoma"/>
            <family val="2"/>
          </rPr>
          <t xml:space="preserve">
Pluma y Solomillo: 2.008,15€.
Transferencia realizada el 06/09/23.
-------------------------------------------
</t>
        </r>
        <r>
          <rPr>
            <b/>
            <sz val="9"/>
            <color indexed="81"/>
            <rFont val="Tahoma"/>
            <family val="2"/>
          </rPr>
          <t>Fra La Serania de Jabugo del 30/06/23.</t>
        </r>
        <r>
          <rPr>
            <sz val="9"/>
            <color indexed="81"/>
            <rFont val="Tahoma"/>
            <family val="2"/>
          </rPr>
          <t xml:space="preserve">
Existencias: 150,25€.
Transferencia realizada el 06/09/23.
</t>
        </r>
      </text>
    </comment>
    <comment ref="BZ22" authorId="0" shapeId="0" xr:uid="{4C3423EA-9870-463D-9D18-36356211D492}">
      <text>
        <r>
          <rPr>
            <b/>
            <sz val="9"/>
            <color indexed="81"/>
            <rFont val="Tahoma"/>
            <family val="2"/>
          </rPr>
          <t xml:space="preserve">
Fra La Serania de Jabugo del 31/07/23.</t>
        </r>
        <r>
          <rPr>
            <sz val="9"/>
            <color indexed="81"/>
            <rFont val="Tahoma"/>
            <family val="2"/>
          </rPr>
          <t xml:space="preserve">
Pluma y secreto y lagarto: 144,21€
Transferencia realizada el 03/10/23.
------------------------------------------------
</t>
        </r>
      </text>
    </comment>
    <comment ref="CC22" authorId="0" shapeId="0" xr:uid="{72746E3C-128D-40BA-B1B8-C34D9C20F1C1}">
      <text>
        <r>
          <rPr>
            <b/>
            <sz val="9"/>
            <color indexed="81"/>
            <rFont val="Tahoma"/>
            <family val="2"/>
          </rPr>
          <t>Fra La Serania de Jabugo del 10/07/23.</t>
        </r>
        <r>
          <rPr>
            <sz val="9"/>
            <color indexed="81"/>
            <rFont val="Tahoma"/>
            <family val="2"/>
          </rPr>
          <t xml:space="preserve">
Pluma y secreto y lagarto: 1.326,42€
Transferencia realizada el 03/10/23.
VENCIMIENTO EL 26/01/24.
Cargado Caixa: 26/01/24
------------------------------------------
</t>
        </r>
        <r>
          <rPr>
            <b/>
            <sz val="9"/>
            <color indexed="81"/>
            <rFont val="Tahoma"/>
            <family val="2"/>
          </rPr>
          <t>Fra La Serania de Jabugo del 11/08/23.</t>
        </r>
        <r>
          <rPr>
            <sz val="9"/>
            <color indexed="81"/>
            <rFont val="Tahoma"/>
            <family val="2"/>
          </rPr>
          <t xml:space="preserve">
Pluma y secreto y lagarto: 2.893,70€
Transferencia realizada el 03/10/23.
VENCIMIENTO EL 26/01/24.
Cargado Caixa: 26/01/24</t>
        </r>
      </text>
    </comment>
    <comment ref="DE22" authorId="2" shapeId="0" xr:uid="{86F2FDA9-5973-4F46-B2AE-A3D25D7F9765}">
      <text>
        <r>
          <rPr>
            <b/>
            <sz val="9"/>
            <color indexed="81"/>
            <rFont val="Tahoma"/>
            <family val="2"/>
          </rPr>
          <t xml:space="preserve">Fra Nº 164 (19/11/25) de NA. 
</t>
        </r>
        <r>
          <rPr>
            <sz val="9"/>
            <color indexed="81"/>
            <rFont val="Tahoma"/>
            <family val="2"/>
          </rPr>
          <t xml:space="preserve">Por 15 paletas para NC
1.996,37€. 
Transferencia Caixa realizada el 02/02/26
</t>
        </r>
      </text>
    </comment>
    <comment ref="CB24" authorId="0" shapeId="0" xr:uid="{501B0B6D-1865-4047-B889-79EBFC90CA91}">
      <text>
        <r>
          <rPr>
            <b/>
            <sz val="9"/>
            <color indexed="81"/>
            <rFont val="Tahoma"/>
            <family val="2"/>
          </rPr>
          <t xml:space="preserve">Fra Logisierra del 21/03/23. *la factura esta mal ha duplicado los portes del 08/02 y 16/02 que ya estan pagados.
</t>
        </r>
        <r>
          <rPr>
            <sz val="9"/>
            <color indexed="81"/>
            <rFont val="Tahoma"/>
            <family val="2"/>
          </rPr>
          <t>transporte de las tres matanzas de cochinos, del matadero a la sala de almacen y refrigerado en la Serranía de Jabugo: 250,00 + iva = 302,50€.
Pendiente que nos la reclame y ya la pagaremos.
Reclamada y solicitada fra correcta y de abono: 01/12/23
Recibida el 05/12/23:
-992,20€: Fra abono (30/11/23)
302,50€: Fra (30/11/23)
Transferencia a realizar: Ok ALF del 05/12/23
Transf. Caixa realizada el 18/12/23
----------------------------------------</t>
        </r>
      </text>
    </comment>
    <comment ref="CC24" authorId="0" shapeId="0" xr:uid="{86EB0D33-9AEC-4F51-91FA-AAD146440537}">
      <text>
        <r>
          <rPr>
            <b/>
            <sz val="9"/>
            <color indexed="81"/>
            <rFont val="Tahoma"/>
            <family val="2"/>
          </rPr>
          <t>Fra de Jimenez Pariente del 15/12/23.</t>
        </r>
        <r>
          <rPr>
            <sz val="9"/>
            <color indexed="81"/>
            <rFont val="Tahoma"/>
            <family val="2"/>
          </rPr>
          <t xml:space="preserve">
Recogida: 55,00€. 
Domiciliada el 10/01/24. - Cargada el 10/01/24.
27/12/23: Las próximas fras llegarán a nombre de Nixal Agri</t>
        </r>
      </text>
    </comment>
    <comment ref="CD24" authorId="0" shapeId="0" xr:uid="{BA7BDD29-3EA9-46EF-A76F-DE44958F1374}">
      <text>
        <r>
          <rPr>
            <b/>
            <sz val="9"/>
            <color indexed="81"/>
            <rFont val="Tahoma"/>
            <family val="2"/>
          </rPr>
          <t>Fra Transportes Fernando Trujillo S.L. del 24/04/23.</t>
        </r>
        <r>
          <rPr>
            <sz val="9"/>
            <color indexed="81"/>
            <rFont val="Tahoma"/>
            <family val="2"/>
          </rPr>
          <t xml:space="preserve">
Portes: 1.282,60€. 
Transferencia realizada, VENCIMIENTO EL 29/02/23.
Cargado Caixa: 29/02/24
-----------------------------------------</t>
        </r>
      </text>
    </comment>
    <comment ref="BY30" authorId="1" shapeId="0" xr:uid="{0F8706AD-E654-4DF5-A9BA-1087E164F443}">
      <text>
        <r>
          <rPr>
            <sz val="9"/>
            <color indexed="81"/>
            <rFont val="Tahoma"/>
            <family val="2"/>
          </rPr>
          <t>Seguro empacadora y ensiladora: 145,60 Eur: 113,09+32,51= 145,60 seguro obligatorio a Claas por ensiladora y empacadora. 
Domic Rural 26/09/22.
Cargado: 25/09/23.</t>
        </r>
      </text>
    </comment>
    <comment ref="BZ30" authorId="0" shapeId="0" xr:uid="{B49D2749-4387-4389-831C-2C5B25AAF885}">
      <text>
        <r>
          <rPr>
            <sz val="9"/>
            <color indexed="81"/>
            <rFont val="Tahoma"/>
            <family val="2"/>
          </rPr>
          <t xml:space="preserve">145,60 Eur: 113,09+32,51= 145,60 seguro obligatorio a Claas por ensiladora y empacadora. 
Domic Rural 25/10/22.
</t>
        </r>
      </text>
    </comment>
    <comment ref="CC30" authorId="0" shapeId="0" xr:uid="{EC37937F-084C-4A0D-9522-5973D8EF665C}">
      <text>
        <r>
          <rPr>
            <sz val="9"/>
            <color indexed="81"/>
            <rFont val="Tahoma"/>
            <family val="2"/>
          </rPr>
          <t>261,99€: Seguro coche Clio 0602BYN Finca
Seguro del 07/12/23 al 07/12/24.
Cargado: 03/01/23.
-------------------------------------
374,99€: Seguro coche Opel Frontera ll H4437Z Finca
Seguro del 07/12/23 al 07/12/24.
Cargado: 03/01/23.</t>
        </r>
      </text>
    </comment>
    <comment ref="CM30" authorId="1" shapeId="0" xr:uid="{87E92B08-D722-4B51-8BFD-2C1722A4BE4C}">
      <text>
        <r>
          <rPr>
            <sz val="9"/>
            <color indexed="81"/>
            <rFont val="Tahoma"/>
            <family val="2"/>
          </rPr>
          <t xml:space="preserve">Seguro empacadora y ensiladora: 145,60 Eur: 113,09+32,51= 145,60 seguro obligatorio a Claas por ensiladora y empacadora. 
Domic Rural 26/09/24.
940,46€: Cargado Rural 25/09/24.
2.440,32€: Domic Rural 26/09/24.
</t>
        </r>
      </text>
    </comment>
    <comment ref="CN30" authorId="0" shapeId="0" xr:uid="{74C53B15-113B-4143-A94D-780DC91419D3}">
      <text>
        <r>
          <rPr>
            <sz val="9"/>
            <color indexed="81"/>
            <rFont val="Tahoma"/>
            <family val="2"/>
          </rPr>
          <t xml:space="preserve">145,60 Eur: 113,09+32,51= 145,60 seguro obligatorio a Claas por ensiladora y empacadora. 
Domic Rural 25/10/24.
940,46€: Domic Rural 25/10/24.
2.440,32€: Domic Rural 25/10/24.
</t>
        </r>
      </text>
    </comment>
    <comment ref="CP30" authorId="0" shapeId="0" xr:uid="{78596E5F-94DA-489A-AF03-C6EA126C9839}">
      <text>
        <r>
          <rPr>
            <sz val="9"/>
            <color indexed="81"/>
            <rFont val="Tahoma"/>
            <family val="2"/>
          </rPr>
          <t>305,15€: Seguro coche Clio 0602BYN Finca
Seguro del 07/12/24 al 07/12/25.
Cargado: 09/12/24.
-------------------------------------
425,05€: Seguro coche Opel Frontera H4437Z Finca
Seguro del 07/12/24 al 07/12/25.
Cargado: 09/12/24.</t>
        </r>
      </text>
    </comment>
    <comment ref="CQ30" authorId="0" shapeId="0" xr:uid="{193406BB-2D7B-410B-9CBE-5FA5BB0F48D2}">
      <text>
        <r>
          <rPr>
            <sz val="9"/>
            <color indexed="81"/>
            <rFont val="Tahoma"/>
            <family val="2"/>
          </rPr>
          <t>-305,15€: Devolución Seguro coche Clio 0602BYN Finca
Seguro del 07/12/24 al 07/12/25.
Abonado: 13/01/25.
-------------------------------------
-425,05€: Devolución Seguro coche Opel Frontera H4437Z Finca
Seguro del 07/12/24 al 07/12/25.
Abonado: 13/01/25.</t>
        </r>
      </text>
    </comment>
    <comment ref="CZ30" authorId="1" shapeId="0" xr:uid="{FB462357-2D24-47D3-B822-235C744CCB71}">
      <text>
        <r>
          <rPr>
            <sz val="9"/>
            <color indexed="81"/>
            <rFont val="Tahoma"/>
            <family val="2"/>
          </rPr>
          <t xml:space="preserve">Seguro empacadora y ensiladora: 145,60 Eur: 113,09+32,51= 145,60 seguro obligatorio a Claas por ensiladora y empacadora. 
Domic Rural 26/09/25.
940,46€: Cargado Rural 25/09/25.
2.440,32€: Domic Rural 26/09/25.
</t>
        </r>
      </text>
    </comment>
    <comment ref="DA30" authorId="0" shapeId="0" xr:uid="{4A96056D-AD78-4604-A00D-5378F40ED530}">
      <text>
        <r>
          <rPr>
            <sz val="9"/>
            <color indexed="81"/>
            <rFont val="Tahoma"/>
            <family val="2"/>
          </rPr>
          <t xml:space="preserve">145,60 Eur: 113,09+32,51= 145,60 seguro obligatorio a Claas por ensiladora y empacadora. 
Domic Rural 25/10/2.
940,46€: Domic Rural 27/10/25.
2.440,32€: Domic Rural 27/10/25.
</t>
        </r>
      </text>
    </comment>
    <comment ref="DM30" authorId="1" shapeId="0" xr:uid="{486DDC0A-F02F-496A-8D7C-9A4B695B3C81}">
      <text>
        <r>
          <rPr>
            <sz val="9"/>
            <color indexed="81"/>
            <rFont val="Tahoma"/>
            <family val="2"/>
          </rPr>
          <t xml:space="preserve">Seguro empacadora y ensiladora: 145,60 Eur: 113,09+32,51= 145,60 seguro obligatorio a Claas por ensiladora y empacadora. 
Domic Rural 26/09/22.
</t>
        </r>
      </text>
    </comment>
    <comment ref="DN30" authorId="0" shapeId="0" xr:uid="{E5A8DC08-3E7F-4ED9-96F9-AE9BFA3DAC62}">
      <text>
        <r>
          <rPr>
            <sz val="9"/>
            <color indexed="81"/>
            <rFont val="Tahoma"/>
            <family val="2"/>
          </rPr>
          <t xml:space="preserve">145,60 Eur: 113,09+32,51= 145,60 seguro obligatorio a Claas por ensiladora y empacadora. 
Domic Rural 25/10/22.
</t>
        </r>
      </text>
    </comment>
    <comment ref="DQ30" authorId="0" shapeId="0" xr:uid="{01A59392-D756-41EB-A32B-A2727769C6D5}">
      <text>
        <r>
          <rPr>
            <sz val="9"/>
            <color indexed="81"/>
            <rFont val="Tahoma"/>
            <family val="2"/>
          </rPr>
          <t>245,41€: Seguro coche Clio 0602BYN Finca
Seguro del 07/12/23 al 07/12/24.
Cargado: 03/01/23.
-------------------------------------
374,99€: Seguro coche Opel Frontera H4437Z Finca
Seguro del 07/12/23 al 07/12/24.
Cargado: 03/01/23.</t>
        </r>
      </text>
    </comment>
    <comment ref="AN31" authorId="0" shapeId="0" xr:uid="{6765BA00-64A7-4BF9-8337-E2F82AF870B8}">
      <text>
        <r>
          <rPr>
            <sz val="9"/>
            <color indexed="81"/>
            <rFont val="Tahoma"/>
            <family val="2"/>
          </rPr>
          <t xml:space="preserve">Seguro RC plus ultra. </t>
        </r>
      </text>
    </comment>
    <comment ref="BC31" authorId="0" shapeId="0" xr:uid="{EB2F9DB0-A1B1-4745-B697-BE6C0AA3796D}">
      <text>
        <r>
          <rPr>
            <sz val="9"/>
            <color indexed="81"/>
            <rFont val="Tahoma"/>
            <family val="2"/>
          </rPr>
          <t xml:space="preserve">Seguro RC plus ultra. </t>
        </r>
      </text>
    </comment>
    <comment ref="CG31" authorId="0" shapeId="0" xr:uid="{BDA81912-3FFC-49C9-9F1A-B1464F412F6C}">
      <text>
        <r>
          <rPr>
            <sz val="9"/>
            <color indexed="81"/>
            <rFont val="Tahoma"/>
            <family val="2"/>
          </rPr>
          <t>Seguro RC Occident. 
Cargado Caixa 3116: 22/05/24</t>
        </r>
      </text>
    </comment>
    <comment ref="CU31" authorId="0" shapeId="0" xr:uid="{A68F58BE-E5EC-4C0D-BE80-8CADFA5B0F23}">
      <text>
        <r>
          <rPr>
            <sz val="9"/>
            <color indexed="81"/>
            <rFont val="Tahoma"/>
            <family val="2"/>
          </rPr>
          <t>Seguro RC Occident. 
Cargado Caixa 3116: 22/05/25
Recibo devuelto el 28/05/25, lo cargarán en NA</t>
        </r>
      </text>
    </comment>
    <comment ref="B32" authorId="1" shapeId="0" xr:uid="{954E2F38-72C1-4828-AEA3-D9B5B72FC43E}">
      <text>
        <r>
          <rPr>
            <b/>
            <sz val="9"/>
            <color indexed="81"/>
            <rFont val="Tahoma"/>
            <family val="2"/>
          </rPr>
          <t>alfonso:</t>
        </r>
        <r>
          <rPr>
            <sz val="9"/>
            <color indexed="81"/>
            <rFont val="Tahoma"/>
            <family val="2"/>
          </rPr>
          <t xml:space="preserve">
IBI, Registro mercantil, Impuesto vehiculos</t>
        </r>
      </text>
    </comment>
    <comment ref="CA32" authorId="1" shapeId="0" xr:uid="{2953DFA2-93A7-456C-870B-2CF5F41A3884}">
      <text>
        <r>
          <rPr>
            <sz val="9"/>
            <color indexed="81"/>
            <rFont val="Tahoma"/>
            <family val="2"/>
          </rPr>
          <t xml:space="preserve">IBI finca y casa:165,15+88,21 
253,36€: IBI finca y casa. 
Cargado Caixa: 15/11/23.
---------------------------------------------
</t>
        </r>
      </text>
    </comment>
    <comment ref="CC32" authorId="0" shapeId="0" xr:uid="{75D02066-51DA-4A42-B0A2-CAE74CB94B47}">
      <text>
        <r>
          <rPr>
            <sz val="9"/>
            <color indexed="81"/>
            <rFont val="Tahoma"/>
            <family val="2"/>
          </rPr>
          <t>107,53€: IVTM del vehiculo CC9103N Opel Frontera I
Realizar transferencia: 17/01/24
Transferencia Caixa realizada el 18/01/24
-------------------------------------</t>
        </r>
      </text>
    </comment>
    <comment ref="CG32" authorId="0" shapeId="0" xr:uid="{DB0E211C-0D98-4D20-91D2-A2AAE3759CC7}">
      <text>
        <r>
          <rPr>
            <sz val="9"/>
            <color indexed="81"/>
            <rFont val="Tahoma"/>
            <family val="2"/>
          </rPr>
          <t>130,93€: IVTM del vehiculo H4437z Opel Frontera
Realizar cargo en cuenta: Antes del 31/05/24
Cargado Caixa: 14/05/24
------------------------------------
61€: IVTM del vehiculo 0602BYN Renault Clio
Realizar cargo en cuenta: Antes del 31/05/24
Cargado Caixa: 14/05/24
-----------------------------------
172,12€: IVTM del vehiculo H4643L Nissan
Cargado Caixa: 02/05/24
------------------------------------</t>
        </r>
      </text>
    </comment>
    <comment ref="CI32" authorId="1" shapeId="0" xr:uid="{AAC8A99E-FA48-4D3A-B0DF-77F66D4697FC}">
      <text>
        <r>
          <rPr>
            <sz val="8"/>
            <color indexed="81"/>
            <rFont val="Tahoma"/>
            <family val="2"/>
          </rPr>
          <t xml:space="preserve">
149,62 E: Impuesto sobre vehículos del 01/01 al 31/12/22
----------------------------
Anotado rn diciembre
--------------------------
Impuesto sobre vehículos del 01/01/22 al 31/12/22
Domic. En caja rural. </t>
        </r>
      </text>
    </comment>
    <comment ref="CM32" authorId="0" shapeId="0" xr:uid="{80E3C8EA-BBB9-4474-B419-FC132F5E9D1B}">
      <text>
        <r>
          <rPr>
            <sz val="9"/>
            <color indexed="81"/>
            <rFont val="Tahoma"/>
            <family val="2"/>
          </rPr>
          <t>176,53€: IVTM del vehiculo CC9103N Opel Frontera I
Transferencia Caixa realizada el 27/09/24 y domiciliado próximos recibos
-------------------------------------</t>
        </r>
      </text>
    </comment>
    <comment ref="CN32" authorId="1" shapeId="0" xr:uid="{DB367F7B-0500-4DE1-9C70-344C772C2A12}">
      <text>
        <r>
          <rPr>
            <sz val="9"/>
            <color indexed="81"/>
            <rFont val="Tahoma"/>
            <family val="2"/>
          </rPr>
          <t>IBI finca y casa 2024: 172,73+88,21= 260,94€
165,15+88,21 en 2023 
260,94€: IBI finca y casa. 
Cargado Caixa: 16/10/24.
----------------------------------
IBI nuevas fincas: 115,89+58,66+13,76= 188,31€
188,31€: IBI. 
Cargado Caixa: 16/10/24.</t>
        </r>
      </text>
    </comment>
    <comment ref="CQ32" authorId="1" shapeId="0" xr:uid="{F2D08A92-CF32-4E55-BE5D-DF6B5847F7E5}">
      <text>
        <r>
          <rPr>
            <sz val="9"/>
            <color indexed="81"/>
            <rFont val="Tahoma"/>
            <family val="2"/>
          </rPr>
          <t xml:space="preserve">IBI finca y casa 2024: 23,41+284,28= 307,69€
+30,77€ recargo 
338,46€: Pagado con VISA Alberto el 19/12/24. 
Cargado Caixa: 05/01/25.
----------------------------------
</t>
        </r>
      </text>
    </comment>
    <comment ref="CU32" authorId="0" shapeId="0" xr:uid="{998E3528-94DC-4502-A7E6-7B64C6DF3B7C}">
      <text>
        <r>
          <rPr>
            <sz val="9"/>
            <color indexed="81"/>
            <rFont val="Tahoma"/>
            <family val="2"/>
          </rPr>
          <t>127,66€: IVTM del vehiculo H4437z Opel Frontera ll
Cargado Caixa 3116: 02/05/25
------------------------------------
172,12€: IVTM del vehiculo H4643L Nissan
Cargado Caixa 3116: 02/05/25
------------------------------------
172,12€: IVTM del vehiculo CC9103N Opel Frontera I
Cargado Caixa 1117: 02/05/25</t>
        </r>
      </text>
    </comment>
    <comment ref="CZ32" authorId="1" shapeId="0" xr:uid="{A046404D-D8EB-411B-8234-16189374FAA6}">
      <text>
        <r>
          <rPr>
            <sz val="9"/>
            <color indexed="81"/>
            <rFont val="Tahoma"/>
            <family val="2"/>
          </rPr>
          <t xml:space="preserve">IBI finca El Guijo: 7,27+14,05=21,32€
Cargado Caixa: 17/09/25
IBI finca La Corte: 8,71+8,85+12,41+13,10+19,42+28,15+34,67+100,02= 225,33€
Cargado Caixa: 17/09/25
IBI finca Las Corchas: 1,06+1,38+25,63+124,95= 153,02€
Cargado Caixa: 17/09/25 
IBI finca Casa: 88,21€
Cargado Caixa: 17/09/25 
IBI finca Prado Los Carneros: 2,61€
Cargado Caixa: 17/09/25 
</t>
        </r>
      </text>
    </comment>
    <comment ref="DC32" authorId="1" shapeId="0" xr:uid="{39A0D452-C0CD-4AFD-81EF-DEAFE42FE18A}">
      <text>
        <r>
          <rPr>
            <sz val="9"/>
            <color indexed="81"/>
            <rFont val="Tahoma"/>
            <family val="2"/>
          </rPr>
          <t xml:space="preserve">IBI finca y casa 2025: 23,41+284,28= 307,69€
+30,77€ recargo 
338,46€: Pagado con VISA Alberto el 11/11/25. 
Cargado Caixa: 05/12/25.
----------------------------------
</t>
        </r>
      </text>
    </comment>
    <comment ref="DG32" authorId="0" shapeId="0" xr:uid="{3691D404-C719-43E1-BDC5-821F93BF86D6}">
      <text>
        <r>
          <rPr>
            <sz val="9"/>
            <color indexed="81"/>
            <rFont val="Tahoma"/>
            <family val="2"/>
          </rPr>
          <t xml:space="preserve">152,44€: IVTM del vehiculo 6754 GMF Nissan Pick Up
Transf. Caixa realizada el 01/04/26
------------------------------------
</t>
        </r>
      </text>
    </comment>
    <comment ref="DH32" authorId="0" shapeId="0" xr:uid="{C64B08B0-3E5A-41FE-AADA-F2E97DA9BC82}">
      <text>
        <r>
          <rPr>
            <sz val="9"/>
            <color indexed="81"/>
            <rFont val="Tahoma"/>
            <family val="2"/>
          </rPr>
          <t>127,66€: IVTM del vehiculo H4437z Opel Frontera ll
Cargado Caixa 3116: 04/05/26
------------------------------------
172,12€: IVTM del vehiculo H4643L Nissan
Cargado Caixa 3116: 04/05/26
------------------------------------
172,12€: IVTM del vehiculo CC9103N Opel Frontera I
Cargado Caixa 1117: 04/05/26</t>
        </r>
      </text>
    </comment>
    <comment ref="DI32" authorId="1" shapeId="0" xr:uid="{11A93FAE-FC92-480E-BC25-B2A81D44A4B6}">
      <text>
        <r>
          <rPr>
            <sz val="9"/>
            <color indexed="81"/>
            <rFont val="Tahoma"/>
            <family val="2"/>
          </rPr>
          <t xml:space="preserve">
IBI Finca Las Corchas. Ya pagado por Federico, pero se lo debemos. Nos lo descuenta de la Subv (3.718,33Eur). 
IBI=92,88 + 23,41 + 284,28.
</t>
        </r>
      </text>
    </comment>
    <comment ref="DK32" authorId="1" shapeId="0" xr:uid="{15B2B895-6AB5-4410-8493-578287B96175}">
      <text>
        <r>
          <rPr>
            <sz val="9"/>
            <color indexed="81"/>
            <rFont val="Tahoma"/>
            <family val="2"/>
          </rPr>
          <t xml:space="preserve">
IBI Finca Las Corchas. Ya pagado por Federico, pero se lo debemos. Nos lo descuenta de la Subv (3.718,33Eur). 
IBI=92,88 + 23,41 + 284,28.
</t>
        </r>
      </text>
    </comment>
    <comment ref="DM32" authorId="1" shapeId="0" xr:uid="{F1422156-7137-439A-B733-8B0EF9729E8E}">
      <text>
        <r>
          <rPr>
            <sz val="9"/>
            <color indexed="81"/>
            <rFont val="Tahoma"/>
            <family val="2"/>
          </rPr>
          <t>IBI finca El Guijo: 7,27+14,05=21,32€
Cargado Caixa: 17/09/25
IBI finca La Corte: 8,71+8,85+12,41+13,10+19,42+28,15+34,67+100,02= 225,33€
Cargado Caixa: 17/09/25
IBI finca Las Corchas: 1,06+1,38+25,63+124,95= 153,02€
Cargado Caixa: 17/09/25 
IBI finca Casa: 88,21€
Cargado Caixa: 17/09/25 
IBI finca Prado Los Carneros: 2,61€
Cargado Caixa: 17/09/25 
Los deben domiciliar en 2026</t>
        </r>
      </text>
    </comment>
    <comment ref="DN32" authorId="1" shapeId="0" xr:uid="{ABCD42B9-B38F-4C49-A4D5-B293D4D65A9B}">
      <text>
        <r>
          <rPr>
            <sz val="9"/>
            <color indexed="81"/>
            <rFont val="Tahoma"/>
            <family val="2"/>
          </rPr>
          <t xml:space="preserve">IBI finca y casa 2025: 23,41+284,28= 307,69€
+30,77€ recargo 
338,46€: Pagado con VISA Alberto el 11/11/25. 
Cargado Caixa: 05/12/25.
Lo deben domiciliar en 2026
----------------------------------
</t>
        </r>
      </text>
    </comment>
    <comment ref="DP32" authorId="1" shapeId="0" xr:uid="{73E43C79-436C-4704-BA2C-ABC425E6A65C}">
      <text>
        <r>
          <rPr>
            <sz val="8"/>
            <color indexed="81"/>
            <rFont val="Tahoma"/>
            <family val="2"/>
          </rPr>
          <t xml:space="preserve">
149,62 E: Impuesto sobre vehículos del 01/01 al 31/12/22
----------------------------</t>
        </r>
      </text>
    </comment>
    <comment ref="DU32" authorId="0" shapeId="0" xr:uid="{98CAB885-6F19-482C-BA1C-94AA8D2CB515}">
      <text>
        <r>
          <rPr>
            <sz val="9"/>
            <color indexed="81"/>
            <rFont val="Tahoma"/>
            <family val="2"/>
          </rPr>
          <t xml:space="preserve">Impuesto sobre vehículos del 01/01/22 al 31/12/22
Domic. En caja rural. </t>
        </r>
      </text>
    </comment>
    <comment ref="BY33" authorId="0" shapeId="0" xr:uid="{E755961F-887F-4E4C-83CC-678B8C2DED74}">
      <text>
        <r>
          <rPr>
            <b/>
            <sz val="9"/>
            <color indexed="81"/>
            <rFont val="Tahoma"/>
            <family val="2"/>
          </rPr>
          <t>Fra La casa del gandero del 29/06/23.</t>
        </r>
        <r>
          <rPr>
            <sz val="9"/>
            <color indexed="81"/>
            <rFont val="Tahoma"/>
            <family val="2"/>
          </rPr>
          <t xml:space="preserve">
Varios: 1.575,79€ 
Transferencia realizada el 06/09/23.
---------------------------------------
</t>
        </r>
        <r>
          <rPr>
            <b/>
            <sz val="9"/>
            <color indexed="81"/>
            <rFont val="Tahoma"/>
            <family val="2"/>
          </rPr>
          <t>Fra La casa del gandero del 29/06/23.</t>
        </r>
        <r>
          <rPr>
            <sz val="9"/>
            <color indexed="81"/>
            <rFont val="Tahoma"/>
            <family val="2"/>
          </rPr>
          <t xml:space="preserve">
Varios: 133,61€.
Transferencia realizada el 06/09/23.</t>
        </r>
      </text>
    </comment>
    <comment ref="CA33" authorId="0" shapeId="0" xr:uid="{E1A448CA-B5E1-4319-8ACF-2AB197DFBF80}">
      <text>
        <r>
          <rPr>
            <b/>
            <sz val="9"/>
            <color indexed="81"/>
            <rFont val="Tahoma"/>
            <family val="2"/>
          </rPr>
          <t xml:space="preserve">Fra Amazon 04/10/23. 
</t>
        </r>
        <r>
          <rPr>
            <sz val="9"/>
            <color indexed="81"/>
            <rFont val="Tahoma"/>
            <family val="2"/>
          </rPr>
          <t xml:space="preserve">Llaves de vaso: 36,44€
Cargado VISA: 01/11/23.
</t>
        </r>
      </text>
    </comment>
    <comment ref="CQ33" authorId="3" shapeId="0" xr:uid="{E5DFA738-5829-4F9A-98E0-C55C9A46BF6A}">
      <text>
        <r>
          <rPr>
            <b/>
            <sz val="9"/>
            <color indexed="81"/>
            <rFont val="Tahoma"/>
            <family val="2"/>
          </rPr>
          <t xml:space="preserve">Fra Oteradiz del 06/09/24.
</t>
        </r>
        <r>
          <rPr>
            <sz val="9"/>
            <color indexed="81"/>
            <rFont val="Tahoma"/>
            <family val="2"/>
          </rPr>
          <t xml:space="preserve">3.069,15€. 
Pendiente realizar transferencia 
Transferencia Caixa 1117 realizada el 27/09/24
VENCIMIENTO EL 24/01/25.
Cargado Caixa: 24/01/25 
-------------------------------
</t>
        </r>
        <r>
          <rPr>
            <b/>
            <sz val="9"/>
            <color indexed="81"/>
            <rFont val="Tahoma"/>
            <family val="2"/>
          </rPr>
          <t>Fra Pedro Escudero del 16/12/24.</t>
        </r>
        <r>
          <rPr>
            <sz val="9"/>
            <color indexed="81"/>
            <rFont val="Tahoma"/>
            <family val="2"/>
          </rPr>
          <t xml:space="preserve">
151,25€: Arreglo termo
Pendiente realizar transferencia 
Transferencia Caixa 1117 realizada el 29/01/25</t>
        </r>
      </text>
    </comment>
    <comment ref="CS33" authorId="3" shapeId="0" xr:uid="{896865DE-84F0-4155-9369-63CD304AC160}">
      <text>
        <r>
          <rPr>
            <b/>
            <sz val="9"/>
            <color indexed="81"/>
            <rFont val="Tahoma"/>
            <family val="2"/>
          </rPr>
          <t xml:space="preserve">Fra TodoCampo del 27/02/25.
</t>
        </r>
        <r>
          <rPr>
            <sz val="9"/>
            <color indexed="81"/>
            <rFont val="Tahoma"/>
            <family val="2"/>
          </rPr>
          <t xml:space="preserve">844,65€: Ahoyador, cuchillas y Barrena
OK ALF 
Transferencia Caixa 1117 realizada el 03/03/25
</t>
        </r>
      </text>
    </comment>
    <comment ref="CT33" authorId="3" shapeId="0" xr:uid="{39CAF7FF-92D4-45B0-8F4A-7AA96882FD7B}">
      <text>
        <r>
          <rPr>
            <b/>
            <sz val="9"/>
            <color indexed="81"/>
            <rFont val="Tahoma"/>
            <family val="2"/>
          </rPr>
          <t xml:space="preserve">Fra Lunatec-Manuel Baena del 04/04/25.
</t>
        </r>
        <r>
          <rPr>
            <sz val="9"/>
            <color indexed="81"/>
            <rFont val="Tahoma"/>
            <family val="2"/>
          </rPr>
          <t xml:space="preserve">1.173,70€: Arreglo puerta cancela finca
08/04/25: OK Alberto pagar 
Transferencia Caixa realizada el
11/04/25
--------------------------------------
</t>
        </r>
        <r>
          <rPr>
            <b/>
            <sz val="9"/>
            <color indexed="81"/>
            <rFont val="Tahoma"/>
            <family val="2"/>
          </rPr>
          <t>Fra Puertas Martínez-Raúl Martínez Pérez del 09/04/25.</t>
        </r>
        <r>
          <rPr>
            <sz val="9"/>
            <color indexed="81"/>
            <rFont val="Tahoma"/>
            <family val="2"/>
          </rPr>
          <t xml:space="preserve">
4.898,08€: Mantenimiento finca
15/04/25: OK Alberto pagar 
Transferencia Caixa realizada el 16/04/25
</t>
        </r>
      </text>
    </comment>
    <comment ref="CU33" authorId="3" shapeId="0" xr:uid="{1BF6C6EC-7D4F-4E7F-A5D5-6FE9F0493FCB}">
      <text>
        <r>
          <rPr>
            <sz val="9"/>
            <color indexed="81"/>
            <rFont val="Tahoma"/>
            <family val="2"/>
          </rPr>
          <t xml:space="preserve">Previsión Alberto 15/04/25: 5.000€ </t>
        </r>
        <r>
          <rPr>
            <b/>
            <sz val="9"/>
            <color indexed="81"/>
            <rFont val="Tahoma"/>
            <family val="2"/>
          </rPr>
          <t xml:space="preserve">
Fra Tecnofibras Cádiz del 07/05/25.
</t>
        </r>
        <r>
          <rPr>
            <sz val="9"/>
            <color indexed="81"/>
            <rFont val="Tahoma"/>
            <family val="2"/>
          </rPr>
          <t xml:space="preserve">3.324,41€: Arreglo bombas
12/05/25: OK Alberto pagar 
Transferencia Caixa realizada el
12/05/25
--------------------------------------
</t>
        </r>
      </text>
    </comment>
    <comment ref="CV33" authorId="3" shapeId="0" xr:uid="{E92E1636-E320-4976-88C5-95FB43E5E659}">
      <text>
        <r>
          <rPr>
            <sz val="9"/>
            <color indexed="81"/>
            <rFont val="Tahoma"/>
            <family val="2"/>
          </rPr>
          <t>Previsión Alberto 15/04/25: 5.000€ -3324€= 1600€
-----------------------------</t>
        </r>
        <r>
          <rPr>
            <b/>
            <sz val="9"/>
            <color indexed="81"/>
            <rFont val="Tahoma"/>
            <family val="2"/>
          </rPr>
          <t xml:space="preserve">
Fra Susana Barbero Coca-eden garden del 26/05/25.
</t>
        </r>
        <r>
          <rPr>
            <sz val="9"/>
            <color indexed="81"/>
            <rFont val="Tahoma"/>
            <family val="2"/>
          </rPr>
          <t xml:space="preserve">1.781,03€: Factura de plantas para la casa de la finca
Pagada con la VISA ALB el 27/05/25
Cargado Caixa: 05/06/25
--------------------------------------
</t>
        </r>
        <r>
          <rPr>
            <b/>
            <sz val="9"/>
            <color indexed="81"/>
            <rFont val="Tahoma"/>
            <family val="2"/>
          </rPr>
          <t xml:space="preserve">Fra Joaquín Fernández del 05/06/25
</t>
        </r>
        <r>
          <rPr>
            <sz val="9"/>
            <color indexed="81"/>
            <rFont val="Tahoma"/>
            <family val="2"/>
          </rPr>
          <t>435,60€: Split LG
Transf. Caixa realizada el 10/06/25</t>
        </r>
      </text>
    </comment>
    <comment ref="CX33" authorId="3" shapeId="0" xr:uid="{62A272F4-0898-4EA6-834F-7564E0156D9B}">
      <text>
        <r>
          <rPr>
            <b/>
            <sz val="9"/>
            <color indexed="81"/>
            <rFont val="Tahoma"/>
            <family val="2"/>
          </rPr>
          <t xml:space="preserve">Fra Oteradiz del 11/08/25
Albarán del 02/07/25.
</t>
        </r>
        <r>
          <rPr>
            <sz val="9"/>
            <color indexed="81"/>
            <rFont val="Tahoma"/>
            <family val="2"/>
          </rPr>
          <t>4.809,08€. 
OK Alberto 08/08/25 
Transferencia Caixa 1117 realizada el 08/08/25 solicitando fra</t>
        </r>
      </text>
    </comment>
    <comment ref="DD33" authorId="3" shapeId="0" xr:uid="{BB05F2D4-F2B3-47BF-AB38-C8B45A9A0C77}">
      <text>
        <r>
          <rPr>
            <b/>
            <sz val="9"/>
            <color indexed="81"/>
            <rFont val="Tahoma"/>
            <family val="2"/>
          </rPr>
          <t xml:space="preserve">Fra 41FTA137 Trivium del 29/08/23
</t>
        </r>
        <r>
          <rPr>
            <sz val="9"/>
            <color indexed="81"/>
            <rFont val="Tahoma"/>
            <family val="2"/>
          </rPr>
          <t xml:space="preserve">621,26€. 
OK Alfonso 15/01/26 pagar ya 
Transferencia Caixa 1117 realizada el 15/01/26
--------------------------------
</t>
        </r>
        <r>
          <rPr>
            <b/>
            <sz val="9"/>
            <color indexed="81"/>
            <rFont val="Tahoma"/>
            <family val="2"/>
          </rPr>
          <t>Fra 41FTA138 Trivium del 29/08/23</t>
        </r>
        <r>
          <rPr>
            <sz val="9"/>
            <color indexed="81"/>
            <rFont val="Tahoma"/>
            <family val="2"/>
          </rPr>
          <t xml:space="preserve">
1.301,22€. 
OK Alfonso 15/01/26 pagar ya 
Transferencia Caixa 1117 realizada el 15/01/26</t>
        </r>
      </text>
    </comment>
    <comment ref="DF33" authorId="3" shapeId="0" xr:uid="{80F49436-F1A1-48C5-93D7-D9B3133A6430}">
      <text>
        <r>
          <rPr>
            <b/>
            <sz val="9"/>
            <color indexed="81"/>
            <rFont val="Tahoma"/>
            <family val="2"/>
          </rPr>
          <t xml:space="preserve">Fra 43FTA252 Trivium del 12/03/26 
</t>
        </r>
        <r>
          <rPr>
            <sz val="9"/>
            <color indexed="81"/>
            <rFont val="Tahoma"/>
            <family val="2"/>
          </rPr>
          <t xml:space="preserve">15.419,90€. 
OK Alfonso 16/03/26 pagar a final de semana 
Transferencia Caixa 1117 realizada el 31/03/26
--------------------------------
</t>
        </r>
      </text>
    </comment>
    <comment ref="DI33" authorId="3" shapeId="0" xr:uid="{5D2C3D14-22DA-4511-BD7C-5299DB04C989}">
      <text>
        <r>
          <rPr>
            <b/>
            <sz val="9"/>
            <color indexed="81"/>
            <rFont val="Tahoma"/>
            <family val="2"/>
          </rPr>
          <t xml:space="preserve">Fra Proforma del 25/05/26:
Fra  Trivium del pendiente 
</t>
        </r>
        <r>
          <rPr>
            <sz val="9"/>
            <color indexed="81"/>
            <rFont val="Tahoma"/>
            <family val="2"/>
          </rPr>
          <t xml:space="preserve">9.713,41€: Reparación 6230 
--------------------------------
</t>
        </r>
      </text>
    </comment>
    <comment ref="CR34" authorId="2" shapeId="0" xr:uid="{6204458D-8BF1-40D5-B60F-763CB05BF117}">
      <text>
        <r>
          <rPr>
            <b/>
            <sz val="9"/>
            <color indexed="81"/>
            <rFont val="Tahoma"/>
            <family val="2"/>
          </rPr>
          <t>The Regen Academy:</t>
        </r>
        <r>
          <rPr>
            <sz val="9"/>
            <color indexed="81"/>
            <rFont val="Tahoma"/>
            <family val="2"/>
          </rPr>
          <t xml:space="preserve">
Fra TRC-000055-2025 (11/02/25):
Pedido Nº #49085 (10/02/25):
2717,06€: Sesiones consultoría formación agricola
Transferencia Caixa realizada el 11/02/25</t>
        </r>
        <r>
          <rPr>
            <b/>
            <sz val="9"/>
            <color indexed="81"/>
            <rFont val="Tahoma"/>
            <family val="2"/>
          </rPr>
          <t xml:space="preserve">
---------------------------
</t>
        </r>
      </text>
    </comment>
    <comment ref="CX34" authorId="2" shapeId="0" xr:uid="{95C449AD-6B81-4314-8862-0F1F72EBE12C}">
      <text>
        <r>
          <rPr>
            <b/>
            <sz val="9"/>
            <color indexed="81"/>
            <rFont val="Tahoma"/>
            <family val="2"/>
          </rPr>
          <t>The Regen Academy:</t>
        </r>
        <r>
          <rPr>
            <sz val="9"/>
            <color indexed="81"/>
            <rFont val="Tahoma"/>
            <family val="2"/>
          </rPr>
          <t xml:space="preserve">
Fra TRC-000247-2025 (21/08/25):
5.890€+IVA: Sesiones consultoría formación agricola cuota trimestral
-1.683,75€+IVA: Abono 9/12 programa The Regen Grow Anual
5.089,56Transferencia Caixa realizada el 29/08/25</t>
        </r>
        <r>
          <rPr>
            <b/>
            <sz val="9"/>
            <color indexed="81"/>
            <rFont val="Tahoma"/>
            <family val="2"/>
          </rPr>
          <t xml:space="preserve">
---------------------------
</t>
        </r>
      </text>
    </comment>
    <comment ref="DC34" authorId="2" shapeId="0" xr:uid="{424E3F6E-3A8B-4ED4-B6D7-CEA69CF41326}">
      <text>
        <r>
          <rPr>
            <b/>
            <sz val="9"/>
            <color indexed="81"/>
            <rFont val="Tahoma"/>
            <family val="2"/>
          </rPr>
          <t>The Regen Academy:</t>
        </r>
        <r>
          <rPr>
            <sz val="9"/>
            <color indexed="81"/>
            <rFont val="Tahoma"/>
            <family val="2"/>
          </rPr>
          <t xml:space="preserve">
Fra: TRC-000356-2025 (12/12/25):
5.890€+IVA: Sesiones consultoría formación agricola cuota trimestral
7.126,90€: Transferencia Caixa realizada el 17/12/25</t>
        </r>
        <r>
          <rPr>
            <b/>
            <sz val="9"/>
            <color indexed="81"/>
            <rFont val="Tahoma"/>
            <family val="2"/>
          </rPr>
          <t xml:space="preserve">
---------------------------
</t>
        </r>
      </text>
    </comment>
    <comment ref="DF34" authorId="2" shapeId="0" xr:uid="{7CD150E4-9CD1-4606-8872-1CB0301491B3}">
      <text>
        <r>
          <rPr>
            <b/>
            <sz val="9"/>
            <color indexed="81"/>
            <rFont val="Tahoma"/>
            <family val="2"/>
          </rPr>
          <t>The Regen Academy:</t>
        </r>
        <r>
          <rPr>
            <sz val="9"/>
            <color indexed="81"/>
            <rFont val="Tahoma"/>
            <family val="2"/>
          </rPr>
          <t xml:space="preserve">
Fra: TRC-2026-000078 (02/03/26):
5.890€+IVA: Sesiones consultoría formación agricola cuota trimestral
7.126,90€: Transferencia Caixa realizada el 17/03/26</t>
        </r>
        <r>
          <rPr>
            <b/>
            <sz val="9"/>
            <color indexed="81"/>
            <rFont val="Tahoma"/>
            <family val="2"/>
          </rPr>
          <t xml:space="preserve">
---------------------------
</t>
        </r>
      </text>
    </comment>
    <comment ref="DI34" authorId="2" shapeId="0" xr:uid="{3E803FBA-B269-4A24-87F6-243BE38A811C}">
      <text>
        <r>
          <rPr>
            <b/>
            <sz val="9"/>
            <color indexed="81"/>
            <rFont val="Tahoma"/>
            <family val="2"/>
          </rPr>
          <t>The Regen Academy:</t>
        </r>
        <r>
          <rPr>
            <sz val="9"/>
            <color indexed="81"/>
            <rFont val="Tahoma"/>
            <family val="2"/>
          </rPr>
          <t xml:space="preserve">
Fra TRC-2026-000163 (04/06/26):
5.890€+IVA: Sesiones consultoría formación agricola cuota trimestral
Vcmto: 30/06/26
7.126,90€: Transferencia Caixa realizada el </t>
        </r>
        <r>
          <rPr>
            <b/>
            <sz val="9"/>
            <color indexed="81"/>
            <rFont val="Tahoma"/>
            <family val="2"/>
          </rPr>
          <t xml:space="preserve">
---------------------------
</t>
        </r>
      </text>
    </comment>
    <comment ref="DK34" authorId="2" shapeId="0" xr:uid="{D7EAEDC3-530D-44AD-814E-4C535D1A0A6A}">
      <text>
        <r>
          <rPr>
            <b/>
            <sz val="9"/>
            <color indexed="81"/>
            <rFont val="Tahoma"/>
            <family val="2"/>
          </rPr>
          <t>The Regen Academy:</t>
        </r>
        <r>
          <rPr>
            <sz val="9"/>
            <color indexed="81"/>
            <rFont val="Tahoma"/>
            <family val="2"/>
          </rPr>
          <t xml:space="preserve">
Pndte Fra 
¿Renovamos? 5.890€+IVA: Sesiones consultoría formación agricola cuota trimestral
7.126,90€: Transferencia Caixa realizada el </t>
        </r>
        <r>
          <rPr>
            <b/>
            <sz val="9"/>
            <color indexed="81"/>
            <rFont val="Tahoma"/>
            <family val="2"/>
          </rPr>
          <t xml:space="preserve">
---------------------------
</t>
        </r>
      </text>
    </comment>
    <comment ref="B35" authorId="1" shapeId="0" xr:uid="{235C40DB-BE48-4160-8A9D-8AC152DF4B1B}">
      <text>
        <r>
          <rPr>
            <b/>
            <sz val="9"/>
            <color indexed="81"/>
            <rFont val="Tahoma"/>
            <family val="2"/>
          </rPr>
          <t>Cada 3 o 4 meses se suman los litros consumidos (que se anotan al echar), y desde Molino le pedimos a Hnos Horata que rellene esos litros y nos los facture a Molino, como pago a Antonio, quedando al día este concepto</t>
        </r>
      </text>
    </comment>
    <comment ref="BY35" authorId="0" shapeId="0" xr:uid="{C57377A6-2C45-468B-B8F7-2E234DBBED99}">
      <text>
        <r>
          <rPr>
            <b/>
            <sz val="9"/>
            <color indexed="81"/>
            <rFont val="Tahoma"/>
            <family val="2"/>
          </rPr>
          <t>Transferencia a Fran -</t>
        </r>
        <r>
          <rPr>
            <sz val="9"/>
            <color indexed="81"/>
            <rFont val="Tahoma"/>
            <family val="2"/>
          </rPr>
          <t xml:space="preserve">
Fra E.S Rosal de la Frontera 04/09/23. 
Gasolina: 20,00€. 
Fra E.S Rosal de la Frontera 07/09/23. 
Gasolina: 80,00€. 
Fra Maria Luisa Lopez del 04/08/23. 
Anticongelante: 17,85€. 
Transferncia realizada el 29/09/23.
-------------------------------------------
</t>
        </r>
        <r>
          <rPr>
            <b/>
            <sz val="9"/>
            <color indexed="81"/>
            <rFont val="Tahoma"/>
            <family val="2"/>
          </rPr>
          <t>Transferencia a Miguel -</t>
        </r>
        <r>
          <rPr>
            <sz val="9"/>
            <color indexed="81"/>
            <rFont val="Tahoma"/>
            <family val="2"/>
          </rPr>
          <t xml:space="preserve">
Fra Maria Luisa Lopez del 04/08/23. 
Gasolina: 60,00€. 
Fra Maria Luisa Lopez del 08/08/23. 
Gasolina: 40,00€.
Transferncia realizada el 29/09/23.
-------------------------------------------
</t>
        </r>
        <r>
          <rPr>
            <b/>
            <sz val="9"/>
            <color indexed="81"/>
            <rFont val="Tahoma"/>
            <family val="2"/>
          </rPr>
          <t xml:space="preserve">Fra Solred 31/08/23. </t>
        </r>
        <r>
          <rPr>
            <sz val="9"/>
            <color indexed="81"/>
            <rFont val="Tahoma"/>
            <family val="2"/>
          </rPr>
          <t xml:space="preserve">
E.S. CHUCENA NORTE: 94,02€. 
E.S Cuadrado aliseda: 96,76€. 
Cargado VISA: 01/09/23.</t>
        </r>
      </text>
    </comment>
    <comment ref="BZ35" authorId="0" shapeId="0" xr:uid="{D1249C84-7BA7-4A2D-A2F0-39A941882ECF}">
      <text>
        <r>
          <rPr>
            <b/>
            <sz val="9"/>
            <color indexed="81"/>
            <rFont val="Tahoma"/>
            <family val="2"/>
          </rPr>
          <t xml:space="preserve">Fra Solred 30/09/23. 
</t>
        </r>
        <r>
          <rPr>
            <sz val="9"/>
            <color indexed="81"/>
            <rFont val="Tahoma"/>
            <family val="2"/>
          </rPr>
          <t>E.S El SANCHO: 96,81€</t>
        </r>
        <r>
          <rPr>
            <b/>
            <sz val="9"/>
            <color indexed="81"/>
            <rFont val="Tahoma"/>
            <family val="2"/>
          </rPr>
          <t xml:space="preserve">
</t>
        </r>
        <r>
          <rPr>
            <sz val="9"/>
            <color indexed="81"/>
            <rFont val="Tahoma"/>
            <family val="2"/>
          </rPr>
          <t>E.S. CHUCENA NORTE: 106,47€. 
Cargado VISA: 01/09/23.</t>
        </r>
      </text>
    </comment>
    <comment ref="CA35" authorId="0" shapeId="0" xr:uid="{FB34D557-B9B7-431B-AE86-1A3CF9F0FAFB}">
      <text>
        <r>
          <rPr>
            <b/>
            <sz val="9"/>
            <color indexed="81"/>
            <rFont val="Tahoma"/>
            <family val="2"/>
          </rPr>
          <t xml:space="preserve">Fra Solred 30/09/23. 
</t>
        </r>
        <r>
          <rPr>
            <sz val="9"/>
            <color indexed="81"/>
            <rFont val="Tahoma"/>
            <family val="2"/>
          </rPr>
          <t>E.S VALVERDE: 91,17€</t>
        </r>
        <r>
          <rPr>
            <b/>
            <sz val="9"/>
            <color indexed="81"/>
            <rFont val="Tahoma"/>
            <family val="2"/>
          </rPr>
          <t xml:space="preserve">
</t>
        </r>
        <r>
          <rPr>
            <sz val="9"/>
            <color indexed="81"/>
            <rFont val="Tahoma"/>
            <family val="2"/>
          </rPr>
          <t xml:space="preserve">
Cargado VISA: 01/11/23.
</t>
        </r>
        <r>
          <rPr>
            <b/>
            <sz val="9"/>
            <color indexed="81"/>
            <rFont val="Tahoma"/>
            <family val="2"/>
          </rPr>
          <t xml:space="preserve">
Fra Solred 31/10/23</t>
        </r>
        <r>
          <rPr>
            <sz val="9"/>
            <color indexed="81"/>
            <rFont val="Tahoma"/>
            <family val="2"/>
          </rPr>
          <t>. 
E.S CHUCENA: 96,30€
Cargado VISA: 01/11/23</t>
        </r>
      </text>
    </comment>
    <comment ref="BY36" authorId="2" shapeId="0" xr:uid="{13FDFC6C-CFBC-47DC-BF3A-2378B12B9204}">
      <text>
        <r>
          <rPr>
            <sz val="9"/>
            <color indexed="81"/>
            <rFont val="Tahoma"/>
            <family val="2"/>
          </rPr>
          <t>Info Alf 21/09/23:
Mariano sigue en NC hasta final de este mes de septiembre. Desde el 1/10 estará ya en NA.
Y para cuadrar la tesorería, pasar de NC a NA una trasnsfer como pago del salario de Mariano de Agosto. En NA que ese pago que hicieron lo compensen con este. 
1200€: Transferencia Caixa de NC a NA el 21/09/23
-------------------------------
1200€: Nómina sept
Transf. Caixa realixada: 29/09/23</t>
        </r>
      </text>
    </comment>
    <comment ref="BY37" authorId="0" shapeId="0" xr:uid="{22FCE6A3-1C00-44CD-9908-5BD314D17D09}">
      <text>
        <r>
          <rPr>
            <b/>
            <sz val="9"/>
            <color indexed="81"/>
            <rFont val="Tahoma"/>
            <family val="2"/>
          </rPr>
          <t xml:space="preserve">Fra Registro de la Propiedad del 04/08/23.
</t>
        </r>
        <r>
          <rPr>
            <sz val="9"/>
            <color indexed="81"/>
            <rFont val="Tahoma"/>
            <family val="2"/>
          </rPr>
          <t>Nota simple: 10,91€.</t>
        </r>
        <r>
          <rPr>
            <b/>
            <sz val="9"/>
            <color indexed="81"/>
            <rFont val="Tahoma"/>
            <family val="2"/>
          </rPr>
          <t xml:space="preserve">
</t>
        </r>
        <r>
          <rPr>
            <sz val="9"/>
            <color indexed="81"/>
            <rFont val="Tahoma"/>
            <family val="2"/>
          </rPr>
          <t>Pagado con VISA Alberto el 04/08/23.
Cargado Caixa Nixal: 05/09/23</t>
        </r>
        <r>
          <rPr>
            <b/>
            <sz val="9"/>
            <color indexed="81"/>
            <rFont val="Tahoma"/>
            <family val="2"/>
          </rPr>
          <t xml:space="preserve">
----------------------------------------
</t>
        </r>
      </text>
    </comment>
    <comment ref="CA37" authorId="0" shapeId="0" xr:uid="{3388BEB1-F334-49C4-B2AC-AE2244FF2508}">
      <text>
        <r>
          <rPr>
            <b/>
            <sz val="9"/>
            <color indexed="81"/>
            <rFont val="Tahoma"/>
            <family val="2"/>
          </rPr>
          <t xml:space="preserve">
Fra Legal Sur del 24/03/23. </t>
        </r>
        <r>
          <rPr>
            <sz val="9"/>
            <color indexed="81"/>
            <rFont val="Tahoma"/>
            <family val="2"/>
          </rPr>
          <t xml:space="preserve">
363€: Servicios prestados a Agroenergia pndte devoluc. A MDZ
136,13€: Servicios prestados a MDZ 499,13€: Realizar transferencia 
22/11/23: Ok Alberto realizar transferencia
Transf. Caixa realizada el 23/11/23
-------------------------------------------
</t>
        </r>
      </text>
    </comment>
    <comment ref="CB37" authorId="0" shapeId="0" xr:uid="{86BFDD35-B229-4300-BD79-C45C0C05DF1F}">
      <text>
        <r>
          <rPr>
            <b/>
            <sz val="9"/>
            <color indexed="81"/>
            <rFont val="Tahoma"/>
            <family val="2"/>
          </rPr>
          <t>Fra Legal Sur del 25/04/23.</t>
        </r>
        <r>
          <rPr>
            <sz val="9"/>
            <color indexed="81"/>
            <rFont val="Tahoma"/>
            <family val="2"/>
          </rPr>
          <t xml:space="preserve"> 
408,38€: Servicios prestados a MDZ 408,38€: Realizar transferencia 
Transf. realizada por el total 892,38€ el 15/12/23
-------------------------------------------
</t>
        </r>
        <r>
          <rPr>
            <b/>
            <sz val="9"/>
            <color indexed="81"/>
            <rFont val="Tahoma"/>
            <family val="2"/>
          </rPr>
          <t xml:space="preserve">Fra Legal Sur del 26/05/23. </t>
        </r>
        <r>
          <rPr>
            <sz val="9"/>
            <color indexed="81"/>
            <rFont val="Tahoma"/>
            <family val="2"/>
          </rPr>
          <t xml:space="preserve">
60,50€: Servicios prestados a Agroenergia pndte devoluc. A MDZ
423,50€: Servicios prestados a MDZ 484€: Ok Alberto, realizar transferencia a mediados de junio
Transf. realizada por el total 892,38€ el 15/12/23
--------------------------------------------
</t>
        </r>
      </text>
    </comment>
    <comment ref="CC37" authorId="0" shapeId="0" xr:uid="{8189C7DC-ABF9-49D0-8293-09C0A4201E41}">
      <text>
        <r>
          <rPr>
            <b/>
            <sz val="9"/>
            <color indexed="81"/>
            <rFont val="Tahoma"/>
            <family val="2"/>
          </rPr>
          <t>Fra LegalSur del 23/06/23.</t>
        </r>
        <r>
          <rPr>
            <sz val="9"/>
            <color indexed="81"/>
            <rFont val="Tahoma"/>
            <family val="2"/>
          </rPr>
          <t xml:space="preserve">
Honorarios finca: 605,00€. 
Pendienter ealizar transferencia. 
Transferencia realizada el 26/01/24</t>
        </r>
      </text>
    </comment>
    <comment ref="CL37" authorId="1" shapeId="0" xr:uid="{2E48688A-D1E9-4354-9DEE-F7815C37A03A}">
      <text>
        <r>
          <rPr>
            <b/>
            <sz val="8"/>
            <color indexed="81"/>
            <rFont val="Tahoma"/>
            <family val="2"/>
          </rPr>
          <t>Notaria Pablo Gutierrez Alviz/Francisco Trigo Lozano:</t>
        </r>
        <r>
          <rPr>
            <sz val="8"/>
            <color indexed="81"/>
            <rFont val="Tahoma"/>
            <family val="2"/>
          </rPr>
          <t xml:space="preserve">
Fra Francisco Trigo Lozano del 14/04/21. 
100,56€: Tramites escritura. 
Fra Notaria Pablo Gutierrez Alviz del 29/12/20.
79,38€: revocación poder/autorizacion poder. 
Fra Notaria Pablo Gutierrez Alviz del 29/12/20.
38,51€: Acta de titular real. 
Fra Rº Mercantil- Notaria Pablo Gutierrez Alviz del 22/03/21.
216,50€: inscripcion derechos. 
Total a pagar a la Notaria Pablo Gutierrez Alviz : 434,95€ 
Descontando la provision de fondospor importe de 525€
Saldo a nuestro favor con la Notaria Pablo Gutierrez Alviz : a ingresar 90,05€
(Documento de Liquidación provisión notario-registro-gestoria Poderes JP, 25/05/21)
</t>
        </r>
        <r>
          <rPr>
            <b/>
            <sz val="8"/>
            <color indexed="81"/>
            <rFont val="Tahoma"/>
            <family val="2"/>
          </rPr>
          <t>Notaría Pablo Gutiérrez-Alviz:</t>
        </r>
        <r>
          <rPr>
            <sz val="8"/>
            <color indexed="81"/>
            <rFont val="Tahoma"/>
            <family val="2"/>
          </rPr>
          <t xml:space="preserve">
-700 E: Devolución Provisión de fondos por escritura de constitución de SL otorgada por NIXAL AGRI S.L, con núm. 753/2.021 de protocolo 
Info ALF 26/02/21: cuando quede registrada llegará factura y liquidación de esta provisión de fondos
Pagada desde Nixal Caixa y a devolver en un mes, y cuando quede registrada y se libere la cuenta de Agri, hacemos la devolución
</t>
        </r>
        <r>
          <rPr>
            <sz val="8"/>
            <color indexed="81"/>
            <rFont val="Tahoma"/>
            <family val="2"/>
          </rPr>
          <t xml:space="preserve">
</t>
        </r>
      </text>
    </comment>
    <comment ref="CO37" authorId="0" shapeId="0" xr:uid="{2741860F-241B-4F8A-8E4C-0C89AA6CDBDD}">
      <text>
        <r>
          <rPr>
            <b/>
            <sz val="9"/>
            <color indexed="81"/>
            <rFont val="Tahoma"/>
            <family val="2"/>
          </rPr>
          <t>Fra LegalSur del 25/06/24.</t>
        </r>
        <r>
          <rPr>
            <sz val="9"/>
            <color indexed="81"/>
            <rFont val="Tahoma"/>
            <family val="2"/>
          </rPr>
          <t xml:space="preserve">
Honorarios finca: 181,50€. 
Pendienter realizar transferencia en julio. 
Transferencia Caixa 1117 realizada el 17/07/24
VENCIMIENTO EL 14/11/24.
Cargado Caixa: 14/11/24</t>
        </r>
      </text>
    </comment>
    <comment ref="DK37" authorId="1" shapeId="0" xr:uid="{815B3A33-FEFA-42AA-BFE2-BE363DEC9FB4}">
      <text>
        <r>
          <rPr>
            <b/>
            <sz val="8"/>
            <color indexed="81"/>
            <rFont val="Tahoma"/>
            <family val="2"/>
          </rPr>
          <t>Notaria Pablo Gutierrez Alviz/Francisco Trigo Lozano:</t>
        </r>
        <r>
          <rPr>
            <sz val="8"/>
            <color indexed="81"/>
            <rFont val="Tahoma"/>
            <family val="2"/>
          </rPr>
          <t xml:space="preserve">
Fra Francisco Trigo Lozano del 14/04/21. 
100,56€: Tramites escritura. 
Fra Notaria Pablo Gutierrez Alviz del 29/12/20.
79,38€: revocación poder/autorizacion poder. 
Fra Notaria Pablo Gutierrez Alviz del 29/12/20.
38,51€: Acta de titular real. 
Fra Rº Mercantil- Notaria Pablo Gutierrez Alviz del 22/03/21.
216,50€: inscripcion derechos. 
Total a pagar a la Notaria Pablo Gutierrez Alviz : 434,95€ 
Descontando la provision de fondospor importe de 525€
Saldo a nuestro favor con la Notaria Pablo Gutierrez Alviz : a ingresar </t>
        </r>
        <r>
          <rPr>
            <b/>
            <sz val="8"/>
            <color indexed="81"/>
            <rFont val="Tahoma"/>
            <family val="2"/>
          </rPr>
          <t>90,05€</t>
        </r>
        <r>
          <rPr>
            <sz val="8"/>
            <color indexed="81"/>
            <rFont val="Tahoma"/>
            <family val="2"/>
          </rPr>
          <t xml:space="preserve">
(Documento de Liquidación provisión notario-registro-gestoria Poderes JP, 25/05/21)
</t>
        </r>
        <r>
          <rPr>
            <b/>
            <sz val="8"/>
            <color indexed="81"/>
            <rFont val="Tahoma"/>
            <family val="2"/>
          </rPr>
          <t>Notaría Pablo Gutiérrez-Alviz:</t>
        </r>
        <r>
          <rPr>
            <sz val="8"/>
            <color indexed="81"/>
            <rFont val="Tahoma"/>
            <family val="2"/>
          </rPr>
          <t xml:space="preserve">
-700 E: Devolución Provisión de fondos por escritura de constitución de SL otorgada por NIXAL AGRI S.L, con núm. 753/2.021 de protocolo 
Info ALF 26/02/21: cuando quede registrada llegará factura y liquidación de esta provisión de fondos
Pagada desde Nixal Caixa y a devolver en un mes, y cuando quede registrada y se libere la cuenta de Agri, hacemos la devolución
La provision por 700€ esta compensada con las factura del CUADRO DE NA (sept/2021) debe devolverlo NA a NC.
La que esta pendiente de ingresar son 90,05€</t>
        </r>
      </text>
    </comment>
    <comment ref="B38" authorId="1" shapeId="0" xr:uid="{2A7A51BB-7F03-48C7-9528-7BE7C68BC860}">
      <text>
        <r>
          <rPr>
            <sz val="9"/>
            <color indexed="81"/>
            <rFont val="Tahoma"/>
            <family val="2"/>
          </rPr>
          <t xml:space="preserve">Contratado con Creativa Nov 2020
45€ por gestion laboral empresa + 8€/mes por empleado = </t>
        </r>
        <r>
          <rPr>
            <b/>
            <sz val="9"/>
            <color indexed="81"/>
            <rFont val="Tahoma"/>
            <family val="2"/>
          </rPr>
          <t xml:space="preserve">85 al mes + IVA 21%
</t>
        </r>
        <r>
          <rPr>
            <sz val="9"/>
            <color indexed="81"/>
            <rFont val="Tahoma"/>
            <family val="2"/>
          </rPr>
          <t xml:space="preserve">
*Facturación cada día 22
*Cobro mediante recibo domiciliado los días 27
</t>
        </r>
      </text>
    </comment>
    <comment ref="BZ38" authorId="0" shapeId="0" xr:uid="{53F113B5-80DB-4F6F-9350-A0C5C1C1A32D}">
      <text>
        <r>
          <rPr>
            <sz val="9"/>
            <color indexed="81"/>
            <rFont val="Tahoma"/>
            <family val="2"/>
          </rPr>
          <t xml:space="preserve">Fra Creativa del 22/09/23.
Gestoria: 93,17€. 
Cargado: 01/10/23
-----------------------------------
Fra Creativa del 22/10/23.
Gestoria: 82,28€.
Cargado: 27/10/23.
</t>
        </r>
      </text>
    </comment>
    <comment ref="CA38" authorId="0" shapeId="0" xr:uid="{C0C0080E-6CC7-4B53-A537-97D1E1F39BFD}">
      <text>
        <r>
          <rPr>
            <sz val="9"/>
            <color indexed="81"/>
            <rFont val="Tahoma"/>
            <family val="2"/>
          </rPr>
          <t>Fra Creativa del 22/11/23.
Gestoria: 82,28€.
Cargado: 27/11/23</t>
        </r>
      </text>
    </comment>
    <comment ref="CC38" authorId="0" shapeId="0" xr:uid="{FDA8FC0D-D7CB-415A-8930-F1CD22A66C01}">
      <text>
        <r>
          <rPr>
            <sz val="9"/>
            <color indexed="81"/>
            <rFont val="Tahoma"/>
            <family val="2"/>
          </rPr>
          <t xml:space="preserve">Fra Creativa del 22/12/23.
Gestoria: 93,17€. 
Cargado: 01/01/24
-----------------------------------
</t>
        </r>
      </text>
    </comment>
    <comment ref="CD38" authorId="2" shapeId="0" xr:uid="{A6419DB9-420B-4006-BE61-3F32A8FEB4A3}">
      <text>
        <r>
          <rPr>
            <b/>
            <sz val="9"/>
            <color indexed="81"/>
            <rFont val="Tahoma"/>
            <family val="2"/>
          </rPr>
          <t xml:space="preserve">Fra Creativa del 22/01/24.
</t>
        </r>
        <r>
          <rPr>
            <sz val="9"/>
            <color indexed="81"/>
            <rFont val="Tahoma"/>
            <family val="2"/>
          </rPr>
          <t>Gestoria: 96,16€. 
Cargado:</t>
        </r>
        <r>
          <rPr>
            <b/>
            <sz val="9"/>
            <color indexed="81"/>
            <rFont val="Tahoma"/>
            <family val="2"/>
          </rPr>
          <t xml:space="preserve"> </t>
        </r>
        <r>
          <rPr>
            <sz val="9"/>
            <color indexed="81"/>
            <rFont val="Tahoma"/>
            <family val="2"/>
          </rPr>
          <t>01/02/24</t>
        </r>
        <r>
          <rPr>
            <b/>
            <sz val="9"/>
            <color indexed="81"/>
            <rFont val="Tahoma"/>
            <family val="2"/>
          </rPr>
          <t xml:space="preserve">
-----------------------------------
</t>
        </r>
      </text>
    </comment>
    <comment ref="CE38" authorId="2" shapeId="0" xr:uid="{E8888A97-9B43-49F3-994E-644CDD163511}">
      <text>
        <r>
          <rPr>
            <b/>
            <sz val="9"/>
            <color indexed="81"/>
            <rFont val="Tahoma"/>
            <family val="2"/>
          </rPr>
          <t xml:space="preserve">Fra Creativa del 22/02/24.
</t>
        </r>
        <r>
          <rPr>
            <sz val="9"/>
            <color indexed="81"/>
            <rFont val="Tahoma"/>
            <family val="2"/>
          </rPr>
          <t>Gestoria: 107,40€. 
Cargado: 01/03/24</t>
        </r>
        <r>
          <rPr>
            <b/>
            <sz val="9"/>
            <color indexed="81"/>
            <rFont val="Tahoma"/>
            <family val="2"/>
          </rPr>
          <t xml:space="preserve">
-----------------------------------</t>
        </r>
      </text>
    </comment>
    <comment ref="CF38" authorId="2" shapeId="0" xr:uid="{060A146A-0565-4FCF-BDCD-A3DE402D8C21}">
      <text>
        <r>
          <rPr>
            <b/>
            <sz val="9"/>
            <color indexed="81"/>
            <rFont val="Tahoma"/>
            <family val="2"/>
          </rPr>
          <t xml:space="preserve">Fra Creativa del 22/03/24.
</t>
        </r>
        <r>
          <rPr>
            <sz val="9"/>
            <color indexed="81"/>
            <rFont val="Tahoma"/>
            <family val="2"/>
          </rPr>
          <t>Gestoria: 152,36€. 
Cargado: 01/04/24</t>
        </r>
        <r>
          <rPr>
            <b/>
            <sz val="9"/>
            <color indexed="81"/>
            <rFont val="Tahoma"/>
            <family val="2"/>
          </rPr>
          <t xml:space="preserve">
Pndte ok ALF
-----------------------------------
</t>
        </r>
      </text>
    </comment>
    <comment ref="CG38" authorId="2" shapeId="0" xr:uid="{2D7F02F4-5640-43B1-BB1F-5560346AD4B5}">
      <text>
        <r>
          <rPr>
            <b/>
            <sz val="9"/>
            <color indexed="81"/>
            <rFont val="Tahoma"/>
            <family val="2"/>
          </rPr>
          <t xml:space="preserve">Fra Creativa del 22/04/24.
</t>
        </r>
        <r>
          <rPr>
            <sz val="9"/>
            <color indexed="81"/>
            <rFont val="Tahoma"/>
            <family val="2"/>
          </rPr>
          <t>Gestoria: 141,12€. 
Cargado: 01/05/24</t>
        </r>
        <r>
          <rPr>
            <b/>
            <sz val="9"/>
            <color indexed="81"/>
            <rFont val="Tahoma"/>
            <family val="2"/>
          </rPr>
          <t xml:space="preserve">
-----------------------------------
Fra Creativa del 22/05/24.
</t>
        </r>
        <r>
          <rPr>
            <sz val="9"/>
            <color indexed="81"/>
            <rFont val="Tahoma"/>
            <family val="2"/>
          </rPr>
          <t>Gestoria: 141,12€. 
Cargado: 28/05/24</t>
        </r>
      </text>
    </comment>
    <comment ref="CI38" authorId="2" shapeId="0" xr:uid="{A2B9791C-FE00-41DF-BBCC-61C97B3EA86B}">
      <text>
        <r>
          <rPr>
            <b/>
            <sz val="9"/>
            <color indexed="81"/>
            <rFont val="Tahoma"/>
            <family val="2"/>
          </rPr>
          <t xml:space="preserve">Fra Creativa del 22/06/24.
</t>
        </r>
        <r>
          <rPr>
            <sz val="9"/>
            <color indexed="81"/>
            <rFont val="Tahoma"/>
            <family val="2"/>
          </rPr>
          <t>Gestoria: 96,16€. 
Cargado: 01/07/24</t>
        </r>
        <r>
          <rPr>
            <b/>
            <sz val="9"/>
            <color indexed="81"/>
            <rFont val="Tahoma"/>
            <family val="2"/>
          </rPr>
          <t xml:space="preserve"> 
------------------------
</t>
        </r>
      </text>
    </comment>
    <comment ref="CJ38" authorId="2" shapeId="0" xr:uid="{3D3FE021-9CFE-45EF-85DE-2324EDEE30C3}">
      <text>
        <r>
          <rPr>
            <b/>
            <sz val="9"/>
            <color indexed="81"/>
            <rFont val="Tahoma"/>
            <family val="2"/>
          </rPr>
          <t xml:space="preserve">Fra Creativa del 22/07/24.
</t>
        </r>
        <r>
          <rPr>
            <sz val="9"/>
            <color indexed="81"/>
            <rFont val="Tahoma"/>
            <family val="2"/>
          </rPr>
          <t>Gestoria: 96,16€.
Presentación Renta: 157,30€ 
253,46€: Cargado: 01/08/24</t>
        </r>
        <r>
          <rPr>
            <b/>
            <sz val="9"/>
            <color indexed="81"/>
            <rFont val="Tahoma"/>
            <family val="2"/>
          </rPr>
          <t xml:space="preserve"> 
------------------------
Fra Creativa del 22/08/24.
</t>
        </r>
        <r>
          <rPr>
            <sz val="9"/>
            <color indexed="81"/>
            <rFont val="Tahoma"/>
            <family val="2"/>
          </rPr>
          <t>Gestoria: 96,16€. 
96,16€: Cargado: 27/08/24</t>
        </r>
        <r>
          <rPr>
            <b/>
            <sz val="9"/>
            <color indexed="81"/>
            <rFont val="Tahoma"/>
            <family val="2"/>
          </rPr>
          <t xml:space="preserve">
------------------------</t>
        </r>
      </text>
    </comment>
    <comment ref="CN38" authorId="2" shapeId="0" xr:uid="{7A98D973-E794-4F51-A5D1-AC4B1E251136}">
      <text>
        <r>
          <rPr>
            <b/>
            <sz val="9"/>
            <color indexed="81"/>
            <rFont val="Tahoma"/>
            <family val="2"/>
          </rPr>
          <t xml:space="preserve">Fra Creativa del 22/09/24.
</t>
        </r>
        <r>
          <rPr>
            <sz val="9"/>
            <color indexed="81"/>
            <rFont val="Tahoma"/>
            <family val="2"/>
          </rPr>
          <t>Gestoria: 96,16€. 
96,16€: Cargado: 01/10/24</t>
        </r>
        <r>
          <rPr>
            <b/>
            <sz val="9"/>
            <color indexed="81"/>
            <rFont val="Tahoma"/>
            <family val="2"/>
          </rPr>
          <t xml:space="preserve">
------------------------
Fra Creativa del 22/10/24.
</t>
        </r>
        <r>
          <rPr>
            <sz val="9"/>
            <color indexed="81"/>
            <rFont val="Tahoma"/>
            <family val="2"/>
          </rPr>
          <t>Gestoria: 96,16€. 
96,16€: Cargado: 28/10/24</t>
        </r>
      </text>
    </comment>
    <comment ref="CO38" authorId="2" shapeId="0" xr:uid="{E85AF9CD-31BC-4E0E-9C5D-1CB842893A1B}">
      <text>
        <r>
          <rPr>
            <b/>
            <sz val="9"/>
            <color indexed="81"/>
            <rFont val="Tahoma"/>
            <family val="2"/>
          </rPr>
          <t xml:space="preserve">Fra Creativa del 22/11/24.
</t>
        </r>
        <r>
          <rPr>
            <sz val="9"/>
            <color indexed="81"/>
            <rFont val="Tahoma"/>
            <family val="2"/>
          </rPr>
          <t>Gestoria: 129,88€. 
129,88€: Cargado: 27/11/24</t>
        </r>
      </text>
    </comment>
    <comment ref="CQ38" authorId="2" shapeId="0" xr:uid="{E46155CF-A3C5-4A31-BBE3-076637BE31CD}">
      <text>
        <r>
          <rPr>
            <b/>
            <sz val="9"/>
            <color indexed="81"/>
            <rFont val="Tahoma"/>
            <family val="2"/>
          </rPr>
          <t>Fra Creativa del 22/12/24</t>
        </r>
        <r>
          <rPr>
            <sz val="9"/>
            <color indexed="81"/>
            <rFont val="Tahoma"/>
            <family val="2"/>
          </rPr>
          <t xml:space="preserve">.
Gestoria: 129,88€. 
129,88€: Cargado: 01/01/25
-------------------------------
</t>
        </r>
        <r>
          <rPr>
            <b/>
            <sz val="9"/>
            <color indexed="81"/>
            <rFont val="Tahoma"/>
            <family val="2"/>
          </rPr>
          <t>Fra Creativa del 22/01/25.</t>
        </r>
        <r>
          <rPr>
            <sz val="9"/>
            <color indexed="81"/>
            <rFont val="Tahoma"/>
            <family val="2"/>
          </rPr>
          <t xml:space="preserve">
Gestoria: 132,71€. 
132,71€: Cargado: 28/01/25
------------------------------------</t>
        </r>
      </text>
    </comment>
    <comment ref="CS38" authorId="2" shapeId="0" xr:uid="{31AB88F1-19B1-4CA9-A057-6EAA99C15B65}">
      <text>
        <r>
          <rPr>
            <b/>
            <sz val="9"/>
            <color indexed="81"/>
            <rFont val="Tahoma"/>
            <family val="2"/>
          </rPr>
          <t xml:space="preserve">Fra Creativa del 22/02/25.
</t>
        </r>
        <r>
          <rPr>
            <sz val="9"/>
            <color indexed="81"/>
            <rFont val="Tahoma"/>
            <family val="2"/>
          </rPr>
          <t>Gestoria: 98,26€. 
Cargado: 01/03/25</t>
        </r>
        <r>
          <rPr>
            <b/>
            <sz val="9"/>
            <color indexed="81"/>
            <rFont val="Tahoma"/>
            <family val="2"/>
          </rPr>
          <t xml:space="preserve">
------------------------
Fra Creativa del 22/03/25.
</t>
        </r>
        <r>
          <rPr>
            <sz val="9"/>
            <color indexed="81"/>
            <rFont val="Tahoma"/>
            <family val="2"/>
          </rPr>
          <t>Gestoria: 98,26€. 
Cargado: 27/03/25</t>
        </r>
      </text>
    </comment>
    <comment ref="CT38" authorId="2" shapeId="0" xr:uid="{690645F8-C363-4434-AB1C-460BDF0DF45D}">
      <text>
        <r>
          <rPr>
            <b/>
            <sz val="9"/>
            <color indexed="81"/>
            <rFont val="Tahoma"/>
            <family val="2"/>
          </rPr>
          <t xml:space="preserve">Fra Creativa del 22/04/25.
</t>
        </r>
        <r>
          <rPr>
            <sz val="9"/>
            <color indexed="81"/>
            <rFont val="Tahoma"/>
            <family val="2"/>
          </rPr>
          <t>Gestoria: 98,26€. 
Cargado: 28/04/25</t>
        </r>
      </text>
    </comment>
    <comment ref="CU38" authorId="2" shapeId="0" xr:uid="{E0F0A8FA-A54A-4422-A601-106D6CDF79F7}">
      <text>
        <r>
          <rPr>
            <b/>
            <sz val="9"/>
            <color indexed="81"/>
            <rFont val="Tahoma"/>
            <family val="2"/>
          </rPr>
          <t xml:space="preserve">Fra Creativa del 22/05/25.
</t>
        </r>
        <r>
          <rPr>
            <sz val="9"/>
            <color indexed="81"/>
            <rFont val="Tahoma"/>
            <family val="2"/>
          </rPr>
          <t>Gestoria: 98,26€. 
Cargado: 28/05/25</t>
        </r>
      </text>
    </comment>
    <comment ref="CW38" authorId="2" shapeId="0" xr:uid="{D0F7C4FE-B03B-463D-B855-D746BE1BF6AF}">
      <text>
        <r>
          <rPr>
            <b/>
            <sz val="9"/>
            <color indexed="81"/>
            <rFont val="Tahoma"/>
            <family val="2"/>
          </rPr>
          <t xml:space="preserve">Fra Creativa del 22/06/25.
</t>
        </r>
        <r>
          <rPr>
            <sz val="9"/>
            <color indexed="81"/>
            <rFont val="Tahoma"/>
            <family val="2"/>
          </rPr>
          <t xml:space="preserve">Gestoria: 254,95€. 
Cargado: 01/07/25
</t>
        </r>
      </text>
    </comment>
    <comment ref="CX38" authorId="2" shapeId="0" xr:uid="{65C81B14-8777-4CE6-A6E1-C2B0B0111110}">
      <text>
        <r>
          <rPr>
            <b/>
            <sz val="9"/>
            <color indexed="81"/>
            <rFont val="Tahoma"/>
            <family val="2"/>
          </rPr>
          <t xml:space="preserve">Fra Creativa del 22/07/25.
</t>
        </r>
        <r>
          <rPr>
            <sz val="9"/>
            <color indexed="81"/>
            <rFont val="Tahoma"/>
            <family val="2"/>
          </rPr>
          <t xml:space="preserve">Gestoria: 267,05€. 
Cargado: 
---------------------------------
</t>
        </r>
      </text>
    </comment>
    <comment ref="CZ38" authorId="2" shapeId="0" xr:uid="{EBB65BDF-6B35-4740-9B92-CD1EB98DA0E4}">
      <text>
        <r>
          <rPr>
            <b/>
            <sz val="9"/>
            <color indexed="81"/>
            <rFont val="Tahoma"/>
            <family val="2"/>
          </rPr>
          <t xml:space="preserve">Fra Creativa del 22/08/25.
</t>
        </r>
        <r>
          <rPr>
            <sz val="9"/>
            <color indexed="81"/>
            <rFont val="Tahoma"/>
            <family val="2"/>
          </rPr>
          <t>Gestoria: 109,75€. 
Cargado: 01/09/25</t>
        </r>
      </text>
    </comment>
    <comment ref="DA38" authorId="2" shapeId="0" xr:uid="{31EECDF3-3AE8-416A-8AA5-FFF53398C26D}">
      <text>
        <r>
          <rPr>
            <b/>
            <sz val="9"/>
            <color indexed="81"/>
            <rFont val="Tahoma"/>
            <family val="2"/>
          </rPr>
          <t>Fra Creativa del 22/09/25</t>
        </r>
        <r>
          <rPr>
            <sz val="9"/>
            <color indexed="81"/>
            <rFont val="Tahoma"/>
            <family val="2"/>
          </rPr>
          <t xml:space="preserve">.
Gestoria: 98,26€. 
98,26€: Cargado: 01/10/25
-------------------------------
</t>
        </r>
        <r>
          <rPr>
            <b/>
            <sz val="9"/>
            <color indexed="81"/>
            <rFont val="Tahoma"/>
            <family val="2"/>
          </rPr>
          <t xml:space="preserve">Fra Creativa del 22/10/25.
</t>
        </r>
        <r>
          <rPr>
            <sz val="9"/>
            <color indexed="81"/>
            <rFont val="Tahoma"/>
            <family val="2"/>
          </rPr>
          <t>Gestoria: 98,26€. 
98,26€: Cargado: 28/10/25
------------------------------------</t>
        </r>
      </text>
    </comment>
    <comment ref="DB38" authorId="2" shapeId="0" xr:uid="{CD9F6889-4F1D-43AF-8596-843776FAC9D6}">
      <text>
        <r>
          <rPr>
            <b/>
            <sz val="9"/>
            <color indexed="81"/>
            <rFont val="Tahoma"/>
            <family val="2"/>
          </rPr>
          <t>Fra Creativa del 22/11/25</t>
        </r>
        <r>
          <rPr>
            <sz val="9"/>
            <color indexed="81"/>
            <rFont val="Tahoma"/>
            <family val="2"/>
          </rPr>
          <t>.
Gestoria: 98,26€. 
98,26€: Cargado: 28/11/25</t>
        </r>
      </text>
    </comment>
    <comment ref="DD38" authorId="2" shapeId="0" xr:uid="{D2705675-4CCD-480F-8B41-B6961525C9A0}">
      <text>
        <r>
          <rPr>
            <b/>
            <sz val="9"/>
            <color indexed="81"/>
            <rFont val="Tahoma"/>
            <family val="2"/>
          </rPr>
          <t>Fra Creativa del 22/12/25</t>
        </r>
        <r>
          <rPr>
            <sz val="9"/>
            <color indexed="81"/>
            <rFont val="Tahoma"/>
            <family val="2"/>
          </rPr>
          <t xml:space="preserve">.
Gestoria: 98,26€. 
98,26€: Cargado: 02/01/26
-------------------------------------
</t>
        </r>
        <r>
          <rPr>
            <b/>
            <sz val="9"/>
            <color indexed="81"/>
            <rFont val="Tahoma"/>
            <family val="2"/>
          </rPr>
          <t>Fra Creativa del 22/01/26.</t>
        </r>
        <r>
          <rPr>
            <sz val="9"/>
            <color indexed="81"/>
            <rFont val="Tahoma"/>
            <family val="2"/>
          </rPr>
          <t xml:space="preserve">
Gestoria: 89,31€. 
89,31€: Cargado: 28/01/26</t>
        </r>
      </text>
    </comment>
    <comment ref="DF38" authorId="2" shapeId="0" xr:uid="{973F8982-89DC-47A0-87F3-1038EA42B47A}">
      <text>
        <r>
          <rPr>
            <b/>
            <sz val="9"/>
            <color indexed="81"/>
            <rFont val="Tahoma"/>
            <family val="2"/>
          </rPr>
          <t>Fra Creativa del 22/02/26.</t>
        </r>
        <r>
          <rPr>
            <sz val="9"/>
            <color indexed="81"/>
            <rFont val="Tahoma"/>
            <family val="2"/>
          </rPr>
          <t xml:space="preserve">
Gestoria: 101,13€. 
101,13€: Cargado: 02/03/26
</t>
        </r>
        <r>
          <rPr>
            <b/>
            <sz val="9"/>
            <color indexed="81"/>
            <rFont val="Tahoma"/>
            <family val="2"/>
          </rPr>
          <t>Fra Creativa del 22/03/26.</t>
        </r>
        <r>
          <rPr>
            <sz val="9"/>
            <color indexed="81"/>
            <rFont val="Tahoma"/>
            <family val="2"/>
          </rPr>
          <t xml:space="preserve">
Gestoria: 101,13€. 
101,13€: Cargado: 27/03/26</t>
        </r>
      </text>
    </comment>
    <comment ref="DG38" authorId="2" shapeId="0" xr:uid="{3193BFB8-76E7-48D5-AE0C-3BF3E70DE077}">
      <text>
        <r>
          <rPr>
            <b/>
            <sz val="9"/>
            <color indexed="81"/>
            <rFont val="Tahoma"/>
            <family val="2"/>
          </rPr>
          <t>Fra Creativa del 22/04/26.</t>
        </r>
        <r>
          <rPr>
            <sz val="9"/>
            <color indexed="81"/>
            <rFont val="Tahoma"/>
            <family val="2"/>
          </rPr>
          <t xml:space="preserve">
Gestoria: 101,13€. 
101,13€: Cargado: 27/04/26</t>
        </r>
      </text>
    </comment>
    <comment ref="DH38" authorId="2" shapeId="0" xr:uid="{EC288A86-6E5B-46F8-A2A8-DBCF7E2CBC37}">
      <text>
        <r>
          <rPr>
            <b/>
            <sz val="9"/>
            <color indexed="81"/>
            <rFont val="Tahoma"/>
            <family val="2"/>
          </rPr>
          <t>Fra Creativa del 22/05/26.</t>
        </r>
        <r>
          <rPr>
            <sz val="9"/>
            <color indexed="81"/>
            <rFont val="Tahoma"/>
            <family val="2"/>
          </rPr>
          <t xml:space="preserve">
Gestoria: 101,13€. 
+30€: Tramitación de atrasos nóminas Maria y Rosa
137,43€: Cargado: 29/05/26</t>
        </r>
      </text>
    </comment>
    <comment ref="DB39" authorId="3" shapeId="0" xr:uid="{A933723B-ACBE-4974-A411-F923231598B7}">
      <text>
        <r>
          <rPr>
            <b/>
            <sz val="9"/>
            <color indexed="81"/>
            <rFont val="Tahoma"/>
            <family val="2"/>
          </rPr>
          <t>Maria:</t>
        </r>
        <r>
          <rPr>
            <sz val="9"/>
            <color indexed="81"/>
            <rFont val="Tahoma"/>
            <family val="2"/>
          </rPr>
          <t xml:space="preserve">
1740 Eur a pagar en diciembre 2025 para la certificación forestal sostenible para tres años (580 Eur/año a pagar anticipadamente ahora) 
Liquidación cuota: 2025/2026/2027
615,93€/año= 1.847,79€
Transferencia Caixa realizada el 12/11/25</t>
        </r>
      </text>
    </comment>
    <comment ref="BY40" authorId="0" shapeId="0" xr:uid="{DC1E6930-A679-41B5-8432-9387AF451BC0}">
      <text>
        <r>
          <rPr>
            <sz val="9"/>
            <color indexed="81"/>
            <rFont val="Tahoma"/>
            <family val="2"/>
          </rPr>
          <t xml:space="preserve">Comision serv seguridad: 52,03€. Cargado VISA el 01/09/23.
---------------------------
Comision Liq.Cta.Vista: 30,00€ 
Cargado: 29/09/23.
---------------------------
196,18€: Intereses financiacion pago proveedores.
Cargado: 29/09/23.
------------------------
22650 : provision de fondos hipotecario fincas Maria, Miguel y federico. 
13127,75: Pago garantia conforme a la factura del 27/09/2023. 
5.969,42€: Participaciones sociales
2.386,11€: Comisión estudio
4.772,22€: Comisión aval 1ª año
</t>
        </r>
      </text>
    </comment>
    <comment ref="BZ40" authorId="0" shapeId="0" xr:uid="{EA523EC0-AEC4-4ADF-AD4D-931CEF233291}">
      <text>
        <r>
          <rPr>
            <sz val="9"/>
            <color indexed="81"/>
            <rFont val="Tahoma"/>
            <family val="2"/>
          </rPr>
          <t xml:space="preserve">
22,48€: Intereses financiacion pago proveedores.
Cargado: 03/10/23.
---------------------------
49,05€: Intereses financiacion pago proveedores.
Cargado: 03/10/23
---------------------------
116,69€: Intereses financiacion pago proveedores.
Cargado: 06/10/23
---------------------------
114,72€: Intereses financiacion pago proveedores.
Cargado: 06/10/23
----------------------------
176,77 E: Intereses financiacion pago proveedores.
Cargado: 13/10/23
--------------------------------
16,66 E: Intereses financiacion pago proveedores.
Cargado: 13/10/23
-------------------------------
16,66 E: Intereses financiacion pago proveedores.
Cargado: 13/10/23
----------------------------------
224,95 E: Intereses financiacion pago proveedores.
Cargado: 27/10/23
----------------------------------
16,50€: comsiion traspaso entre cuentas el 27/10/23.</t>
        </r>
      </text>
    </comment>
    <comment ref="CA40" authorId="0" shapeId="0" xr:uid="{B5671CBE-BD59-4C79-A5C2-9A9793AAF691}">
      <text>
        <r>
          <rPr>
            <sz val="9"/>
            <color indexed="81"/>
            <rFont val="Tahoma"/>
            <family val="2"/>
          </rPr>
          <t xml:space="preserve">22,48€: Intereses financiacion pago proveedores.
Cargado: 03/11/23.
---------------------------
185,10€: Intereses financiacion pago proveedores.
Cargado: 10/11/23.
----------------------------------
</t>
        </r>
      </text>
    </comment>
    <comment ref="CB40" authorId="2" shapeId="0" xr:uid="{8D313AEB-0FDD-4C65-9C9F-E603A3C4C97F}">
      <text>
        <r>
          <rPr>
            <sz val="9"/>
            <color indexed="81"/>
            <rFont val="Tahoma"/>
            <family val="2"/>
          </rPr>
          <t>Comision Liq.Cta.Vista: 30,00€ 
Cargado: 29/12/23.
---------------------------
Liquidación del contrato: 2,28€
Cargado Santander: 13/12/23
-------------------------
10244,80€: Gastos de asesoría, gestoria 
Incluye 2.386,11€ de constitución préstamo BBVA Compra finca Hermanos gutierrez 
Cargado BBVA: 19/12/23
----------------------------
3€: Comisión por devolución de recibo
Cargado Caixa: 12/12/23</t>
        </r>
      </text>
    </comment>
    <comment ref="CC40" authorId="2" shapeId="0" xr:uid="{536D2399-611F-4DB7-BE00-914F55028A71}">
      <text>
        <r>
          <rPr>
            <sz val="9"/>
            <color indexed="81"/>
            <rFont val="Tahoma"/>
            <family val="2"/>
          </rPr>
          <t>69,74€: Intereses financiacion pago proveedores. (Fra Nanta)
Cargado: 26/01/24.
--------------------------------
189,34€: Intereses financiacion pago proveedores. (Fra Iberica F.)
Cargado: 29/01/24.
--------------------------------
3€: Comisión por devolución cargo Isagri
Cargado: 04/01/24
-------------------------------------</t>
        </r>
      </text>
    </comment>
    <comment ref="CD40" authorId="2" shapeId="0" xr:uid="{4C08F9C5-5D59-4743-B77D-CB17C047AFD6}">
      <text>
        <r>
          <rPr>
            <sz val="9"/>
            <color indexed="81"/>
            <rFont val="Tahoma"/>
            <family val="2"/>
          </rPr>
          <t>175,14€: Intereses financiacion pago proveedores. (Fra Iberica F.)
Cargado: 02/02/24.
--------------------------------
81,14€: Intereses financiacion pago proveedores. (Fra Nanta)
Cargado: 13/02/24.
--------------------------------
106,50€: Intereses financiacion pago proveedores. (Fra Cereales M.)
Cargado: 16/02/24.
--------------------------------
615,57€: Devolución Gastos de asesoría, gestoria constitución préstamo 
Abonado BBVA: 13/02/24
--------------------------------
10,00€: serv. Banca a distancia.
Caragado: 13/02/24</t>
        </r>
      </text>
    </comment>
    <comment ref="CE40" authorId="2" shapeId="0" xr:uid="{80BEB296-04D3-462F-95EB-3DEFC61D3508}">
      <text>
        <r>
          <rPr>
            <sz val="9"/>
            <color indexed="81"/>
            <rFont val="Tahoma"/>
            <family val="2"/>
          </rPr>
          <t>147,54€: Intereses financiacion pago proveedores. (Fra Javier Pombero REFO)
Cargado: 15/03/24.
-----------------------------
Liquidación del contrato: 1,89€
Cargado Santander: 14/03/24
-------------------------</t>
        </r>
      </text>
    </comment>
    <comment ref="CF40" authorId="2" shapeId="0" xr:uid="{84FA146C-CDD3-4A48-8BF8-094B77BA741F}">
      <text>
        <r>
          <rPr>
            <sz val="9"/>
            <color indexed="81"/>
            <rFont val="Tahoma"/>
            <family val="2"/>
          </rPr>
          <t>59,07€: Intereses financiacion pago proveedores. (Fra Cotasa)
Cargado: 10/04/24.
-----------------------------
Comision Liq.Cta.Vista: 30,00€ 
Cargado: 01/04/24.
--------------------------
10,78€: Intereses financiacion pago proveedores. (Ppto Microflora)
Cargado: 15/04/24.
-----------------------------
5,23€: Intereses financiacion pago proveedores. (Ppto Microflora)
Cargado: 16/04/24.
-----------------------------
292,61€: Intereses financiacion pago proveedores. (Fra Pombero)
Cargado: 16/04/24.</t>
        </r>
      </text>
    </comment>
    <comment ref="CG40" authorId="2" shapeId="0" xr:uid="{DC7381EE-98D4-4189-9E27-0858FA972247}">
      <text>
        <r>
          <rPr>
            <sz val="9"/>
            <color indexed="81"/>
            <rFont val="Tahoma"/>
            <family val="2"/>
          </rPr>
          <t>152,43€: Intereses financiacion pago proveedores. (Fra De los Reyes)
Cargado: 21/05/24.
-----------------------------
91,60€: Intereses financiacion pago proveedores. (Fra Pombero)
Cargado Caixa REFO: 24/05/24.</t>
        </r>
      </text>
    </comment>
    <comment ref="CH40" authorId="2" shapeId="0" xr:uid="{C49A0373-45EC-4A26-845C-509A77B56D76}">
      <text>
        <r>
          <rPr>
            <sz val="9"/>
            <color indexed="81"/>
            <rFont val="Tahoma"/>
            <family val="2"/>
          </rPr>
          <t xml:space="preserve">Comision Liq.Cta.Vista: 30,00€E
Cargado: 29/06/24.
--------------------------
</t>
        </r>
      </text>
    </comment>
    <comment ref="CI40" authorId="2" shapeId="0" xr:uid="{CD7474D6-896E-4AD2-8EAB-1270556C9BBA}">
      <text>
        <r>
          <rPr>
            <sz val="9"/>
            <color indexed="81"/>
            <rFont val="Tahoma"/>
            <family val="2"/>
          </rPr>
          <t>98,31 E: Intereses financiacion pago proveedores. (Fra Nanta)
Cargado: 01/07/24.
-----------------------------
10,00 E: serv. Banca a distancia.
Cargado: 01/07/24</t>
        </r>
      </text>
    </comment>
    <comment ref="CM40" authorId="2" shapeId="0" xr:uid="{9F05F981-6A26-4806-AF53-52AD9AD48FA4}">
      <text>
        <r>
          <rPr>
            <sz val="9"/>
            <color indexed="81"/>
            <rFont val="Tahoma"/>
            <family val="2"/>
          </rPr>
          <t>Comision Liq.Cta.Vista: 40,00€ 
Cargado: 29/09/24.</t>
        </r>
      </text>
    </comment>
    <comment ref="CN40" authorId="0" shapeId="0" xr:uid="{5013C02C-9F9E-40DB-B21D-C0E4EAEF053C}">
      <text>
        <r>
          <rPr>
            <sz val="9"/>
            <color indexed="81"/>
            <rFont val="Tahoma"/>
            <family val="2"/>
          </rPr>
          <t>4.538,28€: Pago a Sociedad de Avales y garantia comisión del 27/09/24 a 27/09/25. 
Cargado Caixa: 14/10/24</t>
        </r>
      </text>
    </comment>
    <comment ref="CP40" authorId="2" shapeId="0" xr:uid="{B6A416C6-EFB4-4918-8C89-AD3F70FEF456}">
      <text>
        <r>
          <rPr>
            <sz val="9"/>
            <color indexed="81"/>
            <rFont val="Tahoma"/>
            <family val="2"/>
          </rPr>
          <t>Comision Liq.Cta.Vista: 40,00€ 
Cargado: 29/12/24.</t>
        </r>
      </text>
    </comment>
    <comment ref="CQ40" authorId="2" shapeId="0" xr:uid="{BAD4639D-109E-460E-A9C8-83902E2B3985}">
      <text>
        <r>
          <rPr>
            <sz val="9"/>
            <color indexed="81"/>
            <rFont val="Tahoma"/>
            <family val="2"/>
          </rPr>
          <t>3€: Comisión por devolución recibo Isagri
Cargado: 13/01/25
--------------------
27,75€: Comisión traspaso a Caixa
Cargado Caja Rural: 13/01/25
-----------------------------
10,00 E: serv. Banca a distancia.
Cargado: 01/01/25</t>
        </r>
      </text>
    </comment>
    <comment ref="CS40" authorId="2" shapeId="0" xr:uid="{F6B9E146-4937-4CE9-B7E6-DD88CE4F6581}">
      <text>
        <r>
          <rPr>
            <sz val="9"/>
            <color indexed="81"/>
            <rFont val="Tahoma"/>
            <family val="2"/>
          </rPr>
          <t xml:space="preserve">Comision Liq.Cta.Vista: 40,00€ 
Cargado: 28/03/25.
--------------------------
</t>
        </r>
      </text>
    </comment>
    <comment ref="CU40" authorId="2" shapeId="0" xr:uid="{FBF0BE56-29C4-4971-B5A4-D00C3E75AF31}">
      <text>
        <r>
          <rPr>
            <sz val="9"/>
            <color indexed="81"/>
            <rFont val="Tahoma"/>
            <family val="2"/>
          </rPr>
          <t>3€: Comisión por devolución recibo Occident 
Cargado: 28/05/25</t>
        </r>
        <r>
          <rPr>
            <b/>
            <sz val="9"/>
            <color indexed="81"/>
            <rFont val="Tahoma"/>
            <family val="2"/>
          </rPr>
          <t xml:space="preserve">
--------------------</t>
        </r>
      </text>
    </comment>
    <comment ref="CV40" authorId="2" shapeId="0" xr:uid="{DDF02503-00EA-43AB-829D-F5E173678EBD}">
      <text>
        <r>
          <rPr>
            <sz val="9"/>
            <color indexed="81"/>
            <rFont val="Tahoma"/>
            <family val="2"/>
          </rPr>
          <t>Comision Liq.Cta.Vista: 40,00€ 
Cargado: 29/06/25.
--------------------------
3€: Comisión por devolución recibo Occident 
Cargado: 06/06/25
--------------------
3€: Comisión por devolución recibo Occident 
Cargado: 17/06/25
--------------------</t>
        </r>
      </text>
    </comment>
    <comment ref="CW40" authorId="2" shapeId="0" xr:uid="{0ADD54BD-FDC9-416B-B1CF-B8DCB7E7DD0C}">
      <text>
        <r>
          <rPr>
            <sz val="9"/>
            <color indexed="81"/>
            <rFont val="Tahoma"/>
            <family val="2"/>
          </rPr>
          <t>10,00 E: serv. Banca a distancia.
Cargado: 01/07/25
----------------------------
30€: Comisión traspaso de Caja Rural a Caixa
Cargado Caja Rural: 15/07/25
---------------------------
30€: Comisión traspaso de Caja Rural a Caixa
Cargado Caja Rural: 16/07/25
---------------------------
30€: Comisión traspaso de Caja Rural a Caixa
Cargado Caja Rural: 16/07/25
---------------------------
30€: Comisión traspaso de Caja Rural a Caixa
Cargado Caja Rural: 16/07/25
---------------------------
30€: Comisión traspaso de Caja Rural a Caixa
Cargado Caja Rural: 16/07/25
---------------------------
300,55€: Compra Aportaciones
Cargado Caja Rural: 15/07/25</t>
        </r>
      </text>
    </comment>
    <comment ref="CZ40" authorId="2" shapeId="0" xr:uid="{6B740820-2025-4FEF-A2F4-7FA2F69DA35E}">
      <text>
        <r>
          <rPr>
            <sz val="9"/>
            <color indexed="81"/>
            <rFont val="Tahoma"/>
            <family val="2"/>
          </rPr>
          <t xml:space="preserve">Comision Liq.Cta.Vista: 40,00€ 
Cargado: 29/09/25.
--------------------------
</t>
        </r>
      </text>
    </comment>
    <comment ref="DA40" authorId="0" shapeId="0" xr:uid="{79D99B38-EFE6-4B6C-B222-2653032023D1}">
      <text>
        <r>
          <rPr>
            <sz val="9"/>
            <color indexed="81"/>
            <rFont val="Tahoma"/>
            <family val="2"/>
          </rPr>
          <t>4.294,41€: Pago a Sociedad de Avales y garantia comisión del 27/09/25 a 27/09/26. 
Cargado Caixa: 13/10/25
-----------------------------
15,54€: Intereses Cta 5871
Cargado Caixa: 01/10/25</t>
        </r>
      </text>
    </comment>
    <comment ref="DC40" authorId="2" shapeId="0" xr:uid="{6AA4806A-29FE-4F54-B6F2-55F06506D93F}">
      <text>
        <r>
          <rPr>
            <sz val="9"/>
            <color indexed="81"/>
            <rFont val="Tahoma"/>
            <family val="2"/>
          </rPr>
          <t xml:space="preserve">Comision Liq.Cta.Vista: 40,00€ 
Cargado: 29/12/25.
--------------------------
</t>
        </r>
      </text>
    </comment>
    <comment ref="DD40" authorId="2" shapeId="0" xr:uid="{96921EFA-E8A1-4994-B855-685C0110607B}">
      <text>
        <r>
          <rPr>
            <sz val="9"/>
            <color indexed="81"/>
            <rFont val="Tahoma"/>
            <family val="2"/>
          </rPr>
          <t xml:space="preserve">10,00 E: serv. Banca a distancia.
Cargado: 01/01/26
----------------------------
</t>
        </r>
      </text>
    </comment>
    <comment ref="DE40" authorId="2" shapeId="0" xr:uid="{3C9D9380-A18D-4636-8F94-123282F4AC3E}">
      <text>
        <r>
          <rPr>
            <sz val="9"/>
            <color indexed="81"/>
            <rFont val="Tahoma"/>
            <family val="2"/>
          </rPr>
          <t xml:space="preserve">39,59€: Comisión Santander por bloqueo cuenta
Cargado Santander: 11/02/26
</t>
        </r>
      </text>
    </comment>
    <comment ref="DF40" authorId="2" shapeId="0" xr:uid="{09D91A15-7369-4CC1-B7B6-CBD79796BC45}">
      <text>
        <r>
          <rPr>
            <sz val="9"/>
            <color indexed="81"/>
            <rFont val="Tahoma"/>
            <family val="2"/>
          </rPr>
          <t>Comision Liq.Cta.Vista: 40,00€ 
Cargado: 29/03/26.
--------------------------
13,64€: Liquidación contrato
Cargado Santander: 16/03/26</t>
        </r>
      </text>
    </comment>
    <comment ref="DH40" authorId="2" shapeId="0" xr:uid="{03089715-407F-4BAE-A76E-0F7561E255C2}">
      <text>
        <r>
          <rPr>
            <sz val="9"/>
            <color indexed="81"/>
            <rFont val="Tahoma"/>
            <family val="2"/>
          </rPr>
          <t xml:space="preserve">Liquidación aportaciones: 3,64€ 
Cargado Caja Rural: 14/05/26.
--------------------------
</t>
        </r>
      </text>
    </comment>
    <comment ref="DA41" authorId="2" shapeId="0" xr:uid="{29382C1B-CA16-4E6D-A04F-D5FCE0FB5944}">
      <text>
        <r>
          <rPr>
            <sz val="9"/>
            <color indexed="81"/>
            <rFont val="Tahoma"/>
            <family val="2"/>
          </rPr>
          <t xml:space="preserve">-68,49€: Devolución prima Seguro Vida Caixa por cancelación préstamo REFO
Abonado Caixa: 04/10/25.
</t>
        </r>
      </text>
    </comment>
    <comment ref="BZ44" authorId="0" shapeId="0" xr:uid="{01794A48-D273-41C3-916D-661183FAC7DC}">
      <text>
        <r>
          <rPr>
            <b/>
            <sz val="9"/>
            <color indexed="81"/>
            <rFont val="Tahoma"/>
            <family val="2"/>
          </rPr>
          <t>Fra Fuel Andevalo del 30/06/23.</t>
        </r>
        <r>
          <rPr>
            <sz val="9"/>
            <color indexed="81"/>
            <rFont val="Tahoma"/>
            <family val="2"/>
          </rPr>
          <t xml:space="preserve">
Gas butano: 16,45€.
Pendiente realizar transferencia. 
------------------------------------
</t>
        </r>
        <r>
          <rPr>
            <b/>
            <sz val="9"/>
            <color indexed="81"/>
            <rFont val="Tahoma"/>
            <family val="2"/>
          </rPr>
          <t>Fra Fuel Andevalo del 31/07/23.</t>
        </r>
        <r>
          <rPr>
            <sz val="9"/>
            <color indexed="81"/>
            <rFont val="Tahoma"/>
            <family val="2"/>
          </rPr>
          <t xml:space="preserve">
Butano: 31,60€. 
Pendiente realizar transferencia. 
</t>
        </r>
        <r>
          <rPr>
            <b/>
            <sz val="9"/>
            <color indexed="81"/>
            <rFont val="Tahoma"/>
            <family val="2"/>
          </rPr>
          <t>------------------------------
Fra Fuel Andevalo del 31/08/23.</t>
        </r>
        <r>
          <rPr>
            <sz val="9"/>
            <color indexed="81"/>
            <rFont val="Tahoma"/>
            <family val="2"/>
          </rPr>
          <t xml:space="preserve">
Butano: 31,60€. 
Pendiente realizar transferencia. 
------------------------------------
Transferencia realizada el 11/10/23</t>
        </r>
      </text>
    </comment>
    <comment ref="BY45" authorId="0" shapeId="0" xr:uid="{E6EEC816-11BE-4547-A5E4-75BC244E85D7}">
      <text>
        <r>
          <rPr>
            <sz val="9"/>
            <color indexed="81"/>
            <rFont val="Tahoma"/>
            <family val="2"/>
          </rPr>
          <t xml:space="preserve">515,56€: gastos VISA sin justificantes. Cargado 01/09/23.
---------------------------------
</t>
        </r>
        <r>
          <rPr>
            <b/>
            <sz val="9"/>
            <color indexed="81"/>
            <rFont val="Tahoma"/>
            <family val="2"/>
          </rPr>
          <t>Fra Gestoria Maraver del 29/06/23.</t>
        </r>
        <r>
          <rPr>
            <sz val="9"/>
            <color indexed="81"/>
            <rFont val="Tahoma"/>
            <family val="2"/>
          </rPr>
          <t xml:space="preserve">
Cambio titularidad vehiculo: 114,04€ 
Transferencia realizada el 06/09/23.
-----------------------------------------------
3.702,78€: SALDO DE CAJA de molino, aqui se queda a cero, y nos lo llevamos a NA. </t>
        </r>
      </text>
    </comment>
    <comment ref="BZ45" authorId="0" shapeId="0" xr:uid="{C76FC5A5-1616-4C80-A2BF-871A6146B2BB}">
      <text>
        <r>
          <rPr>
            <sz val="9"/>
            <color indexed="81"/>
            <rFont val="Tahoma"/>
            <family val="2"/>
          </rPr>
          <t>216,63€: gastos VISA sin justificantes. Cargado 01/10/23.</t>
        </r>
      </text>
    </comment>
    <comment ref="CA45" authorId="0" shapeId="0" xr:uid="{F8515A4E-9CA1-4A03-B719-A1DA8848B287}">
      <text>
        <r>
          <rPr>
            <b/>
            <sz val="9"/>
            <color indexed="81"/>
            <rFont val="Tahoma"/>
            <family val="2"/>
          </rPr>
          <t xml:space="preserve">Fra Gestoria Maraver del 30/10/23.
</t>
        </r>
        <r>
          <rPr>
            <sz val="9"/>
            <color indexed="81"/>
            <rFont val="Tahoma"/>
            <family val="2"/>
          </rPr>
          <t>Cambio titularidad vehiculo: 164,30€ 
Transfrencia realizada el 07/11/23.
-------------------------
429,96€: gastos VISA sin justificantes. Cargado 01/11/23.</t>
        </r>
      </text>
    </comment>
    <comment ref="CB45" authorId="0" shapeId="0" xr:uid="{FDC626F3-F4AC-441B-B45D-BE6663FEACD3}">
      <text>
        <r>
          <rPr>
            <sz val="9"/>
            <color indexed="81"/>
            <rFont val="Tahoma"/>
            <family val="2"/>
          </rPr>
          <t xml:space="preserve">223,31€: gastos VISA sin justificantes. Cargado 01/12/23.
--------------------------
474,08€: Cobro por error pndte de devolución a Nixal Agri
Abonado Caixa: 06/12/23
504,59€: Cobro por error pndte de devolución a Nixal Agri
Abonado Caixa: 20/12/23
</t>
        </r>
      </text>
    </comment>
    <comment ref="CC45" authorId="2" shapeId="0" xr:uid="{6FA2DFD2-5C2E-41D1-B195-BB0E0C44BF4E}">
      <text>
        <r>
          <rPr>
            <sz val="9"/>
            <color indexed="81"/>
            <rFont val="Tahoma"/>
            <family val="2"/>
          </rPr>
          <t xml:space="preserve">-474,08€: Cobro por error pndte de devolución a Nixal Agri por fra 23 NA
Abonado Caixa: 06/12/23
Realizar devolución
Transf. Caixa realizada el 16/01/24
-504,59€: Cobro por error pndte de devolución a Nixal Agri por fra 26 NA
Abonado Caixa: 20/12/23
Realizar devolución
Transf. Caixa realizada el 16/01/24
</t>
        </r>
      </text>
    </comment>
    <comment ref="CD45" authorId="0" shapeId="0" xr:uid="{981E2911-13D7-40B2-92F7-013E46F6012C}">
      <text>
        <r>
          <rPr>
            <sz val="9"/>
            <color theme="1"/>
            <rFont val="Tahoma"/>
            <family val="2"/>
          </rPr>
          <t xml:space="preserve">54,68 E: Prevision Generali Seguro Convenio
11/02/24-11/02/25
domiciliado en caja rural: 14/02/24
La previsión estaba anotada en NA, comunicado a ALF el 01/03/24. pndte RE del agente de seguros
Lo ponemos aquí provisionalmente </t>
        </r>
      </text>
    </comment>
    <comment ref="CJ45" authorId="2" shapeId="0" xr:uid="{9E1C5C9B-D836-4DB1-A475-C355722196D7}">
      <text>
        <r>
          <rPr>
            <b/>
            <sz val="9"/>
            <color indexed="81"/>
            <rFont val="Tahoma"/>
            <family val="2"/>
          </rPr>
          <t xml:space="preserve">Cotasa:
Fra: C-137 (10/04/24):
</t>
        </r>
        <r>
          <rPr>
            <sz val="9"/>
            <color indexed="81"/>
            <rFont val="Tahoma"/>
            <family val="2"/>
          </rPr>
          <t xml:space="preserve">Ppto: PC24-33 (22/02/24)
3.460,60€: Medición para inscribir las últimas fincas compradas en el registro de la propiedad
Pndte Transferencia a realizar
3.460,60€: Transferencia Caixa realizada el 10/04/24
Vencimiento: 05/08/24
Cargado: 05/08/24
--------------------------------------
</t>
        </r>
        <r>
          <rPr>
            <b/>
            <sz val="9"/>
            <color indexed="81"/>
            <rFont val="Tahoma"/>
            <family val="2"/>
          </rPr>
          <t>Cotasa:
Fra: C-306 (08/08/24):</t>
        </r>
        <r>
          <rPr>
            <sz val="9"/>
            <color indexed="81"/>
            <rFont val="Tahoma"/>
            <family val="2"/>
          </rPr>
          <t xml:space="preserve">
90,75€: Honorarios Exp: 2024/000325 y Tramitación notas simples
Transferencia Caixa realizada el 22/08/24
</t>
        </r>
      </text>
    </comment>
    <comment ref="CR45" authorId="2" shapeId="0" xr:uid="{8A73F046-C8F4-43F0-B32F-EA35B7B255B8}">
      <text>
        <r>
          <rPr>
            <sz val="9"/>
            <color indexed="81"/>
            <rFont val="Tahoma"/>
            <family val="2"/>
          </rPr>
          <t>54,68 E: Prevision Generali Seguro Convenio
11/02/25-11/02/26
domiciliado en caja rural: 12/02/25
La previsión estaba anotada en NA, comunicado a ALF el 01/03/24. pndte RE del agente de seguros
Lo ponemos aquí provisionalmente 
27/06/24: Info ALF: Anular un mes antes del vencimiento el 11/02/25
Solicitada baja, RE, hay que solicitar la baja 2 meses antes del vencimiento, solicitar en noviembre 2025</t>
        </r>
      </text>
    </comment>
    <comment ref="DC45" authorId="0" shapeId="0" xr:uid="{75494BD5-004B-476D-8AD9-77D3FA53BFF6}">
      <text>
        <r>
          <rPr>
            <sz val="9"/>
            <color theme="1"/>
            <rFont val="Tahoma"/>
            <family val="2"/>
          </rPr>
          <t>54,68 E: Prevision Generali Seguro Convenio
11/02/25-11/02/26
domiciliado en caja rural: 12/02/25
La previsión estaba anotada en NA, comunicado a ALF el 01/03/24. pndte RE del agente de seguros
Lo ponemos aquí provisionalmente 
27/06/24: Info ALF: Anular un mes antes del vencimiento el 11/02/25
Solicitada baja, RE, hay que solicitar la baja 2 meses antes del vencimiento, solicitar en noviembre 2025
01/12/25: Solicitado
15/12/25: Póliza anulada a vencimiento</t>
        </r>
      </text>
    </comment>
    <comment ref="DD45" authorId="3" shapeId="0" xr:uid="{0A1A2434-857D-441A-9CFF-CCAB36F4D6F6}">
      <text>
        <r>
          <rPr>
            <b/>
            <sz val="9"/>
            <color indexed="81"/>
            <rFont val="Tahoma"/>
            <family val="2"/>
          </rPr>
          <t xml:space="preserve">Fra Leroy Melin pndte, solicitada por ALF a nombre de NC
</t>
        </r>
        <r>
          <rPr>
            <sz val="9"/>
            <color indexed="81"/>
            <rFont val="Tahoma"/>
            <family val="2"/>
          </rPr>
          <t xml:space="preserve">617 E: 2 Baterias para suministro electricidad casa del campo. 
Pagada con VISA ALF el 17/12/25 
Cargado Caixa el 05/01/26
--------------------------------
</t>
        </r>
      </text>
    </comment>
    <comment ref="B46" authorId="1" shapeId="0" xr:uid="{D4AC6313-AD4C-4990-9A5C-7B88046E9CE2}">
      <text>
        <r>
          <rPr>
            <u/>
            <sz val="9"/>
            <color indexed="81"/>
            <rFont val="Tahoma"/>
            <family val="2"/>
          </rPr>
          <t xml:space="preserve">Junta de Andalucía (derechos comprados a Antonio)
</t>
        </r>
        <r>
          <rPr>
            <sz val="9"/>
            <color indexed="81"/>
            <rFont val="Tahoma"/>
            <family val="2"/>
          </rPr>
          <t>Entidad gestora: Tobias Romero o Rendimiento Verde¿?
Cantidad concedida: pendiente de dotación presupuestaria hace dos años
Previsión 20/21: 4800
Fecha de presentación estimada:
Fecha de pagos: sin concretar
Periocidad: cada varios años</t>
        </r>
      </text>
    </comment>
    <comment ref="BZ46" authorId="0" shapeId="0" xr:uid="{E4E63136-D8D8-4F7B-85E4-5ED4CEF80DA5}">
      <text>
        <r>
          <rPr>
            <b/>
            <sz val="9"/>
            <color indexed="81"/>
            <rFont val="Tahoma"/>
            <family val="2"/>
          </rPr>
          <t>Pago basico fondo de garantia agrario andaluz. 
Cargado: 07/10/23.</t>
        </r>
      </text>
    </comment>
    <comment ref="BY47" authorId="0" shapeId="0" xr:uid="{159832FF-580A-4932-AC71-D0A95F46CBD3}">
      <text>
        <r>
          <rPr>
            <sz val="9"/>
            <color indexed="81"/>
            <rFont val="Tahoma"/>
            <family val="2"/>
          </rPr>
          <t xml:space="preserve">
</t>
        </r>
        <r>
          <rPr>
            <b/>
            <sz val="9"/>
            <color indexed="81"/>
            <rFont val="Tahoma"/>
            <family val="2"/>
          </rPr>
          <t>Fra Jesus marcelo del 31/08/23.</t>
        </r>
        <r>
          <rPr>
            <sz val="9"/>
            <color indexed="81"/>
            <rFont val="Tahoma"/>
            <family val="2"/>
          </rPr>
          <t xml:space="preserve">
2.186,00€: Trabajos Jesus Marcelo. 
Desbroce de 6,21 Has de superficie x 290,92 Eur/ha= 1.806,61 +iva 
Transferencia realizada el 07/09/23.</t>
        </r>
      </text>
    </comment>
    <comment ref="BZ47" authorId="0" shapeId="0" xr:uid="{557B8FF4-501A-4BBA-9A27-BCEF6D1FB13D}">
      <text>
        <r>
          <rPr>
            <sz val="9"/>
            <color indexed="81"/>
            <rFont val="Tahoma"/>
            <family val="2"/>
          </rPr>
          <t xml:space="preserve">15.050,83€: Prevision Fra Javier Pombero. 
Fra del 10/07/23 javier pombero.
Transferencia realizada el 11/10/23.
</t>
        </r>
      </text>
    </comment>
    <comment ref="CA47" authorId="0" shapeId="0" xr:uid="{9F54CD04-2F57-4C82-AA31-7FE28A8A54B5}">
      <text>
        <r>
          <rPr>
            <sz val="9"/>
            <color indexed="81"/>
            <rFont val="Tahoma"/>
            <family val="2"/>
          </rPr>
          <t xml:space="preserve">
</t>
        </r>
        <r>
          <rPr>
            <b/>
            <sz val="9"/>
            <color indexed="81"/>
            <rFont val="Tahoma"/>
            <family val="2"/>
          </rPr>
          <t>Fra Jesus marcelo del 30/11/23.</t>
        </r>
        <r>
          <rPr>
            <sz val="9"/>
            <color indexed="81"/>
            <rFont val="Tahoma"/>
            <family val="2"/>
          </rPr>
          <t xml:space="preserve">
7.635,16€: Trabajos Jesus Marcelo. 
Desbroce de 21,69 Has de superficie x 290,92 Eur/ha= 6.310,05 +iva 
Transferencia realizada el 30/11/23.</t>
        </r>
      </text>
    </comment>
    <comment ref="CB47" authorId="0" shapeId="0" xr:uid="{C66E60E3-18B2-4EE9-805C-8C20DBF1FB65}">
      <text>
        <r>
          <rPr>
            <b/>
            <sz val="9"/>
            <color indexed="81"/>
            <rFont val="Tahoma"/>
            <family val="2"/>
          </rPr>
          <t>Fra Jesus marcelo del 04/12/23.</t>
        </r>
        <r>
          <rPr>
            <sz val="9"/>
            <color indexed="81"/>
            <rFont val="Tahoma"/>
            <family val="2"/>
          </rPr>
          <t xml:space="preserve">
29.218,78€: Trabajos Jesus Marcelo. 
Desbroce de 60,79 Has de superficie x 290,92 Eur/ha= 17.685,03 +iva + Mano obra de densificación 6.462,72€ 
29.218,78€: Transferencia realizada el 05/12/23.
</t>
        </r>
        <r>
          <rPr>
            <i/>
            <sz val="9"/>
            <color indexed="81"/>
            <rFont val="Tahoma"/>
            <family val="2"/>
          </rPr>
          <t xml:space="preserve">De este importe:
• 20.910 Eur + 21% de iva + 450 +21 % de iva, corresponden a compra de semilla de Cereales Mendez (adjuntas) que les paga Jesús Marcelo
</t>
        </r>
        <r>
          <rPr>
            <b/>
            <sz val="9"/>
            <color indexed="81"/>
            <rFont val="Tahoma"/>
            <family val="2"/>
          </rPr>
          <t>FACTURA 97 del 18/12/23 de NC a NA: 25.845,60€
Pndte abono Caixa
20.000€: Abonado Caixa el 20/12/23 
5.845,60€: Abonado Caixa por el total 16.931,25€ el 20/12/23</t>
        </r>
        <r>
          <rPr>
            <i/>
            <sz val="9"/>
            <color indexed="81"/>
            <rFont val="Tahoma"/>
            <family val="2"/>
          </rPr>
          <t xml:space="preserve">
• 2.787,75 + 21% de iva, corresponde a anticipo a Jesus Marcelo por trabajos de reforestación
---------------------------------------
</t>
        </r>
        <r>
          <rPr>
            <b/>
            <sz val="9"/>
            <color indexed="81"/>
            <rFont val="Tahoma"/>
            <family val="2"/>
          </rPr>
          <t>Fra Jesus marcelo del 29/12/23.</t>
        </r>
        <r>
          <rPr>
            <sz val="9"/>
            <color indexed="81"/>
            <rFont val="Tahoma"/>
            <family val="2"/>
          </rPr>
          <t xml:space="preserve">
5.350,62€: Cajas de nido (402*11€/ud)=4.422€+iva
5.350,62€: Transferencia realizada el 29/12/23.</t>
        </r>
        <r>
          <rPr>
            <i/>
            <sz val="9"/>
            <color indexed="81"/>
            <rFont val="Tahoma"/>
            <family val="2"/>
          </rPr>
          <t xml:space="preserve">
</t>
        </r>
      </text>
    </comment>
    <comment ref="CC47" authorId="1" shapeId="0" xr:uid="{F174AA6B-275D-4AF9-B3C4-27575D3ABE4F}">
      <text>
        <r>
          <rPr>
            <b/>
            <sz val="9"/>
            <color indexed="81"/>
            <rFont val="Tahoma"/>
            <family val="2"/>
          </rPr>
          <t>Turbepal: 
Fra 00‐000028/2024 (19/01/24):</t>
        </r>
        <r>
          <rPr>
            <sz val="9"/>
            <color indexed="81"/>
            <rFont val="Tahoma"/>
            <family val="2"/>
          </rPr>
          <t xml:space="preserve">
720€+IVA10%=792€: Encinas
360€+IVA10%=396€: Algarrobo
215€+IVA21%=260,15€ Gastos envío
1.448,15€: Vcmto 20/01/24
19/01/24: Ok Alf realizar el pago la semana del 22/01/24
Transferencia realizada el 26/01/24  
--------------------------------------
</t>
        </r>
        <r>
          <rPr>
            <b/>
            <sz val="9"/>
            <color indexed="81"/>
            <rFont val="Tahoma"/>
            <family val="2"/>
          </rPr>
          <t>Carpinteria metálica Javier Pombero:</t>
        </r>
        <r>
          <rPr>
            <sz val="9"/>
            <color indexed="81"/>
            <rFont val="Tahoma"/>
            <family val="2"/>
          </rPr>
          <t xml:space="preserve">
Compra de 2800 corrugados de 16 mm a 2,4 metros y 750 jaulas para reforestación.
2800x2,95 + 750x6,6 = 13.210 eur +iva = 15.984,10 Eur
24/01/24: Info ALF: Pagamos ya el 50% para que nos lo sirvan. 
7.992,05€: Transferencia Caixa realizada el 24/01/24
</t>
        </r>
      </text>
    </comment>
    <comment ref="CD47" authorId="1" shapeId="0" xr:uid="{35BE800B-C240-4347-91DD-0E67E65B7D69}">
      <text>
        <r>
          <rPr>
            <b/>
            <sz val="9"/>
            <color indexed="81"/>
            <rFont val="Tahoma"/>
            <family val="2"/>
          </rPr>
          <t>Fortetub-Microflora: 
Fra 1-000109 (19/02/24):
Ppto 000075 (12/02/24):</t>
        </r>
        <r>
          <rPr>
            <sz val="9"/>
            <color indexed="81"/>
            <rFont val="Tahoma"/>
            <family val="2"/>
          </rPr>
          <t xml:space="preserve">
1.310,40€+IVA10%=1.441,44€:Tubo invernadero
611€+IVA21%=739, 31€ Tutor Bambú
12/02/24: Ok Alf realizar el pago 2.180,75€: Transferencia realizada el 12/02/24  
---------------------------------------------------
Salarios enero reforestacion en contratacion directa. 
No pagar de cuenta de reforestación.
2 Peones forestales en Régimen Agricola
Estrella Martinez Martinez 800,01 Eur netos
Transferencia Caixa MDZ realizada el 29/02/24
Juan Carlos Jimenez Martinez 896 Eur netos
Transferencia Caixa MDZ realizada el 29/02/24
</t>
        </r>
        <r>
          <rPr>
            <b/>
            <sz val="9"/>
            <color indexed="81"/>
            <rFont val="Tahoma"/>
            <family val="2"/>
          </rPr>
          <t>Manuel Jimenez 800 Eur en efectivo (Pasamos al Excel de NA, Ok Alf 29/02/24)</t>
        </r>
        <r>
          <rPr>
            <sz val="9"/>
            <color indexed="81"/>
            <rFont val="Tahoma"/>
            <family val="2"/>
          </rPr>
          <t xml:space="preserve">
Jaime Martin 1020,01 Eur netos
Transferencia Caixa MDZ realizada el 29/02/24
Peón de limpieza o mantenimiento en Régimen General
Miguel Vazquez Marín 800,05 Eur netos
Transferencia Caixa MDZ realizada el 29/02/24</t>
        </r>
      </text>
    </comment>
    <comment ref="CE47" authorId="0" shapeId="0" xr:uid="{56774C76-BEFF-4542-961E-52909A3B0062}">
      <text>
        <r>
          <rPr>
            <b/>
            <sz val="9"/>
            <color indexed="81"/>
            <rFont val="Tahoma"/>
            <family val="2"/>
          </rPr>
          <t>Fra del 02/04/24
656,15 €</t>
        </r>
        <r>
          <rPr>
            <sz val="9"/>
            <color indexed="81"/>
            <rFont val="Tahoma"/>
            <family val="2"/>
          </rPr>
          <t xml:space="preserve"> Pago presupuesto Viveros Sierra Norte.
Transferencia realizada el 22/03/24.
---------------------------------
Salarios Marzo reforestacion en contratacion directa. 
No pagar de cuenta de reforestación.
2 peones forestales en Régimen Agricola:
*Estrella Martinez Martinez 725,01 Eur netos
  Transferencia Caixa MDZ realizada el 26/03/24
*Juan Carlos Jimenez Martinez 815,01 Eur netos
  Transferencia Caixa MDZ realizada el 26/03/24
1 peón de limpieza o mantenimiento en Régimen General:
*Miguel Vazquez Marín 675,00 Eur netos
  Transferencia Caixa MDZ realizada el 26/03/24
Jaime Martin 1097,01 Eur netos
Transferencia Caixa MDZ realizada el 26/03/24</t>
        </r>
      </text>
    </comment>
    <comment ref="CF47" authorId="0" shapeId="0" xr:uid="{08B96375-A410-485F-A470-DCF2D1B49A86}">
      <text>
        <r>
          <rPr>
            <sz val="9"/>
            <color indexed="81"/>
            <rFont val="Tahoma"/>
            <family val="2"/>
          </rPr>
          <t>Salarios Abril reforestacion en contratacion directa. 
No pagar de cuenta de reforestación.
3 peones forestales en Régimen Agricola:
*Estrella Martinez Martinez 900,01 Eur netos
  Transferencia Caixa MDZ realizada el 29/04/24
*Juan Carlos Jimenez Martinez 1070 Eur netos
  Transferencia Caixa MDZ realizada el 29/04/24
*Juan José Martinez Campos 650 Eur netos
  Transferencia Caixa MDZ realizada el 29/04/24
1 peón de limpieza o mantenimiento en Régimen General:
*Miguel Vazquez Marín 950,01 Eur netos
  Transferencia Caixa MDZ realizada el 29/04/24
Jaime Martin 387,72+773,85 Eur netos = 1161,57
Transferencia Caixa MDZ realizada el 29/04/24
-------------------------------------------------------
Fra del 15/04/24
179,52 € Pago Fra Viveros Sierra Norte.
Transferencia realizada el 22/04/24.
---------------------------------------------------</t>
        </r>
      </text>
    </comment>
    <comment ref="CG47" authorId="2" shapeId="0" xr:uid="{EC75CBD8-98DD-4F3B-BCD5-31A03ED94F47}">
      <text>
        <r>
          <rPr>
            <sz val="9"/>
            <color indexed="81"/>
            <rFont val="Tahoma"/>
            <family val="2"/>
          </rPr>
          <t xml:space="preserve">Salarios Mayo reforestacion en contratacion directa. 
No pagar de cuenta de reforestación.
3 peones forestales en Régimen Agricola:
*Estrella Martinez Martinez 404,66 Eur netos
Transferencia Caixa MDZ realizada el 24/05/24
*Juan Carlos Jimenez Martinez 509,46 Eur netos
Transferencia Caixa MDZ realizada el 24/05/24
*Juan José Martinez Campos 404,66 Eur netos
Transferencia Caixa MDZ realizada el 24/05/24
1 peón de limpieza o mantenimiento en Régimen General:
*Miguel Vazquez Marín 205,00 Eur netos
Transferencia Caixa MDZ realizada 24/05/24
</t>
        </r>
      </text>
    </comment>
    <comment ref="CI47" authorId="1" shapeId="0" xr:uid="{D437C0A3-BC50-4308-BC3A-B2A93976D854}">
      <text>
        <r>
          <rPr>
            <b/>
            <sz val="9"/>
            <color indexed="81"/>
            <rFont val="Tahoma"/>
            <family val="2"/>
          </rPr>
          <t>Carpinteria metálica Javier Pombero:</t>
        </r>
        <r>
          <rPr>
            <sz val="9"/>
            <color indexed="81"/>
            <rFont val="Tahoma"/>
            <family val="2"/>
          </rPr>
          <t xml:space="preserve">
Compra de 2800 corrugados de 16 mm a 2,4 metros y 750 jaulas para reforestación.
2800x2,95 + 750x6,6 = 13.210 eur +iva = 15.984,10 Eur
24/01/24: Info ALF: Pagamos ya el 50% para que nos lo sirvan. 
7.992,05€: Transferencia Caixa realizada el 24/01/24
16.601,20€: OK ALF fra final
Fra del 24/01/24
-7992,05€: Pagados el 24/01/24
8.609,15€: Transferencia Caixa realizada el 15/03/24
Vencimiento: 10/07/24
Cargado Caixa REFO:10/07/27</t>
        </r>
      </text>
    </comment>
    <comment ref="CJ47" authorId="2" shapeId="0" xr:uid="{9F27F008-9103-4DA3-9D1C-8CD4AC065227}">
      <text>
        <r>
          <rPr>
            <b/>
            <sz val="9"/>
            <color indexed="81"/>
            <rFont val="Tahoma"/>
            <family val="2"/>
          </rPr>
          <t xml:space="preserve">Fortetub-Microflora: 
Fra: 000212 (15/04/24):
</t>
        </r>
        <r>
          <rPr>
            <sz val="9"/>
            <color indexed="81"/>
            <rFont val="Tahoma"/>
            <family val="2"/>
          </rPr>
          <t>Ppto 000170 (15/04/24):
640,64€:Tubo invernadero
16/04/24: Ok Alf realizar el pago 640,64€: Transferencia realizada el 16/04/24  desde Cta REFO
Vencimiento: 09/08/24
----------------------------------</t>
        </r>
        <r>
          <rPr>
            <b/>
            <sz val="9"/>
            <color indexed="81"/>
            <rFont val="Tahoma"/>
            <family val="2"/>
          </rPr>
          <t xml:space="preserve">
Fortetub-Microflora: 
Fra: 000214 (16/04/24):</t>
        </r>
        <r>
          <rPr>
            <sz val="9"/>
            <color indexed="81"/>
            <rFont val="Tahoma"/>
            <family val="2"/>
          </rPr>
          <t xml:space="preserve">
Ppto 000171 (16/04/24):
312,79€ Tutor Bambú
16/04/24: Ok Alf realizar el pago 312,79€: Transferencia realizada el 16/04/24  desde Cta REFO
Vencimiento: 09/08/24
--------------------------------------
</t>
        </r>
      </text>
    </comment>
    <comment ref="CL47" authorId="0" shapeId="0" xr:uid="{57725ED5-F3DC-481F-9148-E7AAC8A13D1D}">
      <text>
        <r>
          <rPr>
            <sz val="9"/>
            <color indexed="81"/>
            <rFont val="Tahoma"/>
            <family val="2"/>
          </rPr>
          <t xml:space="preserve">-----------------------------------
</t>
        </r>
        <r>
          <rPr>
            <b/>
            <sz val="9"/>
            <color indexed="81"/>
            <rFont val="Tahoma"/>
            <family val="2"/>
          </rPr>
          <t>Fra Viveros forestales La dehesa del 15/11/22.</t>
        </r>
        <r>
          <rPr>
            <sz val="9"/>
            <color indexed="81"/>
            <rFont val="Tahoma"/>
            <family val="2"/>
          </rPr>
          <t xml:space="preserve">
Plantas: 4.873,13€. 
Pendiente realizar transferencia.  
-----------------------------------------------
</t>
        </r>
        <r>
          <rPr>
            <b/>
            <sz val="9"/>
            <color indexed="81"/>
            <rFont val="Tahoma"/>
            <family val="2"/>
          </rPr>
          <t>Fra Viveros forestales La dehesa del 06/07/22.</t>
        </r>
        <r>
          <rPr>
            <sz val="9"/>
            <color indexed="81"/>
            <rFont val="Tahoma"/>
            <family val="2"/>
          </rPr>
          <t xml:space="preserve">
Plantas: 1.666,17€. 
Pendiente realizar transferencia.  
-----------------------------------------------
</t>
        </r>
        <r>
          <rPr>
            <b/>
            <sz val="9"/>
            <color indexed="81"/>
            <rFont val="Tahoma"/>
            <family val="2"/>
          </rPr>
          <t>Fra Viveros forestales La dehesa del 06/07/22.</t>
        </r>
        <r>
          <rPr>
            <sz val="9"/>
            <color indexed="81"/>
            <rFont val="Tahoma"/>
            <family val="2"/>
          </rPr>
          <t xml:space="preserve">
Plantas: 4.277,79€. 
Pendiente realizar transferencia.  
-----------------------------------------------
</t>
        </r>
      </text>
    </comment>
    <comment ref="CM47" authorId="2" shapeId="0" xr:uid="{32E79EE4-E6F8-4174-B433-84C454811C9E}">
      <text>
        <r>
          <rPr>
            <b/>
            <sz val="9"/>
            <color indexed="81"/>
            <rFont val="Tahoma"/>
            <family val="2"/>
          </rPr>
          <t xml:space="preserve">Fra Carpinteria Javier Pombero
</t>
        </r>
        <r>
          <rPr>
            <sz val="9"/>
            <color indexed="81"/>
            <rFont val="Tahoma"/>
            <family val="2"/>
          </rPr>
          <t xml:space="preserve">Fra del 25/04/24.
Corrugados: 5.380,87€. 
OK ALF transferencia a realizar
5.380,87€: Transferencia realizada el 23/05/24
Vencimiento: 20/09/24
Cargado Caixa REFO:
--------------------------------
</t>
        </r>
      </text>
    </comment>
    <comment ref="CN47" authorId="1" shapeId="0" xr:uid="{BB83F2CB-93B1-47F7-9130-A3B63CBCB314}">
      <text>
        <r>
          <rPr>
            <b/>
            <sz val="9"/>
            <color indexed="81"/>
            <rFont val="Tahoma"/>
            <family val="2"/>
          </rPr>
          <t>Fra 000062 (14/05/24):
Carpinteria metálica Javier Pombero:</t>
        </r>
        <r>
          <rPr>
            <sz val="9"/>
            <color indexed="81"/>
            <rFont val="Tahoma"/>
            <family val="2"/>
          </rPr>
          <t xml:space="preserve">
Compra de 1000 corrugados de 16 mm a 2,4 metros,  650 jaulas y 5 rollos de alambre de atar,  para reforestación.
7430 eur +iva = 8990,30 Eur
OK Alf realizar transf. Caixa: 24/06/24 y financiar
8.990,30 E: Transferencia Caixa realizada el 24/06/24
Vencimiento: 22/10/24
Cargado Caixa 1117: 22/10/24
</t>
        </r>
      </text>
    </comment>
    <comment ref="DJ47" authorId="4" shapeId="0" xr:uid="{B00C40BE-DF0A-4379-9345-C9E5FE94D674}">
      <text>
        <r>
          <rPr>
            <b/>
            <sz val="9"/>
            <color indexed="81"/>
            <rFont val="Tahoma"/>
            <family val="2"/>
          </rPr>
          <t>Alfonso Carmona:</t>
        </r>
        <r>
          <rPr>
            <sz val="9"/>
            <color indexed="81"/>
            <rFont val="Tahoma"/>
            <family val="2"/>
          </rPr>
          <t xml:space="preserve">
gastos de gestión de Rendimiento Verde y/o agroforestalacebo, que no lo tengo claro. Ver con cada gestoría.
Alberto cree q a Rendimiento verde se le pago al irnos con Agroforestal
El total debe ser el 8%, 5% agro y 3% RM. Averiguar
</t>
        </r>
        <r>
          <rPr>
            <b/>
            <sz val="9"/>
            <color indexed="81"/>
            <rFont val="Tahoma"/>
            <family val="2"/>
          </rPr>
          <t>Info ALF 17/01/25:</t>
        </r>
        <r>
          <rPr>
            <sz val="9"/>
            <color indexed="81"/>
            <rFont val="Tahoma"/>
            <family val="2"/>
          </rPr>
          <t xml:space="preserve">
Pues bien, a R. Verde se le pagó ya su 5% y solo está pendiente el 3% s/177331 a Agroforestal Acebo, es son 6.437,12 (IVA incl..) y 400 euros + IVA de fijo, a pagar de la siguiente forma:
400 euros + IVA que ya se pagó 
2000 en Febrero (a certificación) no pagada aún
Resto el 31/8/25 (a cobro subvención)
</t>
        </r>
      </text>
    </comment>
    <comment ref="CO48" authorId="4" shapeId="0" xr:uid="{C1099232-8E84-49E6-872D-1AB8EEF1D47E}">
      <text>
        <r>
          <rPr>
            <b/>
            <sz val="9"/>
            <color indexed="81"/>
            <rFont val="Tahoma"/>
            <family val="2"/>
          </rPr>
          <t>Alfonso Carmona:</t>
        </r>
        <r>
          <rPr>
            <sz val="9"/>
            <color indexed="81"/>
            <rFont val="Tahoma"/>
            <family val="2"/>
          </rPr>
          <t xml:space="preserve">
Salarios Noviembre reforestacion en contratacion directa. 
No pagar de cuenta de reforestación.
3 peones forestales en Régimen Agricola:
*Estrella Martinez Martinez 650,02 Eur netos
Transf. Caixa 3116 realizada el 27/11/24
*Juan Carlos Jimenez Martinez 694,05 Eur netos
Transf. Caixa 3116 realizada el 27/11/24
*Juan José Martinez Campos 764,02 Eur netos
Transf. Caixa 3116 realizada el 27/11/24
</t>
        </r>
      </text>
    </comment>
    <comment ref="CP48" authorId="4" shapeId="0" xr:uid="{2E1E9197-956A-4F4B-BC14-6A3D336250E2}">
      <text>
        <r>
          <rPr>
            <b/>
            <sz val="9"/>
            <color indexed="81"/>
            <rFont val="Tahoma"/>
            <family val="2"/>
          </rPr>
          <t>Alfonso Carmona:</t>
        </r>
        <r>
          <rPr>
            <sz val="9"/>
            <color indexed="81"/>
            <rFont val="Tahoma"/>
            <family val="2"/>
          </rPr>
          <t xml:space="preserve">
Salarios Diciembre reforestacion en contratacion directa. 
No pagar de cuenta de reforestación.
3 peones forestales en Régimen Agricola:
*Estrella Martinez Martinez 700,02 Eur netos
Transf. Caixa 3116 realizada el 27/12/24
*Juan Carlos Jimenez Martinez 869 Eur netos
Transf. Caixa 3116 realizada el 27/12/24
*Juan José Martinez Campos 800 Eur netos
Transf. Caixa 3116 realizada el 27/12/24
</t>
        </r>
      </text>
    </comment>
    <comment ref="CQ48" authorId="0" shapeId="0" xr:uid="{17A9CF80-4EA8-46E1-93CD-C97E7BDEF117}">
      <text>
        <r>
          <rPr>
            <b/>
            <sz val="9"/>
            <color indexed="81"/>
            <rFont val="Tahoma"/>
            <family val="2"/>
          </rPr>
          <t>Info Alfonso 19/11/24:</t>
        </r>
        <r>
          <rPr>
            <sz val="9"/>
            <color indexed="81"/>
            <rFont val="Tahoma"/>
            <family val="2"/>
          </rPr>
          <t xml:space="preserve"> Ponerlo devuelto al mes después del cargo en Caixa a vencimiento, para que se neutralice en tesorería, pues debemos recibir financiación y no debe suponer una salida sin compensar
</t>
        </r>
        <r>
          <rPr>
            <b/>
            <sz val="9"/>
            <color indexed="81"/>
            <rFont val="Tahoma"/>
            <family val="2"/>
          </rPr>
          <t>Info Alfonso 17/01/25:</t>
        </r>
        <r>
          <rPr>
            <sz val="9"/>
            <color indexed="81"/>
            <rFont val="Tahoma"/>
            <family val="2"/>
          </rPr>
          <t xml:space="preserve">
Hierros Arroyo me dice que transfiere a NC sobre la marcha, así que ponlo en el mes de enero.
19,209,96€: Ingresado en Caixa: 21/01/25
--------------------------------------
</t>
        </r>
        <r>
          <rPr>
            <b/>
            <sz val="9"/>
            <color indexed="81"/>
            <rFont val="Tahoma"/>
            <family val="2"/>
          </rPr>
          <t>Fra 2501 Foskito Solutions del 16/01/25.</t>
        </r>
        <r>
          <rPr>
            <sz val="9"/>
            <color indexed="81"/>
            <rFont val="Tahoma"/>
            <family val="2"/>
          </rPr>
          <t xml:space="preserve">
41.578,55€: Trabajos densificación S01 y S03 REFO
</t>
        </r>
        <r>
          <rPr>
            <b/>
            <sz val="9"/>
            <color indexed="81"/>
            <rFont val="Tahoma"/>
            <family val="2"/>
          </rPr>
          <t>1º pago 30.000€: 16/01/25 15.000€+15.000€: Transferencias realizadas desde Cta REFO el 16/01/25</t>
        </r>
        <r>
          <rPr>
            <sz val="9"/>
            <color indexed="81"/>
            <rFont val="Tahoma"/>
            <family val="2"/>
          </rPr>
          <t xml:space="preserve">
2º pago 11.578,55€: 15/02/25
-------------------------------------
Salarios Enero reforestacion en contratacion directa. 
No pagar de cuenta de reforestación.
3 peones forestales en Régimen Agricola:
*Estrella Martinez Martinez 244,27 Eur netos
Transf. Caixa 3116 realizada el 29/01/25
*Juan Carlos Jimenez Martinez 244,27 Eur netos
Transf. Caixa 3116 realizada el 29/01/25
*Juan José Martinez Campos 244,27 Eur netos
Transf. Caixa 3116 realizada el 29/01/25
</t>
        </r>
      </text>
    </comment>
    <comment ref="CR48" authorId="0" shapeId="0" xr:uid="{0C6CFA76-762C-462D-8404-0FF60FA0AEE4}">
      <text>
        <r>
          <rPr>
            <b/>
            <sz val="9"/>
            <color indexed="81"/>
            <rFont val="Tahoma"/>
            <family val="2"/>
          </rPr>
          <t>Fra 2501 Foskito Solutions del 16/01/25.</t>
        </r>
        <r>
          <rPr>
            <sz val="9"/>
            <color indexed="81"/>
            <rFont val="Tahoma"/>
            <family val="2"/>
          </rPr>
          <t xml:space="preserve">
41.578,55€: Trabajos densificación S01 y S03 REFO
1º pago 30.000€: 16/01/25 15.000€+15.000€: Transferencias realizadas desde Cta REFO el 16/01/25
2º pago 11.578,55€ a realizar el: 15/02/25
OK ALF pagar 7500€ el 05/02 y resto 15/02/25
7.500€: Transferencia realizada desde Cta REFO el 05/02/25
4.078,55€: Transferencia a realizar el: 15/02/25
Transferencia realizada desde Cta REFO el 14/02/25
--------------------------------------------------
</t>
        </r>
        <r>
          <rPr>
            <b/>
            <sz val="9"/>
            <color indexed="81"/>
            <rFont val="Tahoma"/>
            <family val="2"/>
          </rPr>
          <t>Fra 2502 Foskito Solutions del 04/02/25.</t>
        </r>
        <r>
          <rPr>
            <sz val="9"/>
            <color indexed="81"/>
            <rFont val="Tahoma"/>
            <family val="2"/>
          </rPr>
          <t xml:space="preserve">
5.615,72€: Encalado de Quercíeneas adultas S01 y S03 REFO
5.615,72€: Vcmto: 10/02/25 OK ALF pagar el 15/02/25
Transferencia realizada desde Cta REFO el 14/02/25
------------------------------------------
</t>
        </r>
        <r>
          <rPr>
            <b/>
            <sz val="9"/>
            <color indexed="81"/>
            <rFont val="Tahoma"/>
            <family val="2"/>
          </rPr>
          <t>Fra 2503 Foskito Solutions del 27/02/25.</t>
        </r>
        <r>
          <rPr>
            <sz val="9"/>
            <color indexed="81"/>
            <rFont val="Tahoma"/>
            <family val="2"/>
          </rPr>
          <t xml:space="preserve">
233,53€: Poda sanitaria S04 REFO
233,53€: Vcmto: 05/03/25
Transferencia realizada desde Cta REFO el 14/02/25
</t>
        </r>
      </text>
    </comment>
    <comment ref="CS48" authorId="2" shapeId="0" xr:uid="{085F78D5-76D9-45B7-8426-82BE21AAB4E1}">
      <text>
        <r>
          <rPr>
            <b/>
            <sz val="9"/>
            <color indexed="81"/>
            <rFont val="Tahoma"/>
            <family val="2"/>
          </rPr>
          <t xml:space="preserve">Ppto P/13887 (18/11/24) 
Hierros Román Arroyo S.L
</t>
        </r>
        <r>
          <rPr>
            <sz val="9"/>
            <color indexed="81"/>
            <rFont val="Tahoma"/>
            <family val="2"/>
          </rPr>
          <t xml:space="preserve">Fra pendiente.
19600 Ángulos de 30 mm: 19.209,96€. 
OK ALF transferencia a realizar por financiación
19.209,96€: Transferencia realizada el 19/11/24
Vencimiento: 19/03/25
Cargado Caixa 1117: 19/03/25
</t>
        </r>
        <r>
          <rPr>
            <sz val="9"/>
            <color indexed="81"/>
            <rFont val="Tahoma"/>
            <family val="2"/>
          </rPr>
          <t xml:space="preserve">
</t>
        </r>
      </text>
    </comment>
    <comment ref="CT48" authorId="2" shapeId="0" xr:uid="{1B8FEA87-C481-4B05-9177-3CE37DD518AF}">
      <text>
        <r>
          <rPr>
            <b/>
            <sz val="9"/>
            <color indexed="81"/>
            <rFont val="Tahoma"/>
            <family val="2"/>
          </rPr>
          <t>Fra 2504 Foskito Solutions del 03/04/25.</t>
        </r>
        <r>
          <rPr>
            <sz val="9"/>
            <color indexed="81"/>
            <rFont val="Tahoma"/>
            <family val="2"/>
          </rPr>
          <t xml:space="preserve">
41.578,55€: Trabajos de densificación S01 y S03 REFO
1º pago 30.000€: Vcmto: 03/04/25 
26/03/25: OK ALF pagar 10.000€ y el resto el 03/04/25  
10.000€: Transferencia realizada el 26/03/25-Vencimiento: 24/07/25 
14.000€: Transferencia realizada el 02/04/25-Vencimiento: 31/07/25
6.000€: Transferencia realizada Cta Caixa REFO el 02/04/25
2º pago 11.578,55€: Vcmto: 15/04/25
15/04/25: OK ALF esperar para hacer este pago
</t>
        </r>
      </text>
    </comment>
    <comment ref="CV48" authorId="2" shapeId="0" xr:uid="{560A972F-1BB9-4EFB-AAC0-6613BDB9F38E}">
      <text>
        <r>
          <rPr>
            <b/>
            <sz val="9"/>
            <color indexed="81"/>
            <rFont val="Tahoma"/>
            <family val="2"/>
          </rPr>
          <t>Fra 2505 rectificativa Foskito Solutions del 18/06/25.</t>
        </r>
        <r>
          <rPr>
            <sz val="9"/>
            <color indexed="81"/>
            <rFont val="Tahoma"/>
            <family val="2"/>
          </rPr>
          <t xml:space="preserve">
-2.879,61€: Fra rectificativa Foskito por ajustes
Abonado Cta Caixa REFO: 18/06/25
-------------------------------------------------
</t>
        </r>
      </text>
    </comment>
    <comment ref="CW48" authorId="2" shapeId="0" xr:uid="{107B7998-2A70-4E58-AD1C-BACF84B1BD93}">
      <text>
        <r>
          <rPr>
            <b/>
            <sz val="9"/>
            <color indexed="81"/>
            <rFont val="Tahoma"/>
            <family val="2"/>
          </rPr>
          <t>Fra 2504 Foskito Solutions del 03/04/25.</t>
        </r>
        <r>
          <rPr>
            <sz val="9"/>
            <color indexed="81"/>
            <rFont val="Tahoma"/>
            <family val="2"/>
          </rPr>
          <t xml:space="preserve">
41.578,55€: Trabajos de densificación S01 y S03 REFO
1º pago 30.000€: Vcmto: 03/04/25 
26/03/25: OK ALF pagar 10.000€ y el resto el 03/04/25 
2º pago 11.578,55€: Vcmto: 15/04/25
10.000€: Transferencia realizada el 26/03/25
Vencimiento: 24/07/25
Cargado Caixa REFO: 28/07/25
----------------------------------------
14.000€: Transferencia realizada el 02/04/25
Vencimiento: 31/07/25
Cargado Caixa REFO: 31/07/25
</t>
        </r>
      </text>
    </comment>
    <comment ref="CZ48" authorId="2" shapeId="0" xr:uid="{35183399-9993-4EA6-AA58-255B8B06C6D0}">
      <text>
        <r>
          <rPr>
            <sz val="9"/>
            <color indexed="81"/>
            <rFont val="Tahoma"/>
            <family val="2"/>
          </rPr>
          <t>Fra: PTO-51/2025 (11/02/25):
Info ALF 17/01/24: 
7260 Eur (iva incl.) del Plan tecnico de Ordenación (PTO) de Agroforestal Acebo (total en febrero de 2025)
7.260€: Transf. a realizar desde Cta REFO
Ok ALF 11/02 esperar a pagarla a la recepción de la financiación.</t>
        </r>
      </text>
    </comment>
    <comment ref="DA48" authorId="2" shapeId="0" xr:uid="{79050F3D-8CC2-40C2-A05F-8085711EC7A9}">
      <text>
        <r>
          <rPr>
            <b/>
            <sz val="9"/>
            <color indexed="81"/>
            <rFont val="Tahoma"/>
            <family val="2"/>
          </rPr>
          <t>Fra 2504 Foskito Solutions del 03/04/25.</t>
        </r>
        <r>
          <rPr>
            <sz val="9"/>
            <color indexed="81"/>
            <rFont val="Tahoma"/>
            <family val="2"/>
          </rPr>
          <t xml:space="preserve">
41.578,55€: Trabajos de densificación S01 y S03 REFO
1º pago 30.000€: Vcmto: 03/04/25 
26/03/25: OK ALF pagar 10.000€ y el resto el 03/04/25  
10.000€: Transferencia realizada el 26/03/25-Vencimiento: 24/07/25 
14.000€: Transferencia realizada el 02/04/25-Vencimiento: 31/07/25
6.000€: Transferencia realizada Cta Caixa REFO el 02/04/25
2º pago 11.578,55€: Vcmto: 15/04/25
15/04/25: OK ALF esperar para hacer este pago, pasar a mayo
11.578,55€: Transferencia realizada el 18/06/25
Vencimiento: 17/10/25
Cargado Caixa REFO: 18/10/25
----------------------------------------
</t>
        </r>
      </text>
    </comment>
    <comment ref="DD48" authorId="2" shapeId="0" xr:uid="{74A81398-172C-4133-90BC-5FB13B82B2A6}">
      <text>
        <r>
          <rPr>
            <b/>
            <sz val="9"/>
            <color indexed="81"/>
            <rFont val="Tahoma"/>
            <family val="2"/>
          </rPr>
          <t>Fra 2601 Foskito Solutions del 27/01/26.</t>
        </r>
        <r>
          <rPr>
            <sz val="9"/>
            <color indexed="81"/>
            <rFont val="Tahoma"/>
            <family val="2"/>
          </rPr>
          <t xml:space="preserve">
7.986€: Trabajos de densificación S01 y S03 REFO
1º pago 3.900€: Vcmto: 28/01/26 
Resto pago 4.086€: Vcmto: 15/02/26 
27/01/26: OK ALF pagar ya 3.900€ 
3.900€: Transferencia realizada el 27/01/26
----------------------------------------
</t>
        </r>
      </text>
    </comment>
    <comment ref="DE48" authorId="2" shapeId="0" xr:uid="{45D4677B-767B-44A8-9AC3-C604855FC6B2}">
      <text>
        <r>
          <rPr>
            <b/>
            <sz val="9"/>
            <color indexed="81"/>
            <rFont val="Tahoma"/>
            <family val="2"/>
          </rPr>
          <t>Fra 2601 Foskito Solutions del 27/01/26.</t>
        </r>
        <r>
          <rPr>
            <sz val="9"/>
            <color indexed="81"/>
            <rFont val="Tahoma"/>
            <family val="2"/>
          </rPr>
          <t xml:space="preserve">
7.986€: Trabajos de densificación S01 y S03 REFO
1º pago 3.900€: Vcmto: 28/01/26 
27/01/26: OK ALF pagar ya 3.900€ 
3.900€: Transferencia realizada el 27/01/26
Resto pago 4.086€: Vcmto: 15/02/26
4.086€: Transferencia realizada el 23/02/26
----------------------------------------
</t>
        </r>
      </text>
    </comment>
    <comment ref="DJ48" authorId="2" shapeId="0" xr:uid="{957554B5-6C65-4E9E-9DF2-849DCC4C4B78}">
      <text>
        <r>
          <rPr>
            <sz val="9"/>
            <color indexed="81"/>
            <rFont val="Tahoma"/>
            <family val="2"/>
          </rPr>
          <t xml:space="preserve">Info ALF 17/01/24: 
3.801,82 (iva incl.) de comisión por gestión de la subvención de Agroforestal Acebo (2000 Eur en Abril y resto el 31.12.26)
---------------------------------------
Info ALF 17/01/25:
8328,14 (iva incl.) de comisión por consecución de la subvención de Rendimiento Verde (recibimos proforma, e intentaremos negociarlo, pero de momento ponlo marzo)
Info ALF 03/06/25: "Revisar con disminución de pies de ayuda de 2019 y de 2021”
---------------------------------------
</t>
        </r>
      </text>
    </comment>
    <comment ref="DP48" authorId="2" shapeId="0" xr:uid="{5DB4FE6C-000F-4F6B-9E1E-3D4913B2F857}">
      <text>
        <r>
          <rPr>
            <b/>
            <sz val="9"/>
            <color indexed="81"/>
            <rFont val="Tahoma"/>
            <family val="2"/>
          </rPr>
          <t xml:space="preserve">Info ALF 17/01/24: 
</t>
        </r>
        <r>
          <rPr>
            <sz val="9"/>
            <color indexed="81"/>
            <rFont val="Tahoma"/>
            <family val="2"/>
          </rPr>
          <t xml:space="preserve">3.801,82 (iva incl.) de comisión por gestión de la subvención de Agroforestal Acebo (2000 Eur en Abril 2025 y resto el 31.12.26)
</t>
        </r>
        <r>
          <rPr>
            <b/>
            <sz val="9"/>
            <color indexed="81"/>
            <rFont val="Tahoma"/>
            <family val="2"/>
          </rPr>
          <t xml:space="preserve">Anotar en dic 26
</t>
        </r>
      </text>
    </comment>
    <comment ref="B49" authorId="1" shapeId="0" xr:uid="{05340F53-9729-4FDD-BE6F-4B1B9A72F6DC}">
      <text>
        <r>
          <rPr>
            <u/>
            <sz val="9"/>
            <color indexed="81"/>
            <rFont val="Tahoma"/>
            <family val="2"/>
          </rPr>
          <t xml:space="preserve">Junta de Andalucía (incorporada en la PAC)
</t>
        </r>
        <r>
          <rPr>
            <sz val="9"/>
            <color indexed="81"/>
            <rFont val="Tahoma"/>
            <family val="2"/>
          </rPr>
          <t xml:space="preserve">
Entidad gestora: Caja Rural
Previsión jun 23: 24603,75 de nixal y 19903,52 de Corchas
Fecha de presentación estimada: 30/4 de cada año
Fecha de pagos: ??
Periocidad: Esperádica o única</t>
        </r>
      </text>
    </comment>
    <comment ref="BZ49" authorId="1" shapeId="0" xr:uid="{02970400-9DF7-486C-9299-87F5F415D548}">
      <text>
        <r>
          <rPr>
            <sz val="9"/>
            <color indexed="81"/>
            <rFont val="Tahoma"/>
            <family val="2"/>
          </rPr>
          <t>resolución concedida. 
16643,21 a NC
Abonado Caja Rural: 10/10/23</t>
        </r>
      </text>
    </comment>
    <comment ref="CL49" authorId="1" shapeId="0" xr:uid="{CFF3BA96-AD8F-4436-B2BC-5A7CB0E2A522}">
      <text>
        <r>
          <rPr>
            <b/>
            <sz val="9"/>
            <color indexed="81"/>
            <rFont val="Tahoma"/>
            <family val="2"/>
          </rPr>
          <t>alfonso:</t>
        </r>
        <r>
          <rPr>
            <sz val="9"/>
            <color indexed="81"/>
            <rFont val="Tahoma"/>
            <family val="2"/>
          </rPr>
          <t xml:space="preserve">
Fra ICA Alvarez del 10/01/23. 
Carbonato calcico: 5.093,55€. 
Hacer el pago del 50% de la factura en junio.   
</t>
        </r>
      </text>
    </comment>
    <comment ref="DJ49" authorId="1" shapeId="0" xr:uid="{114BDBC3-1136-4D69-BD7F-DAF7503690BE}">
      <text>
        <r>
          <rPr>
            <sz val="9"/>
            <color indexed="81"/>
            <rFont val="Tahoma"/>
            <family val="2"/>
          </rPr>
          <t>resolución concedida. 
3718,33 a Federico Santa Ana. Descontra de aquí el IBI que ha pagado Federico de la Finca LAS CORCHAS por un total de 400,57€. 
Debe coincidir en fecha con el pago pendiente de 100K a Federico por compra finca</t>
        </r>
      </text>
    </comment>
    <comment ref="CC50" authorId="2" shapeId="0" xr:uid="{6EA933EF-7F03-418B-8CDC-BA38998F5724}">
      <text>
        <r>
          <rPr>
            <b/>
            <sz val="9"/>
            <color indexed="81"/>
            <rFont val="Tahoma"/>
            <family val="2"/>
          </rPr>
          <t>Fra Agrojimenez del 22/11/23.</t>
        </r>
        <r>
          <rPr>
            <sz val="9"/>
            <color indexed="81"/>
            <rFont val="Tahoma"/>
            <family val="2"/>
          </rPr>
          <t xml:space="preserve">
6 Bebederos grandes: 2.250,00€+IVA=2.722,50€. 
Pendiente realizar transferencia. 
Transferencia Caixa realizada el 16/01/24
---------------------------------</t>
        </r>
      </text>
    </comment>
    <comment ref="CG50" authorId="5" shapeId="0" xr:uid="{41D4455E-3F15-4326-A002-EAFD381663DD}">
      <text>
        <r>
          <rPr>
            <sz val="9"/>
            <color indexed="81"/>
            <rFont val="Tahoma"/>
            <family val="2"/>
          </rPr>
          <t xml:space="preserve">Subvención concedida por sequia
-----------------------------------
</t>
        </r>
        <r>
          <rPr>
            <b/>
            <sz val="9"/>
            <color indexed="81"/>
            <rFont val="Tahoma"/>
            <family val="2"/>
          </rPr>
          <t>Fra Rafael Rodriguez Macias del 29/04/23.</t>
        </r>
        <r>
          <rPr>
            <sz val="9"/>
            <color indexed="81"/>
            <rFont val="Tahoma"/>
            <family val="2"/>
          </rPr>
          <t xml:space="preserve">
tuberias polietileno 40mm: 1.334,03€
Transf. Caixa realizada el 21/05/24
-----------------------------------------------
</t>
        </r>
        <r>
          <rPr>
            <b/>
            <sz val="9"/>
            <color indexed="81"/>
            <rFont val="Tahoma"/>
            <family val="2"/>
          </rPr>
          <t xml:space="preserve">Fra Rafael Rodrigez Macias del 11/05/23.
</t>
        </r>
        <r>
          <rPr>
            <sz val="9"/>
            <color indexed="81"/>
            <rFont val="Tahoma"/>
            <family val="2"/>
          </rPr>
          <t xml:space="preserve">tuberias polietileno 40mm: 851,24€ 
Transf. Caixa realizada el 21/05/24
-----------------------------------------------
</t>
        </r>
        <r>
          <rPr>
            <b/>
            <sz val="9"/>
            <color indexed="81"/>
            <rFont val="Tahoma"/>
            <family val="2"/>
          </rPr>
          <t xml:space="preserve">Fra Rafael Rodrigez Macias del 29/05/23. </t>
        </r>
        <r>
          <rPr>
            <sz val="9"/>
            <color indexed="81"/>
            <rFont val="Tahoma"/>
            <family val="2"/>
          </rPr>
          <t xml:space="preserve">
tuberias polietileno 40mm: 1.766€ 
Transf. Caixa realizada el 21/05/24
-----------------------------------------------
</t>
        </r>
        <r>
          <rPr>
            <b/>
            <sz val="9"/>
            <color indexed="81"/>
            <rFont val="Tahoma"/>
            <family val="2"/>
          </rPr>
          <t xml:space="preserve">Fra Rafael Rodrigez Macias del 04/05/24.
</t>
        </r>
        <r>
          <rPr>
            <sz val="9"/>
            <color indexed="81"/>
            <rFont val="Tahoma"/>
            <family val="2"/>
          </rPr>
          <t xml:space="preserve">tuberias polietileno 40mm: 1.804,11€ 
Transf. Caixa realizada el 21/05/24
-----------------------------------------------
</t>
        </r>
      </text>
    </comment>
    <comment ref="CM50" authorId="5" shapeId="0" xr:uid="{FC689443-8C75-4B9C-9964-61CD367D8D09}">
      <text>
        <r>
          <rPr>
            <b/>
            <sz val="9"/>
            <color indexed="81"/>
            <rFont val="Tahoma"/>
            <family val="2"/>
          </rPr>
          <t>Fra De Los Reyes del 20/05/24.</t>
        </r>
        <r>
          <rPr>
            <sz val="9"/>
            <color indexed="81"/>
            <rFont val="Tahoma"/>
            <family val="2"/>
          </rPr>
          <t xml:space="preserve">
Presupusto de dos depositos de De Los Reyes 
3700*2*1,21
Pendiente realizar transferencia cd avise Alfonso.
8.954€: Transf. Caixa realizada el 21/05/24
Vencimiento: 20/09/24
Cargado Caixa 3116:
---------------------------------------------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alfonso</author>
    <author>recepción</author>
    <author>programas4</author>
    <author>Maria</author>
    <author>Alberto Carmona</author>
  </authors>
  <commentList>
    <comment ref="AV6" authorId="0" shapeId="0" xr:uid="{C0DDBE5D-0B5D-496D-8F50-5452A6CCB5EA}">
      <text>
        <r>
          <rPr>
            <b/>
            <sz val="9"/>
            <color indexed="81"/>
            <rFont val="Tahoma"/>
            <family val="2"/>
          </rPr>
          <t xml:space="preserve">309.000 aportado de Nixal
400.000 en hipotecario BBVA
1.200 comision apertura
51568,8 gastos impuestos, registro, ...:
</t>
        </r>
        <r>
          <rPr>
            <sz val="9"/>
            <color indexed="81"/>
            <rFont val="Tahoma"/>
            <family val="2"/>
          </rPr>
          <t>IMPUESTOS    49.630 € 
NOTARIA    750,00 € 
REGISTRO    850,00 € 
OTROS SUPLIDOS    96,80 € 
GESTION +iva   200,00 + 42,00 € 
Cargado el 23/07/21 importe final de 50.818,8€</t>
        </r>
      </text>
    </comment>
    <comment ref="BL6" authorId="1" shapeId="0" xr:uid="{C0D7D978-63C7-4F24-9747-3A6CBF9665FE}">
      <text>
        <r>
          <rPr>
            <sz val="9"/>
            <color indexed="81"/>
            <rFont val="Tahoma"/>
            <family val="2"/>
          </rPr>
          <t xml:space="preserve">Porcelanosa: 
Fra: 2522102612 (30/09/22): 4119,28€
Fra: 2522102474 (16/09/22): 446,49€
Fra Proforma (08/09/22):
4565,77€: Compra
Transf. Caixa realizada el 14/09/22
-------------------------
menROC VII:
Fra: 42 (31/08/22):
12755,05€: Trabajos correspondiente a Certificación nº1
12755,05€: Transf. Caixa realizada el 14/09/22
</t>
        </r>
        <r>
          <rPr>
            <b/>
            <sz val="9"/>
            <color indexed="81"/>
            <rFont val="Tahoma"/>
            <family val="2"/>
          </rPr>
          <t>El importe correcto de esta fra es de 18.805,05€, pndte transferir 6.050€ de esta fra.</t>
        </r>
        <r>
          <rPr>
            <sz val="9"/>
            <color indexed="81"/>
            <rFont val="Tahoma"/>
            <family val="2"/>
          </rPr>
          <t xml:space="preserve">
-----------------------</t>
        </r>
      </text>
    </comment>
    <comment ref="BM6" authorId="1" shapeId="0" xr:uid="{D74A8890-8AA9-4CE9-A02B-067908A9E0DD}">
      <text>
        <r>
          <rPr>
            <sz val="9"/>
            <color indexed="81"/>
            <rFont val="Tahoma"/>
            <family val="2"/>
          </rPr>
          <t xml:space="preserve">Jose Luis Yañez Sempere:
Fra: 43 (17/10/22):
9871,98€: 1º pago a cuenta de suministro e instalación de mobiliario de cocina 
Realizar Transf. Caixa: 26/10/22
Transf. Caixa realizada el 28/10/22
-------------------------------------------
Roca:
Fra: 85/001122 (25/10/22):
2976,75€: Accesorios baño
Realizar Transf. Caixa: 26/10/22
Transf. Caixa realizada el 28/10/22
</t>
        </r>
      </text>
    </comment>
    <comment ref="BN6" authorId="1" shapeId="0" xr:uid="{372EC886-4B76-4CA9-9343-15784074E3F9}">
      <text>
        <r>
          <rPr>
            <sz val="9"/>
            <color indexed="81"/>
            <rFont val="Tahoma"/>
            <family val="2"/>
          </rPr>
          <t xml:space="preserve">menROC VII:
Fra: 51 (11/10/22):
31560,10€: Trabajos correspondiente a Certificación realizada
Realizar Transf. Caixa: 02/11/22
Transf. Caixa realizada el 03/11/22
-------------------------------
menROC VII:
Fra: 42 (31/08/22):
12755,05€: Trabajos correspondiente a Certificación nº1
Transf. Caixa realizada el 14/09/22
</t>
        </r>
        <r>
          <rPr>
            <b/>
            <sz val="9"/>
            <color indexed="81"/>
            <rFont val="Tahoma"/>
            <family val="2"/>
          </rPr>
          <t xml:space="preserve">El importe correcto de esta fra es de 18.805,05€, pndte transferir 6.050€ de esta fra.
</t>
        </r>
        <r>
          <rPr>
            <sz val="9"/>
            <color indexed="81"/>
            <rFont val="Tahoma"/>
            <family val="2"/>
          </rPr>
          <t>6050€</t>
        </r>
        <r>
          <rPr>
            <b/>
            <sz val="9"/>
            <color indexed="81"/>
            <rFont val="Tahoma"/>
            <family val="2"/>
          </rPr>
          <t xml:space="preserve">: </t>
        </r>
        <r>
          <rPr>
            <sz val="9"/>
            <color indexed="81"/>
            <rFont val="Tahoma"/>
            <family val="2"/>
          </rPr>
          <t>Realizar Transf. Caixa: 02/11/22
Transf. Caixa realizada el 02/11/22
------------------------------------------
Jose Luis Yañez Sempere:
Fra: 44 (30/10/22):
1129,08€: 1º pago a cuenta de suministro de revestimiento porcelánico
Transf. Caixa realizada el 10/11/22</t>
        </r>
      </text>
    </comment>
    <comment ref="BO6" authorId="1" shapeId="0" xr:uid="{4A0BAD01-C09F-4331-BBCC-D7BFB5A39458}">
      <text>
        <r>
          <rPr>
            <sz val="9"/>
            <color indexed="81"/>
            <rFont val="Tahoma"/>
            <family val="2"/>
          </rPr>
          <t>menROC VII:
Fra: 56 (14/11/22):
28805,09€: Trabajos correspondiente a Certificación realizada
Transf. Caixa realizada: 02/12/22
-------------------------------
José Castro Fuertes:
Fra: 05/2022 (14/11/22):
1484€: Dirección ejecución obras</t>
        </r>
        <r>
          <rPr>
            <b/>
            <sz val="9"/>
            <color indexed="81"/>
            <rFont val="Tahoma"/>
            <family val="2"/>
          </rPr>
          <t xml:space="preserve">
</t>
        </r>
        <r>
          <rPr>
            <sz val="9"/>
            <color indexed="81"/>
            <rFont val="Tahoma"/>
            <family val="2"/>
          </rPr>
          <t xml:space="preserve">Transf. Caixa realizada: 02/12/22
------------------------------------------
Jose Luis Yañez Sempere:
Fra: 45 (10/11/22):
1463,60€: Resto pago suministro de revestimiento porcelánico
Realizar Transf. Caixa: A final de mes nov
Transf. Caixa realizada: 02/12/22
--------------------------------------------
Jose Luis Yañez Sempere:
Fra: 50 (02/12/22):
2262,51€: Iluminación
Transf. Caixa realizada: 14/12/22
---------------------------------------------
menROC VII:
Fra: 58 (07/12/22):
15148,01€: Trabajos correspondiente a Certificación realizada
Transf. Caixa realizada: 21/12/22
-------------------------------
Aramburu Guzmán: 
Fra 304003793 (10/02/23):
Fra Proforma: 00-OV-2005638 (27/11/22): 
6488,40€: Radiadores irsap
Pagar el 20% del total de la fra proforma
1297,68€: Transf. Caixa realizada el 20/12/22
5190,72€: Resto pndte contra entrega e instalación
-----------------------------
</t>
        </r>
      </text>
    </comment>
    <comment ref="BP6" authorId="2" shapeId="0" xr:uid="{D561B548-7C45-4345-A532-145499E40EF2}">
      <text>
        <r>
          <rPr>
            <sz val="9"/>
            <color indexed="81"/>
            <rFont val="Tahoma"/>
            <family val="2"/>
          </rPr>
          <t xml:space="preserve">menROC VII:
Fra: 1 (12/01/23):
28067,34€: Trabajos correspondiente a Certificación realizada
Realizar Transf. Caixa próxima remesa
Transferencia Caixa realizada el 31/01/23
-------------------------------------------------
Jose Luis Yañez Sempere:
Fra: 1 (03/01/23):
1751,61€: Iluminación 
Transf. Caixa realizada el 25/01/23
----------------------------------------------------------------
Jose Luis Yañez Sempere:
Fra: 4 (26/01/23):
9871,98€: 2º pago a cuenta de suministro e instalación mobiliario cocina 
Realizar Transf. Caixa: 
Transferencia Caixa realizada el 31/01/23
----------------------------------------------------------------
</t>
        </r>
      </text>
    </comment>
    <comment ref="BR6" authorId="2" shapeId="0" xr:uid="{15A4ABA4-BEEE-4750-A18B-FBE29912C791}">
      <text>
        <r>
          <rPr>
            <sz val="9"/>
            <color indexed="81"/>
            <rFont val="Tahoma"/>
            <family val="2"/>
          </rPr>
          <t>Grupo Forma Solidaurface:
Fra 176 (01/06/23): 7.719,80€
Fra Proforma: 017 (06/02/23):
3859,90€: Encimeras y mobiliario de baño (50%)
3859,90€: Transf. Caixa realizada el 01/03/23
-------------------------------------------------
Jose Luis Yañez Sempere:
Fra: 7 (14/02/23):
1374,44€: Iluminación y cambio luces
1374,44€: Transf. Caixa reaizada el 01/03/23
-----------------------------------------------
José Castro Fuertes:
Fra: 02/2023 (02/03/23):
1484€: Dirección ejecución obras 2ª fra
Transf. Caixa realizada el 16/03/23
------------------------------------------
Zona Decor:
Fra: ZD2023/000018 (06/03/23):
3217,34€: Encargo toldos (Fra del 50%)
Transf. Caixa realizada el 16/03/23
------------------------------------------
Zona Decor:
Fra: ZD2023/000026 (27/03/23):
3338,33€: Resto 50% toldos (Fra descontando el 50% pagado al realizar el encargo)
Transf. Caixa realizada el 30/03/23
------------------------------------------
menROC VII:
Fra: 8 (01/03/23):
42096,98€: Trabajos correspondiente a Certificación realizada
Realizar Transf. Caixa próxima remesa
Transf. Caixa realizada el 24/03/23
------------------------------------------------
Aramburu Guzmán: 
Fra 304003793 (10/02/23):
Fra Proforma: 00-OV-2005638 (27/11/22): 
6488,40€: Radiadores irsap
Pndte el 80% del total de la fra proforma
1297,68€: Transf. Caixa realizada el 20/12/22
5190,72€: Resto pndte contra entrega e instalación
Tenemos fra, pndte ok Conchita para pagar
5190,72€: Cargado Caixa: 10/03/23
Ok Conchita fra correcta
----------------------------------------
Jose Luis Yañez Sempere:
Fra: 14 (06/03/23):
6742,80€: Suministro y colocación mobiliario cocina y electrodomésticos
6742,80€: Realizar transf. Caixa
Transf. Caixa realizada el 24/03/23
-------------------------------------
Jose Luis Yañez Sempere:
Fra: 17 (22/03/23):
725,26€: Iluminación
725,26€: Realizar transf. Caixa
Transf. Caixa realizada el 24/03/23
-------------------------------------
SPDecoración:
Fra: 1 230024 (28/03/23):
8242,69€: Enrollables exteriores e interiores 
Transf. Caixa realizada el 30/03/23
----------------------------------</t>
        </r>
      </text>
    </comment>
    <comment ref="BS6" authorId="2" shapeId="0" xr:uid="{438A4CB2-BBD7-4B77-B6C5-9F7CE247ED52}">
      <text>
        <r>
          <rPr>
            <sz val="9"/>
            <color indexed="81"/>
            <rFont val="Tahoma"/>
            <family val="2"/>
          </rPr>
          <t xml:space="preserve">Jose Luis Yañez Sempere:
Fra: 22 (31/03/23):
1639,60€: Iluminación
1639,60€: Realizar transf. Caixa
Próxima remesa pagos
Transf. Caixa realizada el 14/04/23
-------------------------------------
Jose Luis Yañez Sempere:
Fra: 19 (22/03/23):
6388,44€: Pago a cuenta mobiliario (50% sobre 12776,88€)
6388,44€: Realizar transf. Caixa
Próxima remesa pagos
Transf. Caixa realizada el 14/04/23
-------------------------------------
Jose Luis Yañez Sempere:
Fra: 24 (11/04/23):
874,23€: Accesorios baños
874,23€: Realizar transf. Caixa
Próxima remesa pagos
Transf. Caixa realizada el 14/04/23
------------------------------------
Email Alberto 24/11/22: El presupuesto total es de 200.000,00€. El resto lo debemos pagar entre diciembre y febrero. 
70k: reforma a pagar en diciembre.
70k: reforma a pagar en febrero. 
-136484,83€ fras ya pagadas a 07/02/23 (incluida el 80% de Aramburu)
-----------------------------------------------
</t>
        </r>
      </text>
    </comment>
    <comment ref="BT6" authorId="2" shapeId="0" xr:uid="{FCE5D20A-E548-4077-8808-9A8C686104F0}">
      <text>
        <r>
          <rPr>
            <sz val="9"/>
            <color indexed="81"/>
            <rFont val="Tahoma"/>
            <family val="2"/>
          </rPr>
          <t>menROC VII:
Fra: 23 (08/05/23):
17.203,50€: Trabajos correspondientes a certificación realizada (50% sobre 34.406,99€) 
Ok Alberto pagar el 50% y realizar transf en junio del otro 50%
17203,50€: Transf. Caixa realizada el 31/05/23
-----------------------------------------------
Jose Luis Yañez Sempere:
Fra: 28 (05/05/23):
112,23€: Aplique de pared
Ok Alberto, esperar a que se la reclamen
112,23€: Transf. Caixa realizada el 31/05/23
-------------------------------------
Jose Luis Yañez Sempere:
Fra: 30 (23/05/23):
361,79€: Lampara de suspensión
Ok Alberto, pagar que es pequeña
361,79€: Transf. Caixa realizada el 31/05/23</t>
        </r>
      </text>
    </comment>
    <comment ref="BU6" authorId="1" shapeId="0" xr:uid="{95D86B09-0CE4-4024-8CC8-7B936D26B395}">
      <text>
        <r>
          <rPr>
            <sz val="9"/>
            <color indexed="81"/>
            <rFont val="Tahoma"/>
            <family val="2"/>
          </rPr>
          <t xml:space="preserve">Jose Luis Yañez Sempere:
Fra: 27 (05/05/23):
1498,10€: Pago a cuenta 50% pedido mobiliario ll fase
Ok Alberto, esperar a que se la reclamen
1498,10€: Transferencia Caixa realizada el 23/06/23
----------------------------------------------
Reforpinturas- Lorenzo Vázquez Gómez:
Fra: 0063 (31/05/2023):
363€: Limpieza Las Cantera
Transf. Caixa realizada el 06/06/23
------------------------------------------------
</t>
        </r>
      </text>
    </comment>
    <comment ref="BV6" authorId="2" shapeId="0" xr:uid="{B06A7277-41C5-48C5-AA5A-AD07FF003694}">
      <text>
        <r>
          <rPr>
            <sz val="9"/>
            <color indexed="81"/>
            <rFont val="Tahoma"/>
            <family val="2"/>
          </rPr>
          <t xml:space="preserve">Jose Luis Yañez Sempere:
Fra: 32 (21/06/23):
6850,46€: Varios
Ok Alberto, esperar unos días
6850,46€: Transferencia realizada el 19/07/23.
-----------------------------------------------
</t>
        </r>
      </text>
    </comment>
    <comment ref="CA6" authorId="1" shapeId="0" xr:uid="{E4570242-C7A0-401A-BAB6-9A582417D11C}">
      <text>
        <r>
          <rPr>
            <sz val="9"/>
            <color indexed="81"/>
            <rFont val="Tahoma"/>
            <family val="2"/>
          </rPr>
          <t>menROC VII:
Fra: 15 (23/03/23):
1149,50€: Reparación por trabajos afectados de fontaneria ajenos ppto
Ok Alberto realizar transf en junio
Transf. Caixa realizada el 07/11/23</t>
        </r>
        <r>
          <rPr>
            <b/>
            <sz val="9"/>
            <color indexed="81"/>
            <rFont val="Tahoma"/>
            <family val="2"/>
          </rPr>
          <t xml:space="preserve">
---------------------------------
</t>
        </r>
        <r>
          <rPr>
            <sz val="9"/>
            <color indexed="81"/>
            <rFont val="Tahoma"/>
            <family val="2"/>
          </rPr>
          <t>Jose Luis Yañez Sempere:
Fra: 33 (21/06/23):
701,44€: Sofá cama, etc..
Ok Alberto, esperar unos días
701,44€: Transferencia Caixa a realizar
22/11/23: OK Alberto realizar transferencia
Transf. Caixa realizada el 23/11/23</t>
        </r>
        <r>
          <rPr>
            <b/>
            <sz val="9"/>
            <color indexed="81"/>
            <rFont val="Tahoma"/>
            <family val="2"/>
          </rPr>
          <t xml:space="preserve">
---------------------------------
</t>
        </r>
      </text>
    </comment>
    <comment ref="CB6" authorId="1" shapeId="0" xr:uid="{5CAFDB3A-BDE8-4472-A7FE-6E743A2EE7DD}">
      <text>
        <r>
          <rPr>
            <b/>
            <sz val="9"/>
            <color indexed="81"/>
            <rFont val="Tahoma"/>
            <family val="2"/>
          </rPr>
          <t xml:space="preserve">SPDecoración:
</t>
        </r>
        <r>
          <rPr>
            <sz val="9"/>
            <color indexed="81"/>
            <rFont val="Tahoma"/>
            <family val="2"/>
          </rPr>
          <t xml:space="preserve">Fra: 1 230067 (07/07/23):
557,33€: Transferencia Caixa a realizar el 18/12/23
14/12/23: OK Alberto pagar ya
557,33€: Transf. Caixa realizada el 18/12/23
----------------------------------
</t>
        </r>
        <r>
          <rPr>
            <b/>
            <sz val="9"/>
            <color indexed="81"/>
            <rFont val="Tahoma"/>
            <family val="2"/>
          </rPr>
          <t>José Castro Fuertes:</t>
        </r>
        <r>
          <rPr>
            <sz val="9"/>
            <color indexed="81"/>
            <rFont val="Tahoma"/>
            <family val="2"/>
          </rPr>
          <t xml:space="preserve">
Fra: 05/2023 (29/05/23):
902,67€: Dirección ejecución obras 3ª fra
14/12/23: OK Alberto pagar ya
902,67€Transferencia Caixa realizada el 18/12/23
----------------------------
</t>
        </r>
        <r>
          <rPr>
            <b/>
            <sz val="9"/>
            <color indexed="81"/>
            <rFont val="Tahoma"/>
            <family val="2"/>
          </rPr>
          <t>Jose Luis Yañez Sempere:</t>
        </r>
        <r>
          <rPr>
            <sz val="9"/>
            <color indexed="81"/>
            <rFont val="Tahoma"/>
            <family val="2"/>
          </rPr>
          <t xml:space="preserve">
Fra: 34 (13/07/23):
474,32€: Espejo y electrodoméstico
14/12/23: OK Alberto pagar ya
474,32€: Transf. Caixa realizada por el total 990,26€ el 15/12/23
-----------------------------------------------
</t>
        </r>
        <r>
          <rPr>
            <b/>
            <sz val="9"/>
            <color indexed="81"/>
            <rFont val="Tahoma"/>
            <family val="2"/>
          </rPr>
          <t>Jose Luis Yañez Sempere:</t>
        </r>
        <r>
          <rPr>
            <sz val="9"/>
            <color indexed="81"/>
            <rFont val="Tahoma"/>
            <family val="2"/>
          </rPr>
          <t xml:space="preserve">
Fra: 35 (18/07/23):
515,94€: Mesitas noche
14/12/23: OK Alberto pagar ya
515,94€: Transf. Caixa realizada por el total 990,26€ el 15/12/23
------------------------------------------</t>
        </r>
      </text>
    </comment>
    <comment ref="CC6" authorId="1" shapeId="0" xr:uid="{11ACF4AC-DDE6-4D2B-A8CF-C6D9C80ED43F}">
      <text>
        <r>
          <rPr>
            <b/>
            <sz val="9"/>
            <color indexed="81"/>
            <rFont val="Tahoma"/>
            <family val="2"/>
          </rPr>
          <t xml:space="preserve">Fra 1 (05/01/24): 
</t>
        </r>
        <r>
          <rPr>
            <sz val="9"/>
            <color indexed="81"/>
            <rFont val="Tahoma"/>
            <family val="2"/>
          </rPr>
          <t>Fra por el 50% Honorarios arquitecto.
9.833,84+IVA 21%-IRPF 15%= 10.423,87€</t>
        </r>
        <r>
          <rPr>
            <b/>
            <sz val="9"/>
            <color indexed="81"/>
            <rFont val="Tahoma"/>
            <family val="2"/>
          </rPr>
          <t xml:space="preserve">
18/01/24: Ok Alberto pagar 50% en enero y 50% a mitad de febrero
Info Alberto: Queda una segunda fra del mismo importe para pagar en septiembre
</t>
        </r>
        <r>
          <rPr>
            <sz val="9"/>
            <color indexed="81"/>
            <rFont val="Tahoma"/>
            <family val="2"/>
          </rPr>
          <t>Transferencia realizada: 26/01/24</t>
        </r>
      </text>
    </comment>
    <comment ref="CD6" authorId="1" shapeId="0" xr:uid="{64E2A9DF-5A6F-4516-9C4E-3A0603AF5979}">
      <text>
        <r>
          <rPr>
            <b/>
            <sz val="9"/>
            <color indexed="81"/>
            <rFont val="Tahoma"/>
            <family val="2"/>
          </rPr>
          <t>menROC VII:</t>
        </r>
        <r>
          <rPr>
            <sz val="9"/>
            <color indexed="81"/>
            <rFont val="Tahoma"/>
            <family val="2"/>
          </rPr>
          <t xml:space="preserve">
Fra: 23 (08/05/23):
34.406,99€: Trabajos correspondientes a certificación realizada
17203,50€: 50% Transf. Caixa realizada el 31/05/23
3041€: Transf. Caixa realizada el 26/10/23
</t>
        </r>
        <r>
          <rPr>
            <b/>
            <sz val="9"/>
            <color indexed="81"/>
            <rFont val="Tahoma"/>
            <family val="2"/>
          </rPr>
          <t xml:space="preserve">VENCIMIENTO EL 20/02/23.
Cargado Caixa: 20/02/24
</t>
        </r>
        <r>
          <rPr>
            <sz val="9"/>
            <color indexed="81"/>
            <rFont val="Tahoma"/>
            <family val="2"/>
          </rPr>
          <t xml:space="preserve">
14.162,49€: Pndte realizar transferencia
-----------------------------------------------
</t>
        </r>
        <r>
          <rPr>
            <b/>
            <sz val="9"/>
            <color indexed="81"/>
            <rFont val="Tahoma"/>
            <family val="2"/>
          </rPr>
          <t>menROC VII:</t>
        </r>
        <r>
          <rPr>
            <sz val="9"/>
            <color indexed="81"/>
            <rFont val="Tahoma"/>
            <family val="2"/>
          </rPr>
          <t xml:space="preserve">
Fra: 33 (29/06/23):
2788,48€: Trabajos correspondientes a cierre de obra
2788,48€: Transf. Caixa realizada el 26/10/2
</t>
        </r>
        <r>
          <rPr>
            <b/>
            <sz val="9"/>
            <color indexed="81"/>
            <rFont val="Tahoma"/>
            <family val="2"/>
          </rPr>
          <t xml:space="preserve">VENCIMIENTO EL 20/02/24.
Cargado Caixa: 20/02/24
------------------------------------
</t>
        </r>
      </text>
    </comment>
    <comment ref="CH6" authorId="1" shapeId="0" xr:uid="{9A635C0D-9605-421E-988C-A942BD427178}">
      <text>
        <r>
          <rPr>
            <b/>
            <sz val="9"/>
            <color indexed="81"/>
            <rFont val="Tahoma"/>
            <family val="2"/>
          </rPr>
          <t>Grupo Forma Solidaurface:</t>
        </r>
        <r>
          <rPr>
            <sz val="9"/>
            <color indexed="81"/>
            <rFont val="Tahoma"/>
            <family val="2"/>
          </rPr>
          <t xml:space="preserve">
Fra 176 (01/06/23): 7.719,80€:
3859,90€: Encimeras y mobiliario de baño (50% restante)
3859,90€: Transferencia Caixa a realizar
18/01/24: OK Alberto realizar pago a mediados de febrero
3.859,90€: Transf. Caixa realizada el 21/02/24
VENCIMIENTO EL 17/06/24.
Cargado Caixa: 17/06/24
-------------------------------------</t>
        </r>
        <r>
          <rPr>
            <b/>
            <sz val="9"/>
            <color indexed="81"/>
            <rFont val="Tahoma"/>
            <family val="2"/>
          </rPr>
          <t xml:space="preserve">
Fra 1 (05/01/24): 
Fra por el 50% Honorarios arquitecto.</t>
        </r>
        <r>
          <rPr>
            <sz val="9"/>
            <color indexed="81"/>
            <rFont val="Tahoma"/>
            <family val="2"/>
          </rPr>
          <t xml:space="preserve">
9.833,84+IVA 21%-IRPF 15%= 10.423,87€
18/01/24: Ok Alberto pagar 50% en enero y 50% a mitad de febrero
Info Alberto: Queda una segunda fra del mismo importe para pagar en septiembre
5.211,93€: Transf. Caixa realizada el 20/02/24
</t>
        </r>
        <r>
          <rPr>
            <b/>
            <sz val="9"/>
            <color indexed="81"/>
            <rFont val="Tahoma"/>
            <family val="2"/>
          </rPr>
          <t xml:space="preserve">VENCIMIENTO EL 17/06/24.
</t>
        </r>
        <r>
          <rPr>
            <sz val="9"/>
            <color indexed="81"/>
            <rFont val="Tahoma"/>
            <family val="2"/>
          </rPr>
          <t>Cargado Caixa: 17/06/24</t>
        </r>
      </text>
    </comment>
    <comment ref="CI6" authorId="2" shapeId="0" xr:uid="{BB472167-ADBE-4F2E-A4A5-F2B7B9BD3D6A}">
      <text>
        <r>
          <rPr>
            <sz val="9"/>
            <color indexed="81"/>
            <rFont val="Tahoma"/>
            <family val="2"/>
          </rPr>
          <t xml:space="preserve">menROC VII:
Fra: 23 (08/05/23):
34.406,99€: Trabajos correspondientes a certificación realizada
17203,50€: 50% Transf. Caixa realizada el 31/05/23
3041€: Transf. Caixa realizada el 26/10/23
VENCIMIENTO EL 20/02/23.
7081,25€: Transf. Caixa realizada el 03/04/24
</t>
        </r>
        <r>
          <rPr>
            <b/>
            <sz val="9"/>
            <color indexed="81"/>
            <rFont val="Tahoma"/>
            <family val="2"/>
          </rPr>
          <t>VENCIMIENTO EL 29/07/24.</t>
        </r>
        <r>
          <rPr>
            <sz val="9"/>
            <color indexed="81"/>
            <rFont val="Tahoma"/>
            <family val="2"/>
          </rPr>
          <t xml:space="preserve">
7.081,249€: Pndte realizar transferencia
-----------------------------------------------
Pagar en julio mediante financiación la fra de Menroc anotada en noviembre
</t>
        </r>
      </text>
    </comment>
    <comment ref="CO6" authorId="2" shapeId="0" xr:uid="{BD831F3F-02AB-44AB-8F17-C1386EF64676}">
      <text>
        <r>
          <rPr>
            <b/>
            <sz val="9"/>
            <color indexed="81"/>
            <rFont val="Tahoma"/>
            <family val="2"/>
          </rPr>
          <t>menROC VII:</t>
        </r>
        <r>
          <rPr>
            <sz val="9"/>
            <color indexed="81"/>
            <rFont val="Tahoma"/>
            <family val="2"/>
          </rPr>
          <t xml:space="preserve">
Fra: 23 (08/05/23):
34.406,99€: Trabajos correspondientes a certificación realizada
17203,50€: 50% Transf. Caixa realizada el 31/05/23
3041€: Transf. Caixa realizada el 26/10/23
VENCIMIENTO EL 20/02/24.
Cargado Caixa: 20/02/24
7081,25€: Transf. Caixa realizada el 03/04/24
VENCIMIENTO EL 29/07/24.</t>
        </r>
        <r>
          <rPr>
            <b/>
            <sz val="9"/>
            <color indexed="81"/>
            <rFont val="Tahoma"/>
            <family val="2"/>
          </rPr>
          <t xml:space="preserve">
</t>
        </r>
        <r>
          <rPr>
            <sz val="9"/>
            <color indexed="81"/>
            <rFont val="Tahoma"/>
            <family val="2"/>
          </rPr>
          <t xml:space="preserve">7.081,24€: Pndte realizar transferencia
20/06/24: Ok Alberto pagar en julio lo más tardar. Anotado en noviembre pq financiaremos este pago
Transferencia Caixa: 17/07/24
</t>
        </r>
        <r>
          <rPr>
            <b/>
            <sz val="9"/>
            <color indexed="81"/>
            <rFont val="Tahoma"/>
            <family val="2"/>
          </rPr>
          <t>VENCIMIENTO EL 14/11/24.</t>
        </r>
        <r>
          <rPr>
            <sz val="9"/>
            <color indexed="81"/>
            <rFont val="Tahoma"/>
            <family val="2"/>
          </rPr>
          <t xml:space="preserve">
Cargado Caixa: 14/11/24
-----------------------------------------------
Fra 2 (04/06/24): 
</t>
        </r>
        <r>
          <rPr>
            <b/>
            <sz val="9"/>
            <color indexed="81"/>
            <rFont val="Tahoma"/>
            <family val="2"/>
          </rPr>
          <t>Segunda Fra Honorarios arquitecto.</t>
        </r>
        <r>
          <rPr>
            <sz val="9"/>
            <color indexed="81"/>
            <rFont val="Tahoma"/>
            <family val="2"/>
          </rPr>
          <t xml:space="preserve">
9.833,84+IVA 21%-IRPF 15%= 10.423,87€
25/06/24: Ok Alberto pagar en próxima remesa de julio
Anotado en noviembre pq financiaremos este pago
Transferencia Caixa: 17/07/24
</t>
        </r>
        <r>
          <rPr>
            <b/>
            <sz val="9"/>
            <color indexed="81"/>
            <rFont val="Tahoma"/>
            <family val="2"/>
          </rPr>
          <t>VENCIMIENTO EL 14/11/24.</t>
        </r>
        <r>
          <rPr>
            <sz val="9"/>
            <color indexed="81"/>
            <rFont val="Tahoma"/>
            <family val="2"/>
          </rPr>
          <t xml:space="preserve">
Cargado Caixa: 14/11/24
----------------------------------------------
</t>
        </r>
        <r>
          <rPr>
            <b/>
            <sz val="9"/>
            <color indexed="81"/>
            <rFont val="Tahoma"/>
            <family val="2"/>
          </rPr>
          <t>Fra Jose Luis Yanez del 27/07/24.</t>
        </r>
        <r>
          <rPr>
            <sz val="9"/>
            <color indexed="81"/>
            <rFont val="Tahoma"/>
            <family val="2"/>
          </rPr>
          <t xml:space="preserve">
Presupuesto Jose luis Yañez del 20/04/24. 
50% pagado el 30/07/24: 1.451,82€. 
Transferencia Caixa: 30/07/24
VENCIMIENTO EL 27/11/24.
Cargado Caixa: 27/11/24
-------------------------------------
</t>
        </r>
        <r>
          <rPr>
            <b/>
            <sz val="9"/>
            <color indexed="81"/>
            <rFont val="Tahoma"/>
            <family val="2"/>
          </rPr>
          <t>Fra Jardín De Hierro-Talleres Alfonso y Fernando, S.L. del 29/10/24.</t>
        </r>
        <r>
          <rPr>
            <sz val="9"/>
            <color indexed="81"/>
            <rFont val="Tahoma"/>
            <family val="2"/>
          </rPr>
          <t xml:space="preserve">
207€: Jardineras 
Pagado con VISA Alberto: 29/10/24
Cargado Caixa: 05/11/24
</t>
        </r>
      </text>
    </comment>
    <comment ref="CQ6" authorId="2" shapeId="0" xr:uid="{F855EBCC-7711-413C-A2C2-667C025312EF}">
      <text>
        <r>
          <rPr>
            <sz val="9"/>
            <color indexed="81"/>
            <rFont val="Tahoma"/>
            <family val="2"/>
          </rPr>
          <t>Info Alberto 05/09/24: Incluir 2100 Eur, 50% a pagar ya (factura anexa) y 50% en octubre.</t>
        </r>
        <r>
          <rPr>
            <b/>
            <sz val="9"/>
            <color indexed="81"/>
            <rFont val="Tahoma"/>
            <family val="2"/>
          </rPr>
          <t xml:space="preserve">
Fra Carpinteria JMJ del 05/09/24.</t>
        </r>
        <r>
          <rPr>
            <sz val="9"/>
            <color indexed="81"/>
            <rFont val="Tahoma"/>
            <family val="2"/>
          </rPr>
          <t xml:space="preserve">
1.020,67€. 
Transferencia Caixa: 05/09/24
VENCIMIENTO EL 03/01/25.
Cargado Caixa: 03/01/25 
</t>
        </r>
      </text>
    </comment>
    <comment ref="CR6" authorId="3" shapeId="0" xr:uid="{5F12F394-AD99-4D27-89EF-7048EA7BF526}">
      <text>
        <r>
          <rPr>
            <b/>
            <sz val="9"/>
            <color indexed="81"/>
            <rFont val="Tahoma"/>
            <family val="2"/>
          </rPr>
          <t>Fra Jose Luis Yanez del 07/10/24.</t>
        </r>
        <r>
          <rPr>
            <sz val="9"/>
            <color indexed="81"/>
            <rFont val="Tahoma"/>
            <family val="2"/>
          </rPr>
          <t xml:space="preserve">
Presupuesto Jose luis Yañez del 20/04/24. 
50% pagado el 30/07/24: 1.451,82€. 
50% restante a pagar en octubre 1.451,82€.
OK Alberto transferencia a realizar 
Transferencia Caixa: 17/10/24
VENCIMIENTO EL 14/02/25.
Cargado Caixa: 14/02/25
---------------------------------------
Info Alberto 05/09/24: Incluir 2100 Eur, 50% a pagar ya (factura anexa) y 50% en octubre.
Fra Carpinteria JMJ del 05/09/24.
1.020,67€ pagada el 05/09/24 por financiación
</t>
        </r>
        <r>
          <rPr>
            <b/>
            <sz val="9"/>
            <color indexed="81"/>
            <rFont val="Tahoma"/>
            <family val="2"/>
          </rPr>
          <t>Fra Carpinteria JMJ del 02/10/24.</t>
        </r>
        <r>
          <rPr>
            <sz val="9"/>
            <color indexed="81"/>
            <rFont val="Tahoma"/>
            <family val="2"/>
          </rPr>
          <t xml:space="preserve">
1.292,20€ OK Alberto 02/10 pagar remesa octubre por financiación
Transferencia Caixa: 17/10/24
VENCIMIENTO EL 14/02/25.
Cargado Caixa: 14/02/25
-------------------------------------------------
</t>
        </r>
      </text>
    </comment>
    <comment ref="CS6" authorId="1" shapeId="0" xr:uid="{BE73D1D2-5684-4896-80D7-2C9B45CC869A}">
      <text>
        <r>
          <rPr>
            <sz val="9"/>
            <color indexed="81"/>
            <rFont val="Tahoma"/>
            <family val="2"/>
          </rPr>
          <t>Info Alberto 29/10/24: 
2000€ a pagar en diciembre</t>
        </r>
        <r>
          <rPr>
            <b/>
            <sz val="9"/>
            <color indexed="81"/>
            <rFont val="Tahoma"/>
            <family val="2"/>
          </rPr>
          <t xml:space="preserve">
Fra Jardín De Hierro-Talleres Alfonso y Fernando, S.L. del 19/02/25.
</t>
        </r>
        <r>
          <rPr>
            <sz val="9"/>
            <color indexed="81"/>
            <rFont val="Tahoma"/>
            <family val="2"/>
          </rPr>
          <t>3706€: 18 Jardineras 
Pagado con VISA Alberto: 19/02/25
Cargado Caixa: 05/03/25</t>
        </r>
      </text>
    </comment>
    <comment ref="CT6" authorId="1" shapeId="0" xr:uid="{C441AACF-9A6C-4ABF-AB34-6BF78F6DAF0A}">
      <text>
        <r>
          <rPr>
            <b/>
            <sz val="9"/>
            <color indexed="81"/>
            <rFont val="Tahoma"/>
            <family val="2"/>
          </rPr>
          <t>Fra del 03/04/25:</t>
        </r>
        <r>
          <rPr>
            <sz val="9"/>
            <color indexed="81"/>
            <rFont val="Tahoma"/>
            <family val="2"/>
          </rPr>
          <t xml:space="preserve">
Info Alberto 01/04/25: Pagar el 30% del Pedido 25648 del 01/04/25</t>
        </r>
        <r>
          <rPr>
            <b/>
            <sz val="9"/>
            <color indexed="81"/>
            <rFont val="Tahoma"/>
            <family val="2"/>
          </rPr>
          <t xml:space="preserve"> a Boceto Decoración
</t>
        </r>
        <r>
          <rPr>
            <sz val="9"/>
            <color indexed="81"/>
            <rFont val="Tahoma"/>
            <family val="2"/>
          </rPr>
          <t>777€: Pouf Elephant
230€: Transferencia Caixa realizada el 02/04/25
547€: Pndte transferencia a la entrega en abril</t>
        </r>
      </text>
    </comment>
    <comment ref="CU6" authorId="1" shapeId="0" xr:uid="{352445DD-D3CD-45E8-BAC8-33C6E38F10FD}">
      <text>
        <r>
          <rPr>
            <b/>
            <sz val="9"/>
            <color indexed="81"/>
            <rFont val="Tahoma"/>
            <family val="2"/>
          </rPr>
          <t>Fra del 30/04/25:</t>
        </r>
        <r>
          <rPr>
            <sz val="9"/>
            <color indexed="81"/>
            <rFont val="Tahoma"/>
            <family val="2"/>
          </rPr>
          <t xml:space="preserve">
Info Alberto 01/04/25: Pagar el 30% del Pedido 25648 del 01/04/25</t>
        </r>
        <r>
          <rPr>
            <b/>
            <sz val="9"/>
            <color indexed="81"/>
            <rFont val="Tahoma"/>
            <family val="2"/>
          </rPr>
          <t xml:space="preserve"> a Boceto Decoración
</t>
        </r>
        <r>
          <rPr>
            <sz val="9"/>
            <color indexed="81"/>
            <rFont val="Tahoma"/>
            <family val="2"/>
          </rPr>
          <t>777€: Pouf Elephant
230€: Transferencia Caixa realizada el 02/04/25
547€: Pndte transferencia a la entrega en abril
Transferencia Caixa realizada el 16/05/25</t>
        </r>
      </text>
    </comment>
    <comment ref="DA6" authorId="1" shapeId="0" xr:uid="{4C37F270-F8C4-4DE5-823B-1726E65C3490}">
      <text>
        <r>
          <rPr>
            <b/>
            <sz val="9"/>
            <color indexed="81"/>
            <rFont val="Tahoma"/>
            <family val="2"/>
          </rPr>
          <t xml:space="preserve">Fra Boceto Decoración del 30/09/25.
</t>
        </r>
        <r>
          <rPr>
            <sz val="9"/>
            <color indexed="81"/>
            <rFont val="Tahoma"/>
            <family val="2"/>
          </rPr>
          <t xml:space="preserve">620€: Mobiliario
01/10 OK Alb realizar pago del 30%, el resto cuando llegue mercancia
186€: Transferencia Caixa realizada el 01/10/25 
-----------------------------------
</t>
        </r>
        <r>
          <rPr>
            <b/>
            <sz val="9"/>
            <color indexed="81"/>
            <rFont val="Tahoma"/>
            <family val="2"/>
          </rPr>
          <t>Ppto Jose Luis Yanez del 25/09/25, pndte fra:
490,05€: Mobiliario mesita</t>
        </r>
        <r>
          <rPr>
            <sz val="9"/>
            <color indexed="81"/>
            <rFont val="Tahoma"/>
            <family val="2"/>
          </rPr>
          <t xml:space="preserve">
50% a pagar ya el 01/10 y el 50% restante a pagar a la entrega de material y fra 
245,03€: Transferencia Caixa realizada el 01/10/25
---------------------------
Info Alb 28/10/25: 12.500 Eur a pagar la mitad ahora y la otra mitad en Noviembre.
</t>
        </r>
        <r>
          <rPr>
            <b/>
            <sz val="9"/>
            <color indexed="81"/>
            <rFont val="Tahoma"/>
            <family val="2"/>
          </rPr>
          <t>Fra Gubia Sevilla del 28/10/25 por el 50%.</t>
        </r>
        <r>
          <rPr>
            <sz val="9"/>
            <color indexed="81"/>
            <rFont val="Tahoma"/>
            <family val="2"/>
          </rPr>
          <t xml:space="preserve">
6.209,30+IVA= 7.513,25€: Mobiliario
7.513,25€: Transferencia Caixa realizada el 29/10/25</t>
        </r>
      </text>
    </comment>
    <comment ref="DC6" authorId="1" shapeId="0" xr:uid="{456D4085-989F-4798-824A-49E90C5BAF77}">
      <text>
        <r>
          <rPr>
            <sz val="9"/>
            <color indexed="81"/>
            <rFont val="Tahoma"/>
            <family val="2"/>
          </rPr>
          <t xml:space="preserve">Info Alb 28/10/25: 12.500 Eur a pagar la mitad ahora y la otra mitad en Noviembre.
</t>
        </r>
        <r>
          <rPr>
            <b/>
            <sz val="9"/>
            <color indexed="81"/>
            <rFont val="Tahoma"/>
            <family val="2"/>
          </rPr>
          <t>Fra Gubia Sevilla del 05/12/25 por el 40%.</t>
        </r>
        <r>
          <rPr>
            <sz val="9"/>
            <color indexed="81"/>
            <rFont val="Tahoma"/>
            <family val="2"/>
          </rPr>
          <t xml:space="preserve">
4.967,44+IVA= 6.010,60€: Mobiliario
6.010,60€: Transferencia Caixa realizada el 05/12/25</t>
        </r>
      </text>
    </comment>
    <comment ref="DD6" authorId="1" shapeId="0" xr:uid="{9CCC0DA2-B866-4EFA-A22F-1A94E9F057DE}">
      <text>
        <r>
          <rPr>
            <sz val="9"/>
            <color indexed="81"/>
            <rFont val="Tahoma"/>
            <family val="2"/>
          </rPr>
          <t xml:space="preserve">Info Alb 28/10/25: 12.500 Eur a pagar la mitad ahora y la otra mitad en Noviembre.
Fra Gubia Sevilla del 28/10/25 por el 50%.
6.209,30+IVA= 7.513,25€: Mobiliario
Fra Gubia Sevilla del 05/12/25 por el 40%.
4.967,44+IVA= 6.010,60€: Mobiliario
7.513,25€: Transferencia Caixa realizada el 29/10/25 
6.010,60€: Transferencia Caixa realizada el 05/12/25
</t>
        </r>
        <r>
          <rPr>
            <b/>
            <sz val="9"/>
            <color indexed="81"/>
            <rFont val="Tahoma"/>
            <family val="2"/>
          </rPr>
          <t>Fra Gubia Sevilla del 13/01/26 por el 10% restante.</t>
        </r>
        <r>
          <rPr>
            <sz val="9"/>
            <color indexed="81"/>
            <rFont val="Tahoma"/>
            <family val="2"/>
          </rPr>
          <t xml:space="preserve">
1.241,86+IVA= 1.502,65€: Mobiliario
1.502,65€: Transferencia Caixa realizada el 15/01/26
------------------------------------------Ppto </t>
        </r>
        <r>
          <rPr>
            <b/>
            <sz val="9"/>
            <color indexed="81"/>
            <rFont val="Tahoma"/>
            <family val="2"/>
          </rPr>
          <t>Fra Jose Luis Yanez del 10/12/25</t>
        </r>
        <r>
          <rPr>
            <sz val="9"/>
            <color indexed="81"/>
            <rFont val="Tahoma"/>
            <family val="2"/>
          </rPr>
          <t xml:space="preserve">
490,05€: Mobiliario mesita
50% a pagar ya el 01/10 y el 50% restante a pagar a la entrega de material y fra 
245,03€: Transferencia Caixa realizada el 01/10/25
245,02€: Transferencia Caixa realizada el 15/01/26 
</t>
        </r>
        <r>
          <rPr>
            <b/>
            <sz val="9"/>
            <color indexed="81"/>
            <rFont val="Tahoma"/>
            <family val="2"/>
          </rPr>
          <t>-----------------------------------
Ppto Jose Luis Yanez del 14/01/26, pndte fra:</t>
        </r>
        <r>
          <rPr>
            <sz val="9"/>
            <color indexed="81"/>
            <rFont val="Tahoma"/>
            <family val="2"/>
          </rPr>
          <t xml:space="preserve">
1.346,55€: Mobiliario 
582,50€ a pagar ya y el pago restante a pagar a la entrega de material y fra 
582,50€: Transferencia Caixa realizada el 15/01/26
---------------------------</t>
        </r>
      </text>
    </comment>
    <comment ref="DF6" authorId="1" shapeId="0" xr:uid="{989EE393-00BF-40B9-A1E1-E19F5CEA5040}">
      <text>
        <r>
          <rPr>
            <b/>
            <sz val="9"/>
            <color indexed="81"/>
            <rFont val="Tahoma"/>
            <family val="2"/>
          </rPr>
          <t>Fra del 30/09/25:</t>
        </r>
        <r>
          <rPr>
            <sz val="9"/>
            <color indexed="81"/>
            <rFont val="Tahoma"/>
            <family val="2"/>
          </rPr>
          <t xml:space="preserve">
</t>
        </r>
        <r>
          <rPr>
            <b/>
            <sz val="9"/>
            <color indexed="81"/>
            <rFont val="Tahoma"/>
            <family val="2"/>
          </rPr>
          <t xml:space="preserve">Boceto Decoración
</t>
        </r>
        <r>
          <rPr>
            <sz val="9"/>
            <color indexed="81"/>
            <rFont val="Tahoma"/>
            <family val="2"/>
          </rPr>
          <t xml:space="preserve">620€: Mobiliario
01/10 OK Alb realizar pago del 30%, el resto cuando llegue mercancia
186€: Transferencia Caixa realizada el 01/10/25
23/02/26: OK ALB pagar
434: Pndte pago
</t>
        </r>
        <r>
          <rPr>
            <b/>
            <sz val="9"/>
            <color indexed="81"/>
            <rFont val="Tahoma"/>
            <family val="2"/>
          </rPr>
          <t>Fra abono del 20/02/26:</t>
        </r>
        <r>
          <rPr>
            <sz val="9"/>
            <color indexed="81"/>
            <rFont val="Tahoma"/>
            <family val="2"/>
          </rPr>
          <t xml:space="preserve">
Boceto Decoración
-123€: Mobiliario
02/03/26: OK Alb realizar pago descontando esta factura
311: Transferencia Caixa realizada el 03/03/26 
--------------------------------
</t>
        </r>
        <r>
          <rPr>
            <b/>
            <sz val="9"/>
            <color indexed="81"/>
            <rFont val="Tahoma"/>
            <family val="2"/>
          </rPr>
          <t>Ppto Ruizz del 21/02/26 por
4.777€: Sofá 
Fra 3-000003 (24/02/26)</t>
        </r>
        <r>
          <rPr>
            <sz val="9"/>
            <color indexed="81"/>
            <rFont val="Tahoma"/>
            <family val="2"/>
          </rPr>
          <t xml:space="preserve">
2.388,50€: Entrega a cuenta
2.388,50€: Transferencia Caixa realizada el 03/03/26
--------------------------------
</t>
        </r>
        <r>
          <rPr>
            <b/>
            <sz val="9"/>
            <color indexed="81"/>
            <rFont val="Tahoma"/>
            <family val="2"/>
          </rPr>
          <t>Fra Jose Luis Yanez del 16/03/26</t>
        </r>
        <r>
          <rPr>
            <sz val="9"/>
            <color indexed="81"/>
            <rFont val="Tahoma"/>
            <family val="2"/>
          </rPr>
          <t xml:space="preserve">
3.027,42€: Pago a cuenta 50% Mobiliario 
3.027,42€: Transferencia Caixa realizada el  18/03/26
-----------------------------
</t>
        </r>
        <r>
          <rPr>
            <b/>
            <sz val="9"/>
            <color indexed="81"/>
            <rFont val="Tahoma"/>
            <family val="2"/>
          </rPr>
          <t>Fra 8 (17/03/26):</t>
        </r>
        <r>
          <rPr>
            <sz val="9"/>
            <color indexed="81"/>
            <rFont val="Tahoma"/>
            <family val="2"/>
          </rPr>
          <t xml:space="preserve">
Ppto Jose Luis Yanez del 14/01/26
1.346,55€: Mobiliario 
582,50€ a pagar ya y el pago restante a pagar a la entrega de material y fra 
582,50€: Transferencia Caixa realizada el 15/01/26
764,05€: Transferencia Caixa realizada el 23/03/26</t>
        </r>
      </text>
    </comment>
    <comment ref="DG6" authorId="1" shapeId="0" xr:uid="{06F57529-F48B-49E3-BFB9-BAC5C8DBD1A1}">
      <text>
        <r>
          <rPr>
            <sz val="9"/>
            <color indexed="81"/>
            <rFont val="Tahoma"/>
            <family val="2"/>
          </rPr>
          <t xml:space="preserve">
</t>
        </r>
        <r>
          <rPr>
            <b/>
            <sz val="9"/>
            <color indexed="81"/>
            <rFont val="Tahoma"/>
            <family val="2"/>
          </rPr>
          <t>Fra Jose Luis Yanez del 27/04/26:</t>
        </r>
        <r>
          <rPr>
            <sz val="9"/>
            <color indexed="81"/>
            <rFont val="Tahoma"/>
            <family val="2"/>
          </rPr>
          <t xml:space="preserve">
3.280,73€: 50% Mobiliario restante
3.280,73€: Transferencia Caixa realizada el 30/04/26
--------------------------------
</t>
        </r>
      </text>
    </comment>
    <comment ref="DH6" authorId="1" shapeId="0" xr:uid="{CE3388D5-BE76-4EC1-BA78-569C0DDFF8B0}">
      <text>
        <r>
          <rPr>
            <b/>
            <sz val="9"/>
            <color indexed="81"/>
            <rFont val="Tahoma"/>
            <family val="2"/>
          </rPr>
          <t xml:space="preserve">María Soto Interiorista
Fra 08 del 19/05/26 por
435,99€:
Transferencia Caixa realizada el 22/05/26
</t>
        </r>
        <r>
          <rPr>
            <sz val="9"/>
            <color indexed="81"/>
            <rFont val="Tahoma"/>
            <family val="2"/>
          </rPr>
          <t>Info Alb 19/05/26:</t>
        </r>
        <r>
          <rPr>
            <b/>
            <sz val="9"/>
            <color indexed="81"/>
            <rFont val="Tahoma"/>
            <family val="2"/>
          </rPr>
          <t xml:space="preserve"> </t>
        </r>
        <r>
          <rPr>
            <sz val="9"/>
            <color indexed="81"/>
            <rFont val="Tahoma"/>
            <family val="2"/>
          </rPr>
          <t xml:space="preserve">Esto es el 50% del valor así que pf mete en previsiones el otro 50% para Junio,
 </t>
        </r>
        <r>
          <rPr>
            <b/>
            <sz val="9"/>
            <color indexed="81"/>
            <rFont val="Tahoma"/>
            <family val="2"/>
          </rPr>
          <t xml:space="preserve">
</t>
        </r>
        <r>
          <rPr>
            <sz val="9"/>
            <color indexed="81"/>
            <rFont val="Tahoma"/>
            <family val="2"/>
          </rPr>
          <t xml:space="preserve">
</t>
        </r>
      </text>
    </comment>
    <comment ref="DI6" authorId="1" shapeId="0" xr:uid="{EF2979E1-71A7-4E3D-A1BC-4BC44F3DC442}">
      <text>
        <r>
          <rPr>
            <b/>
            <sz val="9"/>
            <color indexed="81"/>
            <rFont val="Tahoma"/>
            <family val="2"/>
          </rPr>
          <t xml:space="preserve">María Soto Interiorista
Fra 08 del 19/05/26 por
435,99€:
Transferencia Caixa realizada el
</t>
        </r>
        <r>
          <rPr>
            <sz val="9"/>
            <color indexed="81"/>
            <rFont val="Tahoma"/>
            <family val="2"/>
          </rPr>
          <t>Info Alb 19/05/26:</t>
        </r>
        <r>
          <rPr>
            <b/>
            <sz val="9"/>
            <color indexed="81"/>
            <rFont val="Tahoma"/>
            <family val="2"/>
          </rPr>
          <t xml:space="preserve"> </t>
        </r>
        <r>
          <rPr>
            <sz val="9"/>
            <color indexed="81"/>
            <rFont val="Tahoma"/>
            <family val="2"/>
          </rPr>
          <t xml:space="preserve">Esto es el 50% del valor así que pf mete en previsiones el otro 50% para Junio,
 ----------------------------------
Ppto Ruizz del 21/02/26 por
4.777€: Sofá 
Fra 3-000003 (24/02/26) por
2.388,50€: Entrega a cuenta
2.388,50€: Transferencia Caixa realizada el 03/03/26
</t>
        </r>
        <r>
          <rPr>
            <b/>
            <sz val="9"/>
            <color indexed="81"/>
            <rFont val="Tahoma"/>
            <family val="2"/>
          </rPr>
          <t>Fra 3-000007 (30/05/26) por
2.388,50€</t>
        </r>
        <r>
          <rPr>
            <sz val="9"/>
            <color indexed="81"/>
            <rFont val="Tahoma"/>
            <family val="2"/>
          </rPr>
          <t>: Transferencia Caixa realizada el 01/06/26
---------------------------------</t>
        </r>
      </text>
    </comment>
    <comment ref="BB7" authorId="2" shapeId="0" xr:uid="{EB0E3F8E-D9DE-4B7F-A416-97E939AA9DBE}">
      <text>
        <r>
          <rPr>
            <sz val="9"/>
            <color indexed="81"/>
            <rFont val="Tahoma"/>
            <family val="2"/>
          </rPr>
          <t xml:space="preserve">20.000€ Anticipo coche land rover.
Transferencia Caixa realizada el 14/12/21.
PENDIENTE: 
- Soporte contable de la compra completa. 
- Financiación. </t>
        </r>
      </text>
    </comment>
    <comment ref="BC7" authorId="2" shapeId="0" xr:uid="{42DC991A-46D8-4F63-B920-8BDC1A012C65}">
      <text>
        <r>
          <rPr>
            <sz val="9"/>
            <color indexed="81"/>
            <rFont val="Tahoma"/>
            <family val="2"/>
          </rPr>
          <t xml:space="preserve">58.900€ Anticipo a proveedores coche land rover.
19500€: Transferencia Caixa realizada el 17/01/22
19500€: Transferencia Caixa realizada el 17/01/22
19900€: Transferencia Caixa realizada el 17/01/22
Info Alberto 17/01/22: cuanto cerremos financiación, Gysa nos devuelve el dinero.
PENDIENTE: 
- Soporte contable de la compra completa. 
- Financiación. </t>
        </r>
      </text>
    </comment>
    <comment ref="BI7" authorId="2" shapeId="0" xr:uid="{E949B2E2-D226-49E2-A484-84892C66B6F6}">
      <text>
        <r>
          <rPr>
            <sz val="9"/>
            <color indexed="81"/>
            <rFont val="Tahoma"/>
            <family val="2"/>
          </rPr>
          <t xml:space="preserve">1404,43€: Cuota Leasing Julio. 
Cargado el 15/07/22. 
</t>
        </r>
      </text>
    </comment>
    <comment ref="BJ7" authorId="2" shapeId="0" xr:uid="{B750EB24-E3CF-4269-B962-62AD2ADDD952}">
      <text>
        <r>
          <rPr>
            <sz val="9"/>
            <color indexed="81"/>
            <rFont val="Tahoma"/>
            <family val="2"/>
          </rPr>
          <t>1.404,43€: Cuota Leasing Agosto. 
Cargado el 16/08/22</t>
        </r>
        <r>
          <rPr>
            <b/>
            <sz val="9"/>
            <color indexed="81"/>
            <rFont val="Tahoma"/>
            <family val="2"/>
          </rPr>
          <t xml:space="preserve">. 
</t>
        </r>
      </text>
    </comment>
    <comment ref="BL7" authorId="2" shapeId="0" xr:uid="{8A15E775-09A1-4C0B-A58E-EED7D4E938B4}">
      <text>
        <r>
          <rPr>
            <sz val="9"/>
            <color indexed="81"/>
            <rFont val="Tahoma"/>
            <family val="2"/>
          </rPr>
          <t>1.404,43€: Cuota Leasing Septiembre. 
Cargado BBVA el 15/09/22</t>
        </r>
        <r>
          <rPr>
            <b/>
            <sz val="9"/>
            <color indexed="81"/>
            <rFont val="Tahoma"/>
            <family val="2"/>
          </rPr>
          <t xml:space="preserve">. 
</t>
        </r>
        <r>
          <rPr>
            <sz val="9"/>
            <color indexed="81"/>
            <rFont val="Tahoma"/>
            <family val="2"/>
          </rPr>
          <t>Dev. 78.900,00€ pndte ingreso en Caixa el 23/09
Abonado Caixa: 24/09/22</t>
        </r>
      </text>
    </comment>
    <comment ref="BM7" authorId="1" shapeId="0" xr:uid="{FCD0E4A1-91EE-45E0-9659-0E95A04604A0}">
      <text>
        <r>
          <rPr>
            <b/>
            <sz val="9"/>
            <color indexed="81"/>
            <rFont val="Tahoma"/>
            <family val="2"/>
          </rPr>
          <t xml:space="preserve">1.404,43€: Cuota Leasing Octubre. 
Cargado BBVA el 17/10/22. </t>
        </r>
      </text>
    </comment>
    <comment ref="BN7" authorId="1" shapeId="0" xr:uid="{7319BB84-A0B2-481A-8241-F553CC37C381}">
      <text>
        <r>
          <rPr>
            <b/>
            <sz val="9"/>
            <color indexed="81"/>
            <rFont val="Tahoma"/>
            <family val="2"/>
          </rPr>
          <t xml:space="preserve">1.404,43€: Cuota Leasing Noviembre. 
Cargado BBVA el 15/11/22. </t>
        </r>
      </text>
    </comment>
    <comment ref="BO7" authorId="1" shapeId="0" xr:uid="{26B152AC-E165-42CC-B6FB-BAE69FB5DA29}">
      <text>
        <r>
          <rPr>
            <b/>
            <sz val="9"/>
            <color indexed="81"/>
            <rFont val="Tahoma"/>
            <family val="2"/>
          </rPr>
          <t xml:space="preserve">1.404,43€: Cuota Leasing Diciembre. 
Cargado BBVA el 15/12/22. </t>
        </r>
      </text>
    </comment>
    <comment ref="BP7" authorId="1" shapeId="0" xr:uid="{56C989AC-345E-4E3F-AC93-1F4F7A8E3E15}">
      <text>
        <r>
          <rPr>
            <b/>
            <sz val="9"/>
            <color indexed="81"/>
            <rFont val="Tahoma"/>
            <family val="2"/>
          </rPr>
          <t xml:space="preserve">1.470,69€: Cuota Leasing Enero. 
Cargado BBVA el 16/01/23. </t>
        </r>
      </text>
    </comment>
    <comment ref="BQ7" authorId="1" shapeId="0" xr:uid="{02477654-4565-4A99-A835-4C965B3EC7AB}">
      <text>
        <r>
          <rPr>
            <b/>
            <sz val="9"/>
            <color indexed="81"/>
            <rFont val="Tahoma"/>
            <family val="2"/>
          </rPr>
          <t xml:space="preserve">1.470,69€: Cuota Leasing Febrero. 
Cargado BBVA el 15/02/23. </t>
        </r>
      </text>
    </comment>
    <comment ref="BR7" authorId="1" shapeId="0" xr:uid="{77AC0968-B9C1-4ADD-AF5B-32BBFD6AEF73}">
      <text>
        <r>
          <rPr>
            <b/>
            <sz val="9"/>
            <color indexed="81"/>
            <rFont val="Tahoma"/>
            <family val="2"/>
          </rPr>
          <t xml:space="preserve">1.470,69€: Cuota Leasing marzo. 
Cargado BBVA el 15/03/23. </t>
        </r>
      </text>
    </comment>
    <comment ref="CC7" authorId="1" shapeId="0" xr:uid="{7F33AD49-6421-4D17-B441-CC3B6E5BC72C}">
      <text>
        <r>
          <rPr>
            <b/>
            <sz val="9"/>
            <color indexed="81"/>
            <rFont val="Tahoma"/>
            <family val="2"/>
          </rPr>
          <t xml:space="preserve">1.494,47€: Cuota Leasing enero 2024. 
Cargado BBVA el 15/01/24. </t>
        </r>
      </text>
    </comment>
    <comment ref="CH7" authorId="1" shapeId="0" xr:uid="{47EED065-45B5-43B5-885C-A6F12FD817AB}">
      <text>
        <r>
          <rPr>
            <sz val="9"/>
            <color indexed="81"/>
            <rFont val="Tahoma"/>
            <family val="2"/>
          </rPr>
          <t>Prolongar mismas cuotas hasta el 15/06/27 
(Total 60 cuotas)
15/07/2027: 1404,43€</t>
        </r>
        <r>
          <rPr>
            <b/>
            <sz val="9"/>
            <color indexed="81"/>
            <rFont val="Tahoma"/>
            <family val="2"/>
          </rPr>
          <t xml:space="preserve">
Cancelación Leasing 21/06/24:
41.634,10€+21% IVA 8.743,16€= 50.377,26€
Cargado BBVA: 21/06/24
-----------------------------
50.000€: Fra 109 (18/06/24)
Venta Land Rover antiguo
Abonado Caixa: 19/06/24</t>
        </r>
      </text>
    </comment>
    <comment ref="CH8" authorId="1" shapeId="0" xr:uid="{1AC13367-3E9E-417D-B1E6-40ED84EAEBF2}">
      <text>
        <r>
          <rPr>
            <b/>
            <sz val="9"/>
            <color indexed="81"/>
            <rFont val="Tahoma"/>
            <family val="2"/>
          </rPr>
          <t>Fra del 11/06/24
Cargado: 19/06/24</t>
        </r>
      </text>
    </comment>
    <comment ref="CI8" authorId="1" shapeId="0" xr:uid="{528F6EA5-229D-43E8-94C0-99FEC3F0CA57}">
      <text>
        <r>
          <rPr>
            <b/>
            <sz val="9"/>
            <color indexed="81"/>
            <rFont val="Tahoma"/>
            <family val="2"/>
          </rPr>
          <t>Fra del 11/07/24
Cargado: 12/07/24</t>
        </r>
      </text>
    </comment>
    <comment ref="CJ8" authorId="1" shapeId="0" xr:uid="{10FB0D6B-8494-4081-87CA-E82ACFC13ADD}">
      <text>
        <r>
          <rPr>
            <b/>
            <sz val="9"/>
            <color indexed="81"/>
            <rFont val="Tahoma"/>
            <family val="2"/>
          </rPr>
          <t>Fra del 11/08/24
Cargado: 12/08/24</t>
        </r>
      </text>
    </comment>
    <comment ref="CM8" authorId="1" shapeId="0" xr:uid="{8131E6D5-C70C-4AC7-AECE-C2F27A69FB96}">
      <text>
        <r>
          <rPr>
            <b/>
            <sz val="9"/>
            <color indexed="81"/>
            <rFont val="Tahoma"/>
            <family val="2"/>
          </rPr>
          <t>Fra del 11/09/24
Cargado: 11/09/24</t>
        </r>
      </text>
    </comment>
    <comment ref="CN8" authorId="1" shapeId="0" xr:uid="{2DC719CE-305B-4855-A2CA-B17010530FAA}">
      <text>
        <r>
          <rPr>
            <b/>
            <sz val="9"/>
            <color indexed="81"/>
            <rFont val="Tahoma"/>
            <family val="2"/>
          </rPr>
          <t>Fra del 11/10/24
Cargado: 11/10/24</t>
        </r>
      </text>
    </comment>
    <comment ref="CO8" authorId="1" shapeId="0" xr:uid="{B49DB935-13B9-402C-B4AD-4EA4C6BABFA0}">
      <text>
        <r>
          <rPr>
            <b/>
            <sz val="9"/>
            <color indexed="81"/>
            <rFont val="Tahoma"/>
            <family val="2"/>
          </rPr>
          <t>Fra del 11/11/24
Cargado: 11/11/24</t>
        </r>
      </text>
    </comment>
    <comment ref="CP8" authorId="1" shapeId="0" xr:uid="{2209F41A-969E-405E-B5CB-F69DF91D583D}">
      <text>
        <r>
          <rPr>
            <b/>
            <sz val="9"/>
            <color indexed="81"/>
            <rFont val="Tahoma"/>
            <family val="2"/>
          </rPr>
          <t>Fra del 11/12/24
Cargado: 11/12/24</t>
        </r>
      </text>
    </comment>
    <comment ref="CQ8" authorId="1" shapeId="0" xr:uid="{7A75FF8C-638A-4783-A3B5-9BFE7EDEA841}">
      <text>
        <r>
          <rPr>
            <b/>
            <sz val="9"/>
            <color indexed="81"/>
            <rFont val="Tahoma"/>
            <family val="2"/>
          </rPr>
          <t>Fra del 11/01/25
Cargado: 13/01/25</t>
        </r>
      </text>
    </comment>
    <comment ref="CR8" authorId="1" shapeId="0" xr:uid="{D5B2CD2A-CFF5-46DE-B163-7993BCB92DBD}">
      <text>
        <r>
          <rPr>
            <b/>
            <sz val="9"/>
            <color indexed="81"/>
            <rFont val="Tahoma"/>
            <family val="2"/>
          </rPr>
          <t>Fra del 11/02/25
Cargado: 11/02/25</t>
        </r>
      </text>
    </comment>
    <comment ref="CX8" authorId="1" shapeId="0" xr:uid="{2F91C7E5-0CD1-4603-AFCD-7238DF84D6E9}">
      <text>
        <r>
          <rPr>
            <b/>
            <sz val="9"/>
            <color indexed="81"/>
            <rFont val="Tahoma"/>
            <family val="2"/>
          </rPr>
          <t>Prolongar mismas cuotas hasta el 07/05/27 
(Total 36 cuotas)
1.570,97€</t>
        </r>
      </text>
    </comment>
    <comment ref="DK8" authorId="1" shapeId="0" xr:uid="{8F2AC1A0-6A43-4115-83BB-496262D53166}">
      <text>
        <r>
          <rPr>
            <b/>
            <sz val="9"/>
            <color indexed="81"/>
            <rFont val="Tahoma"/>
            <family val="2"/>
          </rPr>
          <t>Prolongar mismas cuotas hasta el 07/05/27 
(Total 36 cuotas)
1.570,97€</t>
        </r>
      </text>
    </comment>
    <comment ref="DU8" authorId="1" shapeId="0" xr:uid="{77B037E6-AD15-42D2-BF29-6A72E2E2D8A0}">
      <text>
        <r>
          <rPr>
            <b/>
            <sz val="9"/>
            <color indexed="81"/>
            <rFont val="Tahoma"/>
            <family val="2"/>
          </rPr>
          <t>Prolongar mismas cuotas hasta el 07/05/27 
(Total 36 cuotas)
1.570,97€</t>
        </r>
      </text>
    </comment>
    <comment ref="BR9" authorId="1" shapeId="0" xr:uid="{C558FC83-4DD4-4513-A6A2-C418B7A21F56}">
      <text>
        <r>
          <rPr>
            <sz val="9"/>
            <color indexed="81"/>
            <rFont val="Tahoma"/>
            <family val="2"/>
          </rPr>
          <t>Fra: 23/FVE00025 (16/03/23):
Fra Proforma: 23/PROF00001 (14/03/23):
25490€: Primer pago compra vivienda
20000€: Transferencia Caixa realizada: 15/03/23
5490€: Transferencia Caixa realizada: 15/03/23</t>
        </r>
        <r>
          <rPr>
            <b/>
            <sz val="9"/>
            <color indexed="81"/>
            <rFont val="Tahoma"/>
            <family val="2"/>
          </rPr>
          <t xml:space="preserve">
</t>
        </r>
        <r>
          <rPr>
            <sz val="9"/>
            <color indexed="81"/>
            <rFont val="Tahoma"/>
            <family val="2"/>
          </rPr>
          <t xml:space="preserve">
</t>
        </r>
      </text>
    </comment>
    <comment ref="CD9" authorId="1" shapeId="0" xr:uid="{E2A7F9B0-8743-49F0-AD3C-3A26EBBDA4E6}">
      <text>
        <r>
          <rPr>
            <sz val="9"/>
            <color indexed="81"/>
            <rFont val="Tahoma"/>
            <family val="2"/>
          </rPr>
          <t>Fra: 23/FVE00091 (24/10/23):
25490€: Segundo pago compra vivienda
20000€: Transferencia Caixa realizada: 25/10/23
5490€: Transferencia Caixa realizada: 25/10/23</t>
        </r>
        <r>
          <rPr>
            <b/>
            <sz val="9"/>
            <color indexed="81"/>
            <rFont val="Tahoma"/>
            <family val="2"/>
          </rPr>
          <t xml:space="preserve">
VENCIMIENTOS EL 20/02/23.
</t>
        </r>
        <r>
          <rPr>
            <sz val="9"/>
            <color indexed="81"/>
            <rFont val="Tahoma"/>
            <family val="2"/>
          </rPr>
          <t>Cargado Caixa: 20/02/24
------------------------------
Fra: 24/FVE00032 (29/01/24):
Info Alberto 30/11/23: Tercer ingreso de 25.490€ en 12 cuotas mensuales de 2.124,17€, primer recibo domiciliado el 25/01/23
Cargado Caixa: 01/02/24
----------------------------------
Fra: 24/FVE00069 (25/02/24):
Info Alberto 30/11/23: Tercer ingreso de 25.490€ en 12 cuotas mensuales de 2.124,17€, segundo recibo domiciliado el 25/02/23
Cargado Caixa: 26/02/24</t>
        </r>
      </text>
    </comment>
    <comment ref="CE9" authorId="1" shapeId="0" xr:uid="{30DDED77-CCC7-44E0-BD1E-40B9B2FDAB30}">
      <text>
        <r>
          <rPr>
            <sz val="9"/>
            <color indexed="81"/>
            <rFont val="Tahoma"/>
            <family val="2"/>
          </rPr>
          <t>Fra: 24/FVE00107 (25/03/24):
Info Alberto 30/11/23: Tercer ingreso de 25.490€ en 12 cuotas mensuales de 2.124,17€, primer recibo domiciliado el 25/01/23
Cargado: 25/03/24</t>
        </r>
      </text>
    </comment>
    <comment ref="CF9" authorId="1" shapeId="0" xr:uid="{10187238-B16E-4A2D-A93B-75DD34FC5ED3}">
      <text>
        <r>
          <rPr>
            <sz val="9"/>
            <color indexed="81"/>
            <rFont val="Tahoma"/>
            <family val="2"/>
          </rPr>
          <t xml:space="preserve">Fra: 24/FVE00144 (25/04/24):
Info Alberto 30/11/23: Tercer ingreso de 25.490€ en 12 cuotas mensuales de 2.124,17€, primer recibo domiciliado el 25/01/23
Cargado: 25/04/24
</t>
        </r>
      </text>
    </comment>
    <comment ref="CG9" authorId="1" shapeId="0" xr:uid="{82B38992-02E1-477B-B2E8-32A12A34E2F3}">
      <text>
        <r>
          <rPr>
            <sz val="9"/>
            <color indexed="81"/>
            <rFont val="Tahoma"/>
            <family val="2"/>
          </rPr>
          <t>Fra: 24/FVE00185 (27/05/24):
Info Alberto 30/11/23: Tercer ingreso de 25.490€ en 12 cuotas mensuales de 2.124,17€, primer recibo domiciliado el 25/01/23
Cargado: 27/05/24</t>
        </r>
      </text>
    </comment>
    <comment ref="CH9" authorId="1" shapeId="0" xr:uid="{50B6038B-30E2-42BE-83F5-CA54F04FE283}">
      <text>
        <r>
          <rPr>
            <sz val="9"/>
            <color indexed="81"/>
            <rFont val="Tahoma"/>
            <family val="2"/>
          </rPr>
          <t>Fra: 24/FVE00226 (25/06/24):
Info Alberto 30/11/23: Tercer ingreso de 25.490€ en 12 cuotas mensuales de 2.124,17€, primer recibo domiciliado el 25/01/23
Cargado: 25/06/24</t>
        </r>
      </text>
    </comment>
    <comment ref="CI9" authorId="1" shapeId="0" xr:uid="{970C6DC9-B04E-418B-BFE6-0A4DA95D8E14}">
      <text>
        <r>
          <rPr>
            <sz val="9"/>
            <color indexed="81"/>
            <rFont val="Tahoma"/>
            <family val="2"/>
          </rPr>
          <t xml:space="preserve">Fra: 24/FVE00269 (25/07/24):
Info Alberto 30/11/23: Tercer ingreso de 25.490€ en 12 cuotas mensuales de 2.124,17€, primer recibo domiciliado el 25/01/23
Cargado: 25/07/24
</t>
        </r>
      </text>
    </comment>
    <comment ref="CJ9" authorId="1" shapeId="0" xr:uid="{B41348ED-DF7B-415B-B4A7-71379CE48A77}">
      <text>
        <r>
          <rPr>
            <sz val="9"/>
            <color indexed="81"/>
            <rFont val="Tahoma"/>
            <family val="2"/>
          </rPr>
          <t xml:space="preserve">Fra: 24/FVE00311 (28/08/24):
Info Alberto 30/11/23: Tercer ingreso de 25.490€ en 12 cuotas mensuales de 2.124,17€, primer recibo domiciliado el 25/01/23
Cargado: 26/08/24
</t>
        </r>
      </text>
    </comment>
    <comment ref="CM9" authorId="1" shapeId="0" xr:uid="{76D7B4FC-52D7-480A-A9B5-3CCA5DC0CE01}">
      <text>
        <r>
          <rPr>
            <sz val="9"/>
            <color indexed="81"/>
            <rFont val="Tahoma"/>
            <family val="2"/>
          </rPr>
          <t xml:space="preserve">Fra: 24/FVE00353 (25/09/24):
Info Alberto 30/11/23: Tercer ingreso de 25.490€ en 12 cuotas mensuales de 2.124,17€, primer recibo domiciliado el 25/01/23
Cargado: 25/09/24
</t>
        </r>
      </text>
    </comment>
    <comment ref="CN9" authorId="1" shapeId="0" xr:uid="{F9104BB2-C839-421A-9ABC-37E5C7E0DFD0}">
      <text>
        <r>
          <rPr>
            <sz val="9"/>
            <color indexed="81"/>
            <rFont val="Tahoma"/>
            <family val="2"/>
          </rPr>
          <t>Fra: 24/FVE00395 (25/10/24):
Info Alberto 30/11/23: Tercer ingreso de 25.490€ en 12 cuotas mensuales de 2.124,17€, primer recibo domiciliado el 25/01/23
Cargado: 25/10/24</t>
        </r>
      </text>
    </comment>
    <comment ref="CO9" authorId="1" shapeId="0" xr:uid="{D8FD8651-2E3F-4BDA-AC4E-B5B6BA089354}">
      <text>
        <r>
          <rPr>
            <sz val="9"/>
            <color indexed="81"/>
            <rFont val="Tahoma"/>
            <family val="2"/>
          </rPr>
          <t>Fra: 24/FVE00437 (25/11/24):
Info Alberto 30/11/23: Tercer ingreso de 25.490€ en 12 cuotas mensuales de 2.124,17€, primer recibo domiciliado el 25/01/23
Cargado: 25/11/24</t>
        </r>
      </text>
    </comment>
    <comment ref="CP9" authorId="1" shapeId="0" xr:uid="{8C11928B-87B9-4132-9D49-9B6A39C34301}">
      <text>
        <r>
          <rPr>
            <b/>
            <sz val="9"/>
            <color indexed="81"/>
            <rFont val="Tahoma"/>
            <family val="2"/>
          </rPr>
          <t>Fra: 24/FVE00479 (27/12/24):</t>
        </r>
        <r>
          <rPr>
            <sz val="9"/>
            <color indexed="81"/>
            <rFont val="Tahoma"/>
            <family val="2"/>
          </rPr>
          <t xml:space="preserve">
Info Alberto 30/11/23: Tercer ingreso de 25.490€ en 12 cuotas mensuales de 2.124,17€, primer recibo domiciliado el 25/01/23
Cargado: 27/12/24</t>
        </r>
      </text>
    </comment>
    <comment ref="CQ9" authorId="1" shapeId="0" xr:uid="{E7D31325-138A-4FE3-93CC-FBE3DF3A69C6}">
      <text>
        <r>
          <rPr>
            <sz val="9"/>
            <color indexed="81"/>
            <rFont val="Tahoma"/>
            <family val="2"/>
          </rPr>
          <t>Info Alberto 28/12/24: 1.500€ pasarán al cobro el 25/01/25
Fra: 25/FVE00002 (25/01/25): 1.463,63€
Cargado: 24/01/25</t>
        </r>
      </text>
    </comment>
    <comment ref="CT9" authorId="1" shapeId="0" xr:uid="{B767447C-ADF5-4B27-8F65-E4EA6D894364}">
      <text>
        <r>
          <rPr>
            <sz val="9"/>
            <color indexed="81"/>
            <rFont val="Tahoma"/>
            <family val="2"/>
          </rPr>
          <t xml:space="preserve">
Fra: 25/FVE00052 (25/04/25): 686,27€
Cargado: 25/04/25</t>
        </r>
      </text>
    </comment>
    <comment ref="DF9" authorId="1" shapeId="0" xr:uid="{EFF79106-3486-49FA-8C65-5B8CEA778F06}">
      <text>
        <r>
          <rPr>
            <b/>
            <sz val="9"/>
            <color indexed="81"/>
            <rFont val="Tahoma"/>
            <family val="2"/>
          </rPr>
          <t xml:space="preserve">Fra Iceberg 26/FVE00052 (30/03/26): 178.430,01€
Incluye:
</t>
        </r>
        <r>
          <rPr>
            <sz val="9"/>
            <color indexed="81"/>
            <rFont val="Tahoma"/>
            <family val="2"/>
          </rPr>
          <t xml:space="preserve">1.538,80€: Provisión fondos cancelación préstamo Caixa
Cargado Bankinter: 30/03/26
164.200€ OMF 1 Caixabank
Cargado Bankinter: 30/03/26
12.691,16€: OMF 2 Iceberg
Cargado Bankinter: 30/03/26
</t>
        </r>
      </text>
    </comment>
    <comment ref="DH9" authorId="1" shapeId="0" xr:uid="{7E8CADCF-268C-49D7-828C-687F0691E9FF}">
      <text>
        <r>
          <rPr>
            <b/>
            <sz val="9"/>
            <color indexed="81"/>
            <rFont val="Tahoma"/>
            <family val="2"/>
          </rPr>
          <t>Fra 13 Jose Luis Yanez del 26/05/26:</t>
        </r>
        <r>
          <rPr>
            <sz val="9"/>
            <color indexed="81"/>
            <rFont val="Tahoma"/>
            <family val="2"/>
          </rPr>
          <t xml:space="preserve">
4.764,42€: 50% Cocina con electrodoméstico
4.764,42€: Transferencia Caixa realizada el 27/05/26
--------------------------------
</t>
        </r>
        <r>
          <rPr>
            <b/>
            <sz val="9"/>
            <color indexed="81"/>
            <rFont val="Tahoma"/>
            <family val="2"/>
          </rPr>
          <t>Fra 14 Jose Luis Yanez del 26/05/26:</t>
        </r>
        <r>
          <rPr>
            <sz val="9"/>
            <color indexed="81"/>
            <rFont val="Tahoma"/>
            <family val="2"/>
          </rPr>
          <t xml:space="preserve">
887,96€: 50% Cajoneras y baldas
887,96€: Transferencia Caixa realizada el 27/05/26
--------------------------------
</t>
        </r>
        <r>
          <rPr>
            <b/>
            <sz val="9"/>
            <color indexed="81"/>
            <rFont val="Tahoma"/>
            <family val="2"/>
          </rPr>
          <t>Fra 15 Jose Luis Yanez del 26/05/26:</t>
        </r>
        <r>
          <rPr>
            <sz val="9"/>
            <color indexed="81"/>
            <rFont val="Tahoma"/>
            <family val="2"/>
          </rPr>
          <t xml:space="preserve">
164,98€: 50% Accesorios baños
164,98€: Transferencia Caixa realizada el 27/05/26
--------------------------------</t>
        </r>
      </text>
    </comment>
    <comment ref="DI9" authorId="1" shapeId="0" xr:uid="{D021EB33-BE9F-4B97-8813-AD39C54D8613}">
      <text>
        <r>
          <rPr>
            <b/>
            <sz val="9"/>
            <color indexed="81"/>
            <rFont val="Tahoma"/>
            <family val="2"/>
          </rPr>
          <t>Fra  Jose Luis Yanez del :</t>
        </r>
        <r>
          <rPr>
            <sz val="9"/>
            <color indexed="81"/>
            <rFont val="Tahoma"/>
            <family val="2"/>
          </rPr>
          <t xml:space="preserve">
4.764,42€: 50% Cocina con electrodoméstico
4.764,42€: Transferencia Caixa realizada el 
Info Alb 27/05/26: Esto es el 50% del valor, pndte el otro 50% para Junio
--------------------------------
</t>
        </r>
        <r>
          <rPr>
            <b/>
            <sz val="9"/>
            <color indexed="81"/>
            <rFont val="Tahoma"/>
            <family val="2"/>
          </rPr>
          <t>Fra  Jose Luis Yanez del :</t>
        </r>
        <r>
          <rPr>
            <sz val="9"/>
            <color indexed="81"/>
            <rFont val="Tahoma"/>
            <family val="2"/>
          </rPr>
          <t xml:space="preserve">
887,96€: 50% Cajoneras y baldas
887,96€: Transferencia Caixa realizada el 
Info Alb 27/05/26: Esto es el 50% del valor, pndte el otro 50% para Junio
--------------------------------
</t>
        </r>
        <r>
          <rPr>
            <b/>
            <sz val="9"/>
            <color indexed="81"/>
            <rFont val="Tahoma"/>
            <family val="2"/>
          </rPr>
          <t>Fra  Jose Luis Yanez del :</t>
        </r>
        <r>
          <rPr>
            <sz val="9"/>
            <color indexed="81"/>
            <rFont val="Tahoma"/>
            <family val="2"/>
          </rPr>
          <t xml:space="preserve">
164,98€: 50% Accesorios baños
164,98€: Transferencia Caixa realizada el 
Info Alb 27/05/26: Esto es el 50% del valor, pndte el otro 50% para Junio
--------------------------------</t>
        </r>
      </text>
    </comment>
    <comment ref="DA10" authorId="2" shapeId="0" xr:uid="{0B839A4A-31DC-4538-9252-DEF40B13FA70}">
      <text>
        <r>
          <rPr>
            <sz val="9"/>
            <color indexed="81"/>
            <rFont val="Tahoma"/>
            <family val="2"/>
          </rPr>
          <t>Fra K-tuin del 10/09/25.
Compra ordenador: 1.224,45€.
Pagado con tarjeta VISA Alberto: 10/09/25</t>
        </r>
        <r>
          <rPr>
            <b/>
            <sz val="9"/>
            <color indexed="81"/>
            <rFont val="Tahoma"/>
            <family val="2"/>
          </rPr>
          <t xml:space="preserve"> 
Cargado el 05/10/25
</t>
        </r>
      </text>
    </comment>
    <comment ref="B15" authorId="0" shapeId="0" xr:uid="{CFCE590B-CA31-4F8A-957B-22441C34C299}">
      <text>
        <r>
          <rPr>
            <b/>
            <sz val="9"/>
            <color indexed="81"/>
            <rFont val="Tahoma"/>
            <family val="2"/>
          </rPr>
          <t xml:space="preserve">Leasing con Caixa
</t>
        </r>
        <r>
          <rPr>
            <sz val="9"/>
            <color indexed="81"/>
            <rFont val="Tahoma"/>
            <family val="2"/>
          </rPr>
          <t>Comercial Agricola Sta Angela: 33500 + 21%iva 
Compra tractor financiado con Leasing a Caixa. 
Manuel Carrillo: 7500+7500 + 21% iva compra empacadora y segadora con leasing a Caixa (empacadora cancelada y vendida a Claas)
Cargo de cuotas el 16 de cada mes</t>
        </r>
      </text>
    </comment>
    <comment ref="BY15" authorId="2" shapeId="0" xr:uid="{BFA88519-2B88-4F3A-BF0B-23604809F26B}">
      <text>
        <r>
          <rPr>
            <b/>
            <sz val="9"/>
            <color indexed="81"/>
            <rFont val="Tahoma"/>
            <family val="2"/>
          </rPr>
          <t>Subida tipo de interes. 
Cargado Caixa: 16/09/23</t>
        </r>
      </text>
    </comment>
    <comment ref="B16" authorId="0" shapeId="0" xr:uid="{8391CDB1-17B7-436A-92FD-9F097837AA2C}">
      <text>
        <r>
          <rPr>
            <b/>
            <sz val="9"/>
            <color indexed="81"/>
            <rFont val="Tahoma"/>
            <family val="2"/>
          </rPr>
          <t>alfonso:</t>
        </r>
        <r>
          <rPr>
            <sz val="9"/>
            <color indexed="81"/>
            <rFont val="Tahoma"/>
            <family val="2"/>
          </rPr>
          <t xml:space="preserve">
empacadora y ensiladora
</t>
        </r>
      </text>
    </comment>
    <comment ref="BY16" authorId="0" shapeId="0" xr:uid="{EF27E6DF-BDB1-4228-BD2F-AF1EDC5704F7}">
      <text>
        <r>
          <rPr>
            <sz val="9"/>
            <color indexed="81"/>
            <rFont val="Tahoma"/>
            <family val="2"/>
          </rPr>
          <t>(2039,01+736,76) pagamos por Rural a Claas financiera o BNP devolución principal  por financiación compra ensiladora y empacadora.
Domic Rural 26/09/22.
-387,89 devolución Antonio de la mitad de la cuota 
Cargado: 25/09/23.</t>
        </r>
      </text>
    </comment>
    <comment ref="BZ16" authorId="0" shapeId="0" xr:uid="{C887E88F-D7FF-4C08-8CCD-028550C7BB8C}">
      <text>
        <r>
          <rPr>
            <b/>
            <sz val="9"/>
            <color indexed="81"/>
            <rFont val="Tahoma"/>
            <family val="2"/>
          </rPr>
          <t>Prevision nov-Alfonso:</t>
        </r>
        <r>
          <rPr>
            <sz val="9"/>
            <color indexed="81"/>
            <rFont val="Tahoma"/>
            <family val="2"/>
          </rPr>
          <t xml:space="preserve">
(2304,2+894,23) pagamos por Rural a Claas financiera o BNP devolución principal  por financiación compra ensiladora y empacadora.
Domic Rural 25/10/22.
</t>
        </r>
      </text>
    </comment>
    <comment ref="CM16" authorId="0" shapeId="0" xr:uid="{E8425BF6-B210-4B9D-B62C-4C777A549494}">
      <text>
        <r>
          <rPr>
            <sz val="9"/>
            <color indexed="81"/>
            <rFont val="Tahoma"/>
            <family val="2"/>
          </rPr>
          <t xml:space="preserve">(2039,01+736,76) pagamos por Rural a Claas financiera o BNP devolución principal  por financiación compra ensiladora y empacadora.
Domic Rural 26/09/22.
</t>
        </r>
      </text>
    </comment>
    <comment ref="CN16" authorId="0" shapeId="0" xr:uid="{C71EC6BE-E11F-489B-8EF6-A279F3E98CD9}">
      <text>
        <r>
          <rPr>
            <b/>
            <sz val="9"/>
            <color indexed="81"/>
            <rFont val="Tahoma"/>
            <family val="2"/>
          </rPr>
          <t>Prevision nov-Alfonso:</t>
        </r>
        <r>
          <rPr>
            <sz val="9"/>
            <color indexed="81"/>
            <rFont val="Tahoma"/>
            <family val="2"/>
          </rPr>
          <t xml:space="preserve">
(2304,2+894,23) pagamos por Rural a Claas financiera o BNP devolución principal  por financiación compra ensiladora y empacadora.
Domic Rural 25/10/22.
</t>
        </r>
      </text>
    </comment>
    <comment ref="BY17" authorId="2" shapeId="0" xr:uid="{28AE0CC3-B245-47D2-B112-DA1078318196}">
      <text>
        <r>
          <rPr>
            <sz val="9"/>
            <color indexed="81"/>
            <rFont val="Tahoma"/>
            <family val="2"/>
          </rPr>
          <t xml:space="preserve">COMPRA </t>
        </r>
        <r>
          <rPr>
            <b/>
            <sz val="9"/>
            <color indexed="81"/>
            <rFont val="Tahoma"/>
            <family val="2"/>
          </rPr>
          <t>Opel Frontera II</t>
        </r>
        <r>
          <rPr>
            <sz val="9"/>
            <color indexed="81"/>
            <rFont val="Tahoma"/>
            <family val="2"/>
          </rPr>
          <t xml:space="preserve"> (vehiculo nuevo Matricula: H4437Z). 
Transferencia realizada a Alfonso el 21/09/23.</t>
        </r>
      </text>
    </comment>
    <comment ref="CA17" authorId="2" shapeId="0" xr:uid="{D6302B80-CF4E-4F0E-BA91-0EF20FBB1441}">
      <text>
        <r>
          <rPr>
            <sz val="9"/>
            <color indexed="81"/>
            <rFont val="Tahoma"/>
            <family val="2"/>
          </rPr>
          <t xml:space="preserve">
</t>
        </r>
        <r>
          <rPr>
            <b/>
            <sz val="9"/>
            <color indexed="81"/>
            <rFont val="Tahoma"/>
            <family val="2"/>
          </rPr>
          <t>Fra De los reyes Reparacione del 31/03/23.</t>
        </r>
        <r>
          <rPr>
            <sz val="9"/>
            <color indexed="81"/>
            <rFont val="Tahoma"/>
            <family val="2"/>
          </rPr>
          <t xml:space="preserve">
Generador: 1.207,58€.
Transferencia realizada el 03/11/23</t>
        </r>
      </text>
    </comment>
    <comment ref="CC17" authorId="2" shapeId="0" xr:uid="{F6E3C631-0531-419F-B111-01A66E42577F}">
      <text>
        <r>
          <rPr>
            <b/>
            <sz val="9"/>
            <color indexed="81"/>
            <rFont val="Tahoma"/>
            <family val="2"/>
          </rPr>
          <t xml:space="preserve">Fra La Sidero del 10/01/23.
</t>
        </r>
        <r>
          <rPr>
            <sz val="9"/>
            <color indexed="81"/>
            <rFont val="Tahoma"/>
            <family val="2"/>
          </rPr>
          <t xml:space="preserve">Discos reparacion gradas: 2.292,95€
50% molino y 50% Maseros
Realizar transfer en junio.
</t>
        </r>
        <r>
          <rPr>
            <i/>
            <sz val="9"/>
            <color indexed="81"/>
            <rFont val="Tahoma"/>
            <family val="2"/>
          </rPr>
          <t xml:space="preserve">Esto de los discos de la sidero a pagar a medias con los masero es a cobrarles en el momento del pago, anotar aqui, no a incluir en la liquidación de los tiempos juntos.
</t>
        </r>
        <r>
          <rPr>
            <sz val="9"/>
            <color indexed="81"/>
            <rFont val="Tahoma"/>
            <family val="2"/>
          </rPr>
          <t xml:space="preserve">Transferencia realizada el 11/01/24.
----------------------------------------------------
</t>
        </r>
        <r>
          <rPr>
            <b/>
            <sz val="9"/>
            <color indexed="81"/>
            <rFont val="Tahoma"/>
            <family val="2"/>
          </rPr>
          <t xml:space="preserve">Fra JA Burga del 24/08/23. </t>
        </r>
        <r>
          <rPr>
            <sz val="9"/>
            <color indexed="81"/>
            <rFont val="Tahoma"/>
            <family val="2"/>
          </rPr>
          <t xml:space="preserve">
Reparacion sembradora (al 50% con los MASERO, apuntado en la liquidacion): 1.283,65€.
Transferencia realizada el 11/01/24.
--------------------------------------------------
</t>
        </r>
        <r>
          <rPr>
            <sz val="9"/>
            <color indexed="81"/>
            <rFont val="Tahoma"/>
            <family val="2"/>
          </rPr>
          <t xml:space="preserve">
</t>
        </r>
      </text>
    </comment>
    <comment ref="CR17" authorId="3" shapeId="0" xr:uid="{545B266C-D7E6-433D-A738-2A32E798981A}">
      <text>
        <r>
          <rPr>
            <b/>
            <sz val="9"/>
            <color indexed="81"/>
            <rFont val="Tahoma"/>
            <family val="2"/>
          </rPr>
          <t xml:space="preserve">Fra Talleres López Garrido del 30/10/24: </t>
        </r>
        <r>
          <rPr>
            <sz val="9"/>
            <color indexed="81"/>
            <rFont val="Tahoma"/>
            <family val="2"/>
          </rPr>
          <t>Inversión para mejoras en la pala de enganche del tractor 6320 y homogeneización de enganches en todos los aperos</t>
        </r>
        <r>
          <rPr>
            <b/>
            <sz val="9"/>
            <color indexed="81"/>
            <rFont val="Tahoma"/>
            <family val="2"/>
          </rPr>
          <t xml:space="preserve">
Ppto del 29/10/24.
</t>
        </r>
        <r>
          <rPr>
            <sz val="9"/>
            <color indexed="81"/>
            <rFont val="Tahoma"/>
            <family val="2"/>
          </rPr>
          <t xml:space="preserve">1.270,10€. 
Transferencia Caixa 1117 realizada el 29/10/24
VENCIMIENTO EL 26/02/25.
Cargado Caixa: 26/02/25
</t>
        </r>
      </text>
    </comment>
    <comment ref="CU17" authorId="2" shapeId="0" xr:uid="{B05B35A5-F6BE-49BF-A3E4-2F64296FEB80}">
      <text>
        <r>
          <rPr>
            <b/>
            <sz val="9"/>
            <color indexed="81"/>
            <rFont val="Tahoma"/>
            <family val="2"/>
          </rPr>
          <t>Fra López Garrido del 12/05/25.</t>
        </r>
        <r>
          <rPr>
            <sz val="9"/>
            <color indexed="81"/>
            <rFont val="Tahoma"/>
            <family val="2"/>
          </rPr>
          <t xml:space="preserve">
Aperos para tractores: 1.533,31€.
Domiciliación: 19/05/25
Cargado Caixa 3116: 20/05/25</t>
        </r>
      </text>
    </comment>
    <comment ref="CV17" authorId="2" shapeId="0" xr:uid="{086A892A-4FD6-4CC7-8312-A4BEC246FC60}">
      <text>
        <r>
          <rPr>
            <sz val="9"/>
            <color indexed="81"/>
            <rFont val="Tahoma"/>
            <family val="2"/>
          </rPr>
          <t xml:space="preserve">2.600€: Compra coche para campo Nissan Pick up
Pagado desde Caixa NA el 01/05/25
Pendiente transferir a NA
Transf. realizada el 13/06/25
-------------------------------
</t>
        </r>
        <r>
          <rPr>
            <b/>
            <sz val="9"/>
            <color indexed="81"/>
            <rFont val="Tahoma"/>
            <family val="2"/>
          </rPr>
          <t>Fra Leroy Merlin del 08/05/25.</t>
        </r>
        <r>
          <rPr>
            <sz val="9"/>
            <color indexed="81"/>
            <rFont val="Tahoma"/>
            <family val="2"/>
          </rPr>
          <t xml:space="preserve">
Baterias solares para la casal: 693€.
Pagado con VISA ALF el 04/05/25
Cargado Caixa: 05/06/25</t>
        </r>
      </text>
    </comment>
    <comment ref="CW17" authorId="2" shapeId="0" xr:uid="{1052B9A4-1461-48A3-9B0F-BC08829FA620}">
      <text>
        <r>
          <rPr>
            <sz val="9"/>
            <color indexed="81"/>
            <rFont val="Tahoma"/>
            <family val="2"/>
          </rPr>
          <t xml:space="preserve">
</t>
        </r>
        <r>
          <rPr>
            <b/>
            <sz val="9"/>
            <color indexed="81"/>
            <rFont val="Tahoma"/>
            <family val="2"/>
          </rPr>
          <t>Fra De los reyes Reparaciones del 10/08/24.</t>
        </r>
        <r>
          <rPr>
            <sz val="9"/>
            <color indexed="81"/>
            <rFont val="Tahoma"/>
            <family val="2"/>
          </rPr>
          <t xml:space="preserve">
Instalación de sistema de extracción de agua en el pozo principa- Inmov. material: 4.705,06€.
14/08/24: OK ALF y ALB esperar a que reclamen para realizar el pago mediante financiación
04/03/25: Ok ALF pagar 50% en marzo y resto en abril
Transf. Caixa realizada el 04/03/25
VENCIMIENTO EL 02/07/25.
Cargado Caixa: 02/07/25
4705,06*0,5
--------------------------------------------
</t>
        </r>
      </text>
    </comment>
    <comment ref="DE17" authorId="2" shapeId="0" xr:uid="{4430D3EB-2891-49CA-90C2-05BBB50FE17A}">
      <text>
        <r>
          <rPr>
            <b/>
            <sz val="9"/>
            <color indexed="81"/>
            <rFont val="Tahoma"/>
            <family val="2"/>
          </rPr>
          <t>Pedido Grupanorcercampo del 20/02/26.</t>
        </r>
        <r>
          <rPr>
            <sz val="9"/>
            <color indexed="81"/>
            <rFont val="Tahoma"/>
            <family val="2"/>
          </rPr>
          <t xml:space="preserve">
Compra material ganadero: 4.027,84€.
Pndte factura
20/02/26: Ok ALF pagar 50% ya y resto después de la entrega
2.013,92€: Transferencia Caixa realizada el 20/02/26</t>
        </r>
      </text>
    </comment>
    <comment ref="DF17" authorId="2" shapeId="0" xr:uid="{6C181D3F-D120-431C-9DAB-9C38C5C57FC6}">
      <text>
        <r>
          <rPr>
            <b/>
            <sz val="9"/>
            <color indexed="81"/>
            <rFont val="Tahoma"/>
            <family val="2"/>
          </rPr>
          <t>Factura Velas Climent del 12/03/26.</t>
        </r>
        <r>
          <rPr>
            <sz val="9"/>
            <color indexed="81"/>
            <rFont val="Tahoma"/>
            <family val="2"/>
          </rPr>
          <t xml:space="preserve">
Mobiliario para casa finca: 3.545,30€.
13/03/26: Ok Alberto pagar ya 
3.545,30€: Transferencia Caixa realizada el 13/03/26
</t>
        </r>
      </text>
    </comment>
    <comment ref="DG17" authorId="2" shapeId="0" xr:uid="{A7C9D6BC-81C6-482E-93A0-D9E20E28BA5D}">
      <text>
        <r>
          <rPr>
            <b/>
            <sz val="9"/>
            <color indexed="81"/>
            <rFont val="Tahoma"/>
            <family val="2"/>
          </rPr>
          <t>Agriangus: Material de Pastor eléctrico:</t>
        </r>
        <r>
          <rPr>
            <sz val="9"/>
            <color indexed="81"/>
            <rFont val="Tahoma"/>
            <family val="2"/>
          </rPr>
          <t xml:space="preserve">
Fra: 9/60 (07/04/26): 1.577,37€
Transferencia Caixa realizada el 08/04/26
Fra: 9/61 (07/04/26): 50€
Transferencia Caixa realizada el 08/04/26
Fra: 9/62 (07/04/26): 89,50€
Transferencia Caixa realizada el 08/04/26
-------------------------------------------</t>
        </r>
      </text>
    </comment>
    <comment ref="DI17" authorId="2" shapeId="0" xr:uid="{E69210E5-3E3F-485F-8B6E-F14E78A1AFF7}">
      <text>
        <r>
          <rPr>
            <b/>
            <sz val="9"/>
            <color indexed="81"/>
            <rFont val="Tahoma"/>
            <family val="2"/>
          </rPr>
          <t xml:space="preserve">Fra A845 (18/03/26): 3.670,69€
</t>
        </r>
        <r>
          <rPr>
            <sz val="9"/>
            <color indexed="81"/>
            <rFont val="Tahoma"/>
            <family val="2"/>
          </rPr>
          <t xml:space="preserve">Pedido Grupanorcercampo del 20/02/26.
Compra material ganadero: 4.027,84€.
20/02/26: Ok ALF pagar 50% ya y resto después de la entrega
2.013,92€: Transferencia Caixa realizada el 20/02/26
1.656,77€: Pndte transferencia para próxima remesa
----------------------------------------
</t>
        </r>
        <r>
          <rPr>
            <b/>
            <sz val="9"/>
            <color indexed="81"/>
            <rFont val="Tahoma"/>
            <family val="2"/>
          </rPr>
          <t>Fra A1256 (17/04/26): 899,16€</t>
        </r>
        <r>
          <rPr>
            <sz val="9"/>
            <color indexed="81"/>
            <rFont val="Tahoma"/>
            <family val="2"/>
          </rPr>
          <t xml:space="preserve">
Compra material ganadero
04/05/26: Ok ALF pagar 
899,16€: Transferencia Caixa realizada el </t>
        </r>
      </text>
    </comment>
    <comment ref="DJ17" authorId="2" shapeId="0" xr:uid="{53CA9DE3-4219-4B82-82FB-23D77734E928}">
      <text>
        <r>
          <rPr>
            <b/>
            <sz val="9"/>
            <color indexed="81"/>
            <rFont val="Tahoma"/>
            <family val="2"/>
          </rPr>
          <t>Fra De los reyes Reparaciones del 10/08/24.</t>
        </r>
        <r>
          <rPr>
            <sz val="9"/>
            <color indexed="81"/>
            <rFont val="Tahoma"/>
            <family val="2"/>
          </rPr>
          <t xml:space="preserve">
Instalación de sistema de extracción de agua en el pozo principa- Inmov. material: 4.705,06€.
14/08/24: OK ALF y ALB esperar a que reclamen para realizar el pago mediante financiación
04/03/25: Ok ALF pagar 50% en marzo y resto en abril
18/06/25: Seguimos esperando</t>
        </r>
      </text>
    </comment>
    <comment ref="CC20" authorId="1" shapeId="0" xr:uid="{E918FF0A-CB77-4D84-A2B4-954B4B14F006}">
      <text>
        <r>
          <rPr>
            <b/>
            <sz val="9"/>
            <color indexed="81"/>
            <rFont val="Tahoma"/>
            <family val="2"/>
          </rPr>
          <t xml:space="preserve">Fra Carpinteria Javier Pombero
</t>
        </r>
        <r>
          <rPr>
            <sz val="9"/>
            <color indexed="81"/>
            <rFont val="Tahoma"/>
            <family val="2"/>
          </rPr>
          <t>Fra del 15/01/24.</t>
        </r>
        <r>
          <rPr>
            <b/>
            <sz val="9"/>
            <color indexed="81"/>
            <rFont val="Tahoma"/>
            <family val="2"/>
          </rPr>
          <t xml:space="preserve">
</t>
        </r>
        <r>
          <rPr>
            <sz val="9"/>
            <color indexed="81"/>
            <rFont val="Tahoma"/>
            <family val="2"/>
          </rPr>
          <t>Puertas para cercas finca: 2.057€. 
Transferencia a realizar
Transferencia realizada el 26/01/24</t>
        </r>
      </text>
    </comment>
    <comment ref="CF20" authorId="1" shapeId="0" xr:uid="{14A41AD3-C63F-4FDA-BDF7-927614625ED4}">
      <text>
        <r>
          <rPr>
            <b/>
            <sz val="9"/>
            <color indexed="81"/>
            <rFont val="Tahoma"/>
            <family val="2"/>
          </rPr>
          <t xml:space="preserve">Fra Carpinteria Javier Pombero
</t>
        </r>
        <r>
          <rPr>
            <sz val="9"/>
            <color indexed="81"/>
            <rFont val="Tahoma"/>
            <family val="2"/>
          </rPr>
          <t>Fra del 02/04/24.
Corrugados: 17.742,47€. 
16/04/24: OK ALF transferencia a realizar
17.742,47€: Transferencia realizada el 16/04/24
17.049,72€: Financiada Vcmto: 12/08/24</t>
        </r>
      </text>
    </comment>
    <comment ref="CJ20" authorId="1" shapeId="0" xr:uid="{A4607AC8-DC6E-4E7C-AFA5-BD917804A94C}">
      <text>
        <r>
          <rPr>
            <b/>
            <sz val="9"/>
            <color indexed="81"/>
            <rFont val="Tahoma"/>
            <family val="2"/>
          </rPr>
          <t xml:space="preserve">Fra Carpinteria Javier Pombero
</t>
        </r>
        <r>
          <rPr>
            <sz val="9"/>
            <color indexed="81"/>
            <rFont val="Tahoma"/>
            <family val="2"/>
          </rPr>
          <t>Fra del 02/04/24.
Corrugados: 17.742,47€. 
16/04/24: OK ALF transferencia a realizar
17.742,47€: Transferencia realizada el 16/04/24 desde Cta 3116
17.049,72€: Financiada Vcmto: 12/08/24
Cargada: 13/08/24</t>
        </r>
      </text>
    </comment>
    <comment ref="CW20" authorId="1" shapeId="0" xr:uid="{F85B03F9-E80B-46FB-9E56-BC604E2E2FC7}">
      <text>
        <r>
          <rPr>
            <b/>
            <sz val="9"/>
            <color indexed="81"/>
            <rFont val="Tahoma"/>
            <family val="2"/>
          </rPr>
          <t xml:space="preserve">Info ALF 18/06/25:
17.000€+IVA= 21.175€: Estructura para techado de parideras de cochinas
</t>
        </r>
        <r>
          <rPr>
            <sz val="9"/>
            <color indexed="81"/>
            <rFont val="Tahoma"/>
            <family val="2"/>
          </rPr>
          <t>A pagar en julio
Fra del 25/06/25 por el 50% del total
Pndte fra por el otro 50%
Fra del 15/07/25 por el 50% restante
10.587,50€:Transferencia Caixa realizada el 16/07/25</t>
        </r>
      </text>
    </comment>
    <comment ref="DA20" authorId="1" shapeId="0" xr:uid="{5034FC81-39DA-465C-95F3-BC6DA5986AD4}">
      <text>
        <r>
          <rPr>
            <b/>
            <sz val="9"/>
            <color indexed="81"/>
            <rFont val="Tahoma"/>
            <family val="2"/>
          </rPr>
          <t xml:space="preserve">Info ALF 18/06/25:
17.000€+IVA= 21.175€: Estructura para techado de parideras de cochinas
</t>
        </r>
        <r>
          <rPr>
            <sz val="9"/>
            <color indexed="81"/>
            <rFont val="Tahoma"/>
            <family val="2"/>
          </rPr>
          <t>A pagar en julio
Fra del 25/06/25 por el 50% del total
10.587,50€:Transferencia Caixa realizada el 26/06/25
VENCIMIENTO EL 24/10/25.
Cargado Caixa: 24/10/25</t>
        </r>
      </text>
    </comment>
    <comment ref="DF21" authorId="1" shapeId="0" xr:uid="{FEDC10A8-E476-4E4A-85AC-2F5E647D8768}">
      <text>
        <r>
          <rPr>
            <sz val="9"/>
            <color indexed="81"/>
            <rFont val="Tahoma"/>
            <family val="2"/>
          </rPr>
          <t xml:space="preserve">Info Alberto 17/02/26:
Compra 16 vacas a 2.950€/vaca en marzo
Fra Clinica Veterinaria de STº Onofre del 11/03/26:
44250€: 15 vacas
Transf. Bankinter realizada el 12/03/26
</t>
        </r>
      </text>
    </comment>
    <comment ref="B22" authorId="0" shapeId="0" xr:uid="{D8BADA75-22DF-45F2-B927-EC13C947F73D}">
      <text>
        <r>
          <rPr>
            <b/>
            <sz val="9"/>
            <color indexed="81"/>
            <rFont val="Tahoma"/>
            <family val="2"/>
          </rPr>
          <t xml:space="preserve">Maria
</t>
        </r>
        <r>
          <rPr>
            <sz val="9"/>
            <color indexed="81"/>
            <rFont val="Tahoma"/>
            <family val="2"/>
          </rPr>
          <t>152.000 precio venta
-66.000 pagados via gastos del proceso de herencia y compra venta
-6.000 pagados por transferencia
-80.000 A pagar en notaría en escritura de compra venta</t>
        </r>
      </text>
    </comment>
    <comment ref="BY22" authorId="2" shapeId="0" xr:uid="{11CF96DA-3514-4D25-8E76-E204B35FF9C4}">
      <text>
        <r>
          <rPr>
            <b/>
            <sz val="9"/>
            <color indexed="81"/>
            <rFont val="Tahoma"/>
            <family val="2"/>
          </rPr>
          <t xml:space="preserve">Transferencia hecha el 27/09/23
</t>
        </r>
      </text>
    </comment>
    <comment ref="CA22" authorId="2" shapeId="0" xr:uid="{9EEEABE8-B11F-46AC-B634-A27517A7711D}">
      <text>
        <r>
          <rPr>
            <sz val="9"/>
            <color indexed="81"/>
            <rFont val="Tahoma"/>
            <family val="2"/>
          </rPr>
          <t xml:space="preserve">4.770€: Honorarios cristina Losada. Fra 0000432/2023 del 01/10/23.
23/06/23: Ok Alberto esperar para pagar en remesa 15/07/23.
954 E: Transferencia realizada el 13/10/23.
VENCIMIENTO EL 07/02/23.
3816 E: Pndte realizar transferencia
22/11/23: Ok Alberto realizar transferencia
3816€: Transf. Caixa realizada el 23/11/23
---------------------------------------------
</t>
        </r>
      </text>
    </comment>
    <comment ref="CB22" authorId="2" shapeId="0" xr:uid="{854127D2-053F-4D6C-9753-2A3E51452C6F}">
      <text>
        <r>
          <rPr>
            <sz val="9"/>
            <color indexed="81"/>
            <rFont val="Tahoma"/>
            <family val="2"/>
          </rPr>
          <t xml:space="preserve">Resumen pagos pendientes mail de cristina del 03/02/22.
</t>
        </r>
        <r>
          <rPr>
            <b/>
            <sz val="9"/>
            <color indexed="81"/>
            <rFont val="Tahoma"/>
            <family val="2"/>
          </rPr>
          <t>1</t>
        </r>
        <r>
          <rPr>
            <sz val="9"/>
            <color indexed="81"/>
            <rFont val="Tahoma"/>
            <family val="2"/>
          </rPr>
          <t xml:space="preserve">.Demanda de ejecución. 
¿? €: gastos procurador.
</t>
        </r>
        <r>
          <rPr>
            <b/>
            <sz val="9"/>
            <color indexed="81"/>
            <rFont val="Tahoma"/>
            <family val="2"/>
          </rPr>
          <t>2.</t>
        </r>
        <r>
          <rPr>
            <sz val="9"/>
            <color indexed="81"/>
            <rFont val="Tahoma"/>
            <family val="2"/>
          </rPr>
          <t xml:space="preserve"> Herencia y segregación
1.380,39€: Fra proforma notaria del 28/01/22. 
</t>
        </r>
        <r>
          <rPr>
            <b/>
            <sz val="9"/>
            <color indexed="81"/>
            <rFont val="Tahoma"/>
            <family val="2"/>
          </rPr>
          <t xml:space="preserve">
3.</t>
        </r>
        <r>
          <rPr>
            <sz val="9"/>
            <color indexed="81"/>
            <rFont val="Tahoma"/>
            <family val="2"/>
          </rPr>
          <t xml:space="preserve"> Segregación.
400€: informe pericial. 
100€: Licencia Ayto.
1.629€: Tipo.
1.100€: Notaria.
</t>
        </r>
        <r>
          <rPr>
            <b/>
            <sz val="9"/>
            <color indexed="81"/>
            <rFont val="Tahoma"/>
            <family val="2"/>
          </rPr>
          <t xml:space="preserve">4. </t>
        </r>
        <r>
          <rPr>
            <sz val="9"/>
            <color indexed="81"/>
            <rFont val="Tahoma"/>
            <family val="2"/>
          </rPr>
          <t xml:space="preserve">Compraventa de la fincas 3-3 y 3-31.
610€: Notaria. 
4.783,00 + 539,00€: tipo.
</t>
        </r>
        <r>
          <rPr>
            <b/>
            <sz val="9"/>
            <color indexed="81"/>
            <rFont val="Tahoma"/>
            <family val="2"/>
          </rPr>
          <t xml:space="preserve">5. </t>
        </r>
        <r>
          <rPr>
            <sz val="9"/>
            <color indexed="81"/>
            <rFont val="Tahoma"/>
            <family val="2"/>
          </rPr>
          <t xml:space="preserve">Compraventa de Manuel Pérez Fernández. 
610€: Notaria. 
</t>
        </r>
        <r>
          <rPr>
            <b/>
            <sz val="9"/>
            <color indexed="81"/>
            <rFont val="Tahoma"/>
            <family val="2"/>
          </rPr>
          <t xml:space="preserve">6. </t>
        </r>
        <r>
          <rPr>
            <sz val="9"/>
            <color indexed="81"/>
            <rFont val="Tahoma"/>
            <family val="2"/>
          </rPr>
          <t xml:space="preserve">Registro Propiedad.
4.000€: aproximado, no es seguro.
</t>
        </r>
        <r>
          <rPr>
            <b/>
            <sz val="9"/>
            <color indexed="81"/>
            <rFont val="Tahoma"/>
            <family val="2"/>
          </rPr>
          <t xml:space="preserve">
7. </t>
        </r>
        <r>
          <rPr>
            <sz val="9"/>
            <color indexed="81"/>
            <rFont val="Tahoma"/>
            <family val="2"/>
          </rPr>
          <t xml:space="preserve">Letrada. 
2.500,00€. 
Total gastos pendientes de pago: </t>
        </r>
        <r>
          <rPr>
            <b/>
            <sz val="9"/>
            <color indexed="81"/>
            <rFont val="Tahoma"/>
            <family val="2"/>
          </rPr>
          <t>16.271,00€.</t>
        </r>
        <r>
          <rPr>
            <sz val="9"/>
            <color indexed="81"/>
            <rFont val="Tahoma"/>
            <family val="2"/>
          </rPr>
          <t xml:space="preserve"> 
-868,16€: fra notaria.
-1.622,70€: Pago modelo 600 segregacion fincas.
-133,98€: fra notaria.
-3.184,35€: fra registro.
Total gastos pendientes de pago: </t>
        </r>
        <r>
          <rPr>
            <b/>
            <sz val="9"/>
            <color indexed="81"/>
            <rFont val="Tahoma"/>
            <family val="2"/>
          </rPr>
          <t>10.461,71€.
--------------------------------------------------------</t>
        </r>
        <r>
          <rPr>
            <sz val="9"/>
            <color indexed="81"/>
            <rFont val="Tahoma"/>
            <family val="2"/>
          </rPr>
          <t xml:space="preserve"> 
</t>
        </r>
      </text>
    </comment>
    <comment ref="CD22" authorId="2" shapeId="0" xr:uid="{327EBBE8-A070-41E7-814A-5A328DA55720}">
      <text>
        <r>
          <rPr>
            <sz val="9"/>
            <color indexed="81"/>
            <rFont val="Tahoma"/>
            <family val="2"/>
          </rPr>
          <t xml:space="preserve">10,000 Eur de pago a Leo por gastos realizados por ella previos a nuestra entrada a gestionar el proceso.
Info ALF 13/10/23: Sustituir estos 10.000 E por el pago de las siguientes fras:
4.873,05 E: Fra Eduardo Masero 23025 (03/07/23)
5.252,06 E: Fra Eduardo Masero 23026 (14/07/23)
13/10/23: OK Alberto pagar hoy las dos
10.125,10 E: Transferencia realizada el 13/10/23.
VENCIMIENTO EL 07/02/23.
Cargado Caixa: 07/02/24
--------------------------
4.770€: Honorarios cristina Losada. Fra 000043/2023 del 01/10/23.
23/06/23: Ok Alberto esperar para pagar en remesa 15/07/23
13/10/23: Ok Alberto pagar solo 954 E de esta fra
954 E: Transferencia realizada el 13/10/23.
VENCIMIENTO EL 07/02/23.
Cargado Caixa: 07/02/24
---------------------------------------------
954,00€: Honorarios cristina Losada. Fra 000042/2023 del 01/10/23.
23/06/23: Ok Alberto esperar para pagar en remesa 15/07/23.
954 E: Transferencia realizada el 13/10/23.
VENCIMIENTO EL 07/02/23.
Cargado Caixa: 07/02/24
-----------------------------------
</t>
        </r>
      </text>
    </comment>
    <comment ref="DB22" authorId="2" shapeId="0" xr:uid="{C9D385DE-3435-4277-81F8-1262E6B97AEE}">
      <text>
        <r>
          <rPr>
            <b/>
            <sz val="9"/>
            <color indexed="81"/>
            <rFont val="Tahoma"/>
            <family val="2"/>
          </rPr>
          <t xml:space="preserve">152.000,00€: compra finca Manuel / María. </t>
        </r>
        <r>
          <rPr>
            <sz val="9"/>
            <color indexed="81"/>
            <rFont val="Tahoma"/>
            <family val="2"/>
          </rPr>
          <t xml:space="preserve">
      - 6.000€: Anticipo Finca Manuel / María. 
      - 12.889,60€: Pago MOD 600. 
      - 2.650€: Honorarios Cristina Losada. Fra 00045/2021 del 06/09/21.
      - 9.400€:Provisión impuesto y protocolos. 
      - 2.650€: Honorarios Cristina Losada. Fra 00055/2021 del 22/12/21.
      - 558,00: Pago MOD 600 Miguel Gomez Infante.
      - 508,03: Pago MOD 600 Bartolome Gómez Infante. 
      - 508,03: Pago MOD 600 Jose María Gómez Infante. 
      - 212,00€: Honorarios Sara Castilla. Fra 002/2022 del 21/01/22.
      - 1.139,57€: Fra notaria del 28/01/22.
      - 500,00€: Provisión Registro propiedad. 
      - 868,16€: Factura notaria Javier Luisa Barcena del 07/11/22.
      - Modelo 600 impuesto segregacion fincas: 1.622,70€
      - 3.184,45€: Pago Facturas registro propiedad.
      - 133,98€: Factura notaria Javier Luisa Barcena.
      - 4.770,00€: Honorarios Cristina Losada.
      - 954,00€: Honorarios Cristina Losada.
</t>
        </r>
        <r>
          <rPr>
            <b/>
            <sz val="9"/>
            <color indexed="81"/>
            <rFont val="Tahoma"/>
            <family val="2"/>
          </rPr>
          <t xml:space="preserve">38.000,00€: Compra finca Miguel. </t>
        </r>
        <r>
          <rPr>
            <sz val="9"/>
            <color indexed="81"/>
            <rFont val="Tahoma"/>
            <family val="2"/>
          </rPr>
          <t xml:space="preserve">
      - 2.000€: Anticipo Finca Miguel. 
      - 2.000€: Anticipo Finca Miguel.
      - 3.000€: Talon Finca Miguel.
      - 5.000,00€: Anticipo Finca Miguel 
</t>
        </r>
        <r>
          <rPr>
            <b/>
            <sz val="9"/>
            <color indexed="81"/>
            <rFont val="Tahoma"/>
            <family val="2"/>
          </rPr>
          <t>10.000,00€:</t>
        </r>
        <r>
          <rPr>
            <sz val="9"/>
            <color indexed="81"/>
            <rFont val="Tahoma"/>
            <family val="2"/>
          </rPr>
          <t xml:space="preserve"> Actualizamos prevision de gastos compraventa finca MANUEL/MARIA: 
      - 500,00€ x 3 fincas de Registro propiedad: 1.500,00€.
      - 7% de 38.000,00€ ¿?. 2.660,00€.
      - Honorarios Cristina: 2.650,00€.
</t>
        </r>
      </text>
    </comment>
    <comment ref="CB23" authorId="2" shapeId="0" xr:uid="{BB4C47DF-F1FC-4851-B8DE-F8AB0FEA68B9}">
      <text>
        <r>
          <rPr>
            <sz val="9"/>
            <color indexed="81"/>
            <rFont val="Tahoma"/>
            <family val="2"/>
          </rPr>
          <t>318€: Honorarios cristina Losada. Fra 000050/2023 del 19/12/23.
Ok Alberto pagar
318 E: Transferencia Caixa realizada el 20/12/23.
-------------------------------------
126.000€-6.000€= 120.000€: Resto compra
Pagado 6.000€: Anticipo finca Hnos. Gutierrez.
Transferencia realizada el 07/06/23.  
40.000€: Cargo cheque BBVA: 18/12/23
40.000€: Cargo cheque BBVA: 18/12/23
40.000€: Cargo cheque BBVA: 18/12/23</t>
        </r>
      </text>
    </comment>
    <comment ref="CC23" authorId="1" shapeId="0" xr:uid="{92C71671-6426-4D4F-A879-9D81E583CC6F}">
      <text>
        <r>
          <rPr>
            <sz val="9"/>
            <color indexed="81"/>
            <rFont val="Tahoma"/>
            <family val="2"/>
          </rPr>
          <t>3.780€+IVA (3% s/126000€) Comisión por compravente de la finca, son 3 pagos de enero a marzo 2024</t>
        </r>
        <r>
          <rPr>
            <b/>
            <sz val="9"/>
            <color indexed="81"/>
            <rFont val="Tahoma"/>
            <family val="2"/>
          </rPr>
          <t xml:space="preserve">
Fra Bartolomé Gómez Infante (18/12/23):
</t>
        </r>
        <r>
          <rPr>
            <sz val="9"/>
            <color indexed="81"/>
            <rFont val="Tahoma"/>
            <family val="2"/>
          </rPr>
          <t xml:space="preserve">1260€+21% IVA=1.524,60€
Comisión por compravente de la finca, son 3 pagos de enero a marzo 2024
1.524,60€: Transferencia Caixa realizada el 08/01/24
</t>
        </r>
      </text>
    </comment>
    <comment ref="CD23" authorId="1" shapeId="0" xr:uid="{ED3D4956-DEF9-489C-85C3-D8FEDEEACB59}">
      <text>
        <r>
          <rPr>
            <sz val="9"/>
            <color indexed="81"/>
            <rFont val="Tahoma"/>
            <family val="2"/>
          </rPr>
          <t xml:space="preserve">3.780€+IVA (3% s/126000€) Comisión por compravente de la finca, son 3 pagos de enero a marzo 2024
</t>
        </r>
        <r>
          <rPr>
            <b/>
            <sz val="9"/>
            <color indexed="81"/>
            <rFont val="Tahoma"/>
            <family val="2"/>
          </rPr>
          <t xml:space="preserve">
Fra Bartolomé Gómez Infante (18/01/24) correspondiente al 2º pago</t>
        </r>
        <r>
          <rPr>
            <sz val="9"/>
            <color indexed="81"/>
            <rFont val="Tahoma"/>
            <family val="2"/>
          </rPr>
          <t xml:space="preserve">
1260€+21% IVA=1.524,60€
Comisión por compravente de la finca, son 3 pagos de enero a marzo 2024
1.524,60€: Transferencia Caixa a realizar en febrero, OK Alberto 02/02/24
Transferencia Caixa realizada el 02/02/24
----------------------------------------</t>
        </r>
        <r>
          <rPr>
            <b/>
            <sz val="9"/>
            <color indexed="81"/>
            <rFont val="Tahoma"/>
            <family val="2"/>
          </rPr>
          <t xml:space="preserve">
Fra Intereverita (30/01/24) correspondiente al 3º pago</t>
        </r>
        <r>
          <rPr>
            <sz val="9"/>
            <color indexed="81"/>
            <rFont val="Tahoma"/>
            <family val="2"/>
          </rPr>
          <t xml:space="preserve">
1260€+21% IVA=1.524,60€
Comisión por compravente de la finca, son 3 pagos de enero a marzo 2024
1.524,60€: Transferencia Caixa a realizar a finales de la semana del 15/02, OK Alberto 09/02/24
Transferencia Caixa realizada el 16/02/24
</t>
        </r>
      </text>
    </comment>
    <comment ref="B25" authorId="2" shapeId="0" xr:uid="{98BC173F-DE4F-472D-A2DE-20DB833D8735}">
      <text>
        <r>
          <rPr>
            <sz val="9"/>
            <color indexed="81"/>
            <rFont val="Tahoma"/>
            <family val="2"/>
          </rPr>
          <t xml:space="preserve">70.434 Eur Alquiler finca Lucia.  Gasto alquiler finca MDZ a meter con fecha 31 agosto 2022.  Os pasaré el contrato justificante.  Previsión caja para pagar semana 19 sep
41.366 Eur compra finca Lucia.  Previsión caja para pagar en Enero.
60.000 Eur alquiler finca Federico.  Gasto alquiler finca MDZ a meter con fecha 31 agosto 2022.  Os pasaré el contrato justificante.  Previsión caja para pagar semana 19 sep
</t>
        </r>
      </text>
    </comment>
    <comment ref="BZ25" authorId="2" shapeId="0" xr:uid="{E2A231E6-76B1-4E34-949B-6773C8561410}">
      <text>
        <r>
          <rPr>
            <sz val="9"/>
            <color indexed="81"/>
            <rFont val="Tahoma"/>
            <family val="2"/>
          </rPr>
          <t>YA apilcado en esta cifra:
- 19.903,52€ : subvencion de federico que va a descontar el pago de la finca las valle las corchas.
- 257,90€ : subvencion de federico que va a descontar el pago de la finca valle las corchas. 
- 4.128,00€ : subvencion de federico que va a descontar el pago de la finca valle las corchas.  
Total a pagar a Federico: 75.692,62€</t>
        </r>
      </text>
    </comment>
    <comment ref="CB25" authorId="1" shapeId="0" xr:uid="{6B40AA2B-BF3C-4452-878D-670EDAE11AEF}">
      <text>
        <r>
          <rPr>
            <sz val="9"/>
            <color indexed="81"/>
            <rFont val="Tahoma"/>
            <family val="2"/>
          </rPr>
          <t>17,87€+1,56+5,40= 24,83€ IRPF+Ssocial trabajador y empresa noviembre
Cargado: 29/12/23</t>
        </r>
      </text>
    </comment>
    <comment ref="CC25" authorId="1" shapeId="0" xr:uid="{4D52850A-8424-4AB1-85E7-D5BC90F32732}">
      <text>
        <r>
          <rPr>
            <sz val="9"/>
            <color indexed="81"/>
            <rFont val="Tahoma"/>
            <family val="2"/>
          </rPr>
          <t xml:space="preserve">268,11€+81,02+24= 373,13€ IRPF+Ssocial trabajador y empresa diciembre
349,13€: Cargado: 31/01/24
-------------------
IRPF 4º TRIM 2023:
12.418,39€: Cargado Caixa: 22/01/24
Incluye: 
1,56€ IRPF noviembre
24€ IRPF diciembre
</t>
        </r>
      </text>
    </comment>
    <comment ref="CD25" authorId="1" shapeId="0" xr:uid="{8A187372-104C-4311-9335-658BE43BF833}">
      <text>
        <r>
          <rPr>
            <sz val="9"/>
            <color indexed="81"/>
            <rFont val="Tahoma"/>
            <family val="2"/>
          </rPr>
          <t xml:space="preserve">291,77€+85,47+26,46= 403,70€ IRPF+Ssocial trabajador y empresa enero
377,24€: Lo cargaran el 29/02/24
Cargado Caixa: 29/02/24 </t>
        </r>
      </text>
    </comment>
    <comment ref="CE25" authorId="1" shapeId="0" xr:uid="{42D57E49-22DF-462B-B9D0-11438E72ECE4}">
      <text>
        <r>
          <rPr>
            <sz val="9"/>
            <color indexed="81"/>
            <rFont val="Tahoma"/>
            <family val="2"/>
          </rPr>
          <t xml:space="preserve">291,77€+85,47+26,46= 403,70€ IRPF+Ssocial trabajador y empresa febrero
377,24€: Lo cargaran el 31/03/24
Cargado Caixa: 27 y 28/03/24 </t>
        </r>
      </text>
    </comment>
    <comment ref="CF25" authorId="1" shapeId="0" xr:uid="{7F6366C8-6DEB-463A-B466-3B81C616263F}">
      <text>
        <r>
          <rPr>
            <sz val="9"/>
            <color indexed="81"/>
            <rFont val="Tahoma"/>
            <family val="2"/>
          </rPr>
          <t>272,31€+79,77+24,70= 376,78€ IRPF+Ssocial trabajador y empresa marzo
352,08€: Lo cargaran el 30/04/24
Cargado Caixa: 30/04/24 
----------------------------------
IRPF 1º TRIM 2024:
13.276,21€: Cargado Caixa: 22/04/24
Incluye:
26,46€: IRPF enero
26,46€: IRPF febrero
24,70€: IRPF marzo</t>
        </r>
      </text>
    </comment>
    <comment ref="CL25" authorId="1" shapeId="0" xr:uid="{05A64CB0-8894-4609-8325-03454509D4A1}">
      <text>
        <r>
          <rPr>
            <sz val="9"/>
            <color indexed="81"/>
            <rFont val="Tahoma"/>
            <family val="2"/>
          </rPr>
          <t>17,87€+1,56+5,40= 24,83€ IRPF+Ssocial trabajador y empresa noviembre
Para compensar con el pago que queda pendiente
-------------------------------
268,11€+81,02+24= 373,13€ IRPF+Ssocial trabajador y empresa diciembre
Para compensar con el pago que queda pendiente
---------------------------------
291,77€+85,47+26,46= 403,70€ IRPF+Ssocial trabajador y empresa enero
Para compensar con el pago que queda pendiente
---------------------------------
291,77€+85,47+26,46= 403,70€ IRPF+Ssocial trabajador y empresa febrero
Para compensar con el pago que queda pendiente
--------------------------------------
272,31€+79,77+24,70= 376,78€ IRPF+Ssocial trabajador y empresa marzo
Para compensar con el pago que queda pendiente</t>
        </r>
      </text>
    </comment>
    <comment ref="CT25" authorId="1" shapeId="0" xr:uid="{79D712D6-6026-4BC9-8F11-A6461FCE6FF9}">
      <text>
        <r>
          <rPr>
            <sz val="9"/>
            <color indexed="81"/>
            <rFont val="Tahoma"/>
            <family val="2"/>
          </rPr>
          <t>Info Alberto 28/11/24:
15.000€ a pagar en dic
Fra del 04/12/24
13.944+10,5%IVA-2% IRPF= 15.129,24€: Compra de 53 ovejas y 18 lechones a Federico Santa Ana
Realizar pago en próxima remesa
Transferencia Caixa realizada el 18/12/24 
VENCIMIENTO EL 17/04/25.
Cargado Caixa: 17/04/25</t>
        </r>
      </text>
    </comment>
    <comment ref="DM25" authorId="2" shapeId="0" xr:uid="{C8BBCB2F-10A2-424A-BFE9-9207889263C1}">
      <text>
        <r>
          <rPr>
            <sz val="9"/>
            <color indexed="81"/>
            <rFont val="Tahoma"/>
            <family val="2"/>
          </rPr>
          <t>3º pago FINCA Federico. 
----------------------------------
16/09/24: pasado de mayo 25 a mayo 26 por indicación de Alberto.
------------------------------
14/04/26: pasado de abril 26 a sept 26 por indicación de Alberto.</t>
        </r>
      </text>
    </comment>
    <comment ref="CA40" authorId="4" shapeId="0" xr:uid="{9A27D247-8BA9-41F7-AEF9-0D0FD5E8F180}">
      <text>
        <r>
          <rPr>
            <sz val="9"/>
            <color indexed="81"/>
            <rFont val="Tahoma"/>
            <family val="2"/>
          </rPr>
          <t xml:space="preserve">Subvención concedida por sequia: 18,560 Eur
corresponde con el 80% de la inversión a realizar
Inversión a realizar: 
2 depositos de agua de 15.000 L = 3700 eur *2
9 bebederos = 900*9
2200 metros de tubería = 2200*3,5
+ iva 21%
------------------------------------------------------------------
Subvención concedida por sequia: 18,560 Eur
corresponde con el 80% de la inversión a realizar
Inversión a realizar: 
2 depositos de agua de 15.000 L = 3700 eur *2
9 bebederos = 900*9
2200 metros de tubería = 2200*3,5
+ iva 21%
---------------------------------------------------------
</t>
        </r>
        <r>
          <rPr>
            <b/>
            <sz val="9"/>
            <color indexed="81"/>
            <rFont val="Tahoma"/>
            <family val="2"/>
          </rPr>
          <t>Fra Rafael Rodriguez Macias del 29/04/23.</t>
        </r>
        <r>
          <rPr>
            <sz val="9"/>
            <color indexed="81"/>
            <rFont val="Tahoma"/>
            <family val="2"/>
          </rPr>
          <t xml:space="preserve">
Manguera: 1.334,03€
No pagada hasta que nos avise alfonso. 
-----------------------------------------------------
</t>
        </r>
        <r>
          <rPr>
            <b/>
            <sz val="9"/>
            <color indexed="81"/>
            <rFont val="Tahoma"/>
            <family val="2"/>
          </rPr>
          <t>Fra Rafael Rodrigez Macias del 11/05/23.</t>
        </r>
        <r>
          <rPr>
            <sz val="9"/>
            <color indexed="81"/>
            <rFont val="Tahoma"/>
            <family val="2"/>
          </rPr>
          <t xml:space="preserve">
Reforma instalaciones agua: 852,38€ 
Pendiente realizar transferencia. 
!!!! pendiente que envie una factura nueva actualizada con la suvencion
-------------------------------------------------------
</t>
        </r>
        <r>
          <rPr>
            <b/>
            <sz val="9"/>
            <color indexed="81"/>
            <rFont val="Tahoma"/>
            <family val="2"/>
          </rPr>
          <t>Fra Rafael Rodrigez Macias del 11/05/23.</t>
        </r>
        <r>
          <rPr>
            <sz val="9"/>
            <color indexed="81"/>
            <rFont val="Tahoma"/>
            <family val="2"/>
          </rPr>
          <t xml:space="preserve">
Reforma instalaciones agua: 851,24€
Pendiente realizar transferencia. 
--------------------------------------------------
</t>
        </r>
        <r>
          <rPr>
            <b/>
            <sz val="9"/>
            <color indexed="81"/>
            <rFont val="Tahoma"/>
            <family val="2"/>
          </rPr>
          <t>Fra Rafael Rodrigez Macias del 29/05/23.</t>
        </r>
        <r>
          <rPr>
            <sz val="9"/>
            <color indexed="81"/>
            <rFont val="Tahoma"/>
            <family val="2"/>
          </rPr>
          <t xml:space="preserve">
Reforma instalaciones agua: 1.762,97€ 
Pendiente realizar transferencia. 
-------------------------------------------------------
</t>
        </r>
        <r>
          <rPr>
            <b/>
            <sz val="9"/>
            <color indexed="81"/>
            <rFont val="Tahoma"/>
            <family val="2"/>
          </rPr>
          <t>Fra Rafael Rodriguez Macias del 29/05/23.</t>
        </r>
        <r>
          <rPr>
            <sz val="9"/>
            <color indexed="81"/>
            <rFont val="Tahoma"/>
            <family val="2"/>
          </rPr>
          <t xml:space="preserve">
Manguera: 1.766,00€
No pagada hasta que nos avise alfonso.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alfonso</author>
    <author>recepción</author>
    <author>programas4</author>
    <author>Maria</author>
    <author>Alberto Carmona</author>
  </authors>
  <commentList>
    <comment ref="B5" authorId="0" shapeId="0" xr:uid="{DBEA2016-27D7-4FA5-AB52-F6F3613122A6}">
      <text>
        <r>
          <rPr>
            <b/>
            <sz val="9"/>
            <color indexed="81"/>
            <rFont val="Tahoma"/>
            <family val="2"/>
          </rPr>
          <t>alfonso:</t>
        </r>
        <r>
          <rPr>
            <sz val="9"/>
            <color indexed="81"/>
            <rFont val="Tahoma"/>
            <family val="2"/>
          </rPr>
          <t xml:space="preserve">
prestamo ICO Caixa
Inicio: 7/4/2020
Fin: 7/4/2025 (con ampliación a 7/4/28)
Principal: 99.000,00 €
Recibos: 123,75 € cada mes hasta el 7/4/2021 (hasta 7/4/22 con ampliación).
                      2,126,28 cada mes desde el 7/5/2021 a fin.
Fechas recibos: día 7 de cada mes  
Capital pendiente a 31.12.20: 99.000,00 €
Tipo: 1,50</t>
        </r>
      </text>
    </comment>
    <comment ref="AG5" authorId="1" shapeId="0" xr:uid="{C7F78568-D4E6-489C-8AA6-B7357FBB0C99}">
      <text>
        <r>
          <rPr>
            <b/>
            <sz val="9"/>
            <color indexed="81"/>
            <rFont val="Tahoma"/>
            <family val="2"/>
          </rPr>
          <t>rosa:</t>
        </r>
        <r>
          <rPr>
            <sz val="9"/>
            <color indexed="81"/>
            <rFont val="Tahoma"/>
            <family val="2"/>
          </rPr>
          <t xml:space="preserve">
36,52 E: Intereses del préstamo del 28/04 al 06/05/20
Cargado: 07/05/20
</t>
        </r>
      </text>
    </comment>
    <comment ref="AH5" authorId="1" shapeId="0" xr:uid="{AFA780E0-2837-4FAF-B6BA-B3207203B93C}">
      <text>
        <r>
          <rPr>
            <b/>
            <sz val="9"/>
            <color indexed="81"/>
            <rFont val="Tahoma"/>
            <family val="2"/>
          </rPr>
          <t>rosa:</t>
        </r>
        <r>
          <rPr>
            <sz val="9"/>
            <color indexed="81"/>
            <rFont val="Tahoma"/>
            <family val="2"/>
          </rPr>
          <t xml:space="preserve">
123,75 E: Intereses del préstamo del 07/05 al 06/06/20
Cargado: 07/06/20
</t>
        </r>
      </text>
    </comment>
    <comment ref="AI5" authorId="1" shapeId="0" xr:uid="{7BE3DAA5-6A22-44EF-B23C-AC1BB30B041C}">
      <text>
        <r>
          <rPr>
            <b/>
            <sz val="9"/>
            <color indexed="81"/>
            <rFont val="Tahoma"/>
            <family val="2"/>
          </rPr>
          <t>rosa:</t>
        </r>
        <r>
          <rPr>
            <sz val="9"/>
            <color indexed="81"/>
            <rFont val="Tahoma"/>
            <family val="2"/>
          </rPr>
          <t xml:space="preserve">
123,75 E: Intereses del préstamo del 07/06 al 06/07/20
Cargado: 07/07/20
</t>
        </r>
      </text>
    </comment>
    <comment ref="AJ5" authorId="1" shapeId="0" xr:uid="{170C4ADC-4553-45DC-94CD-53D6A9875367}">
      <text>
        <r>
          <rPr>
            <b/>
            <sz val="9"/>
            <color indexed="81"/>
            <rFont val="Tahoma"/>
            <family val="2"/>
          </rPr>
          <t>rosa:</t>
        </r>
        <r>
          <rPr>
            <sz val="9"/>
            <color indexed="81"/>
            <rFont val="Tahoma"/>
            <family val="2"/>
          </rPr>
          <t xml:space="preserve">
123,75 E: Intereses del préstamo del 07/07 al 06/08/20
Cargado: 07/08/20
</t>
        </r>
      </text>
    </comment>
    <comment ref="AL5" authorId="1" shapeId="0" xr:uid="{7F7797F8-F903-42D0-8293-240DD78E6A9E}">
      <text>
        <r>
          <rPr>
            <sz val="9"/>
            <color indexed="81"/>
            <rFont val="Tahoma"/>
            <family val="2"/>
          </rPr>
          <t xml:space="preserve">123,75 E: Intereses del préstamo del 07/08 al 06/09/20
Cargado: 07/09/20
</t>
        </r>
      </text>
    </comment>
    <comment ref="AM5" authorId="1" shapeId="0" xr:uid="{CD25A516-037E-426A-BAD2-9A0D86A7A89F}">
      <text>
        <r>
          <rPr>
            <b/>
            <sz val="9"/>
            <color indexed="81"/>
            <rFont val="Tahoma"/>
            <family val="2"/>
          </rPr>
          <t>rosa:</t>
        </r>
        <r>
          <rPr>
            <sz val="9"/>
            <color indexed="81"/>
            <rFont val="Tahoma"/>
            <family val="2"/>
          </rPr>
          <t xml:space="preserve">
123,75 E: Intereses del préstamo del 07/09 al 06/10/20
Cargado: 07/10/20
</t>
        </r>
      </text>
    </comment>
    <comment ref="AN5" authorId="1" shapeId="0" xr:uid="{54F9E668-C243-4788-8912-5AE4179A744E}">
      <text>
        <r>
          <rPr>
            <sz val="9"/>
            <color indexed="81"/>
            <rFont val="Tahoma"/>
            <family val="2"/>
          </rPr>
          <t xml:space="preserve">
123,75 E: Intereses del préstamo del 07/10 al 06/11/20
Cargado: 07/11/20
</t>
        </r>
      </text>
    </comment>
    <comment ref="AO5" authorId="0" shapeId="0" xr:uid="{00538036-8B91-42EB-B298-1193679DBEC0}">
      <text>
        <r>
          <rPr>
            <sz val="9"/>
            <color indexed="81"/>
            <rFont val="Tahoma"/>
            <family val="2"/>
          </rPr>
          <t xml:space="preserve">-----------------------------------
123,75 E: Intereses del préstamo del 07/11 al 06/12/20
Cargado: 07/12/20
</t>
        </r>
      </text>
    </comment>
    <comment ref="AP5" authorId="0" shapeId="0" xr:uid="{1D96E56B-E18B-421C-9551-39AA9B6F378C}">
      <text>
        <r>
          <rPr>
            <sz val="9"/>
            <color indexed="81"/>
            <rFont val="Tahoma"/>
            <family val="2"/>
          </rPr>
          <t xml:space="preserve">123,75 E: Intereses del préstamo del 07/12 al 06/01/21
Cargado: 07/01/21
</t>
        </r>
      </text>
    </comment>
    <comment ref="AQ5" authorId="1" shapeId="0" xr:uid="{9E1F2071-BC90-4DFC-B59D-7105AB190A02}">
      <text>
        <r>
          <rPr>
            <sz val="9"/>
            <color indexed="81"/>
            <rFont val="Tahoma"/>
            <family val="2"/>
          </rPr>
          <t xml:space="preserve">
123,75 E: Intereses del préstamo del 07/01 al 06/02/21
Cargado: 07/02/21
</t>
        </r>
      </text>
    </comment>
    <comment ref="AR5" authorId="2" shapeId="0" xr:uid="{A24BBBCD-F556-47E2-AB2A-CE74279EF92C}">
      <text>
        <r>
          <rPr>
            <sz val="9"/>
            <color indexed="81"/>
            <rFont val="Tahoma"/>
            <family val="2"/>
          </rPr>
          <t xml:space="preserve">123,75 E: Intereses del préstamo del 07/02 al 06/03/21
Cargado: 07/03/21
</t>
        </r>
      </text>
    </comment>
    <comment ref="AS5" authorId="1" shapeId="0" xr:uid="{60CF23A5-15CA-436B-8AA0-25E43A1CFABC}">
      <text>
        <r>
          <rPr>
            <sz val="9"/>
            <color indexed="81"/>
            <rFont val="Tahoma"/>
            <family val="2"/>
          </rPr>
          <t xml:space="preserve">123,75 E: Intereses del préstamo del 07/03 al 06/04/21
Cargado: 09/04/21
</t>
        </r>
      </text>
    </comment>
    <comment ref="AT5" authorId="1" shapeId="0" xr:uid="{4EC68B1D-12DF-46F7-B566-B47849632B72}">
      <text>
        <r>
          <rPr>
            <sz val="9"/>
            <color indexed="81"/>
            <rFont val="Tahoma"/>
            <family val="2"/>
          </rPr>
          <t xml:space="preserve">123,75 E: Intereses del préstamo del 07/04 al 06/05/21
Cargado: 07/05/21.
</t>
        </r>
      </text>
    </comment>
    <comment ref="AU5" authorId="2" shapeId="0" xr:uid="{ED4ECADE-7AF4-42C8-A508-B26EF9CA5FB4}">
      <text>
        <r>
          <rPr>
            <sz val="9"/>
            <color indexed="81"/>
            <rFont val="Tahoma"/>
            <family val="2"/>
          </rPr>
          <t xml:space="preserve">123,75 E: Intereses del préstamo del 07/05 al 06/06/21
Cargado: 07/06/21.
</t>
        </r>
      </text>
    </comment>
    <comment ref="AV5" authorId="2" shapeId="0" xr:uid="{8987564A-EB6F-41F4-AFD3-2E5FD741022E}">
      <text>
        <r>
          <rPr>
            <b/>
            <sz val="9"/>
            <color indexed="81"/>
            <rFont val="Tahoma"/>
            <family val="2"/>
          </rPr>
          <t xml:space="preserve">Cargado el 07/07/21. </t>
        </r>
      </text>
    </comment>
    <comment ref="AW5" authorId="2" shapeId="0" xr:uid="{1842D6A6-297F-4CBB-9DF3-150F1913960C}">
      <text>
        <r>
          <rPr>
            <b/>
            <sz val="9"/>
            <color indexed="81"/>
            <rFont val="Tahoma"/>
            <family val="2"/>
          </rPr>
          <t xml:space="preserve">Cargado: 07/08/21.
</t>
        </r>
      </text>
    </comment>
    <comment ref="AY5" authorId="2" shapeId="0" xr:uid="{F20CA973-29E8-4760-A6EE-603F17571F83}">
      <text>
        <r>
          <rPr>
            <b/>
            <sz val="9"/>
            <color indexed="81"/>
            <rFont val="Tahoma"/>
            <family val="2"/>
          </rPr>
          <t xml:space="preserve">Cargado: 07/09/21.
</t>
        </r>
      </text>
    </comment>
    <comment ref="AZ5" authorId="2" shapeId="0" xr:uid="{C91EFC71-75DE-4ECC-A534-67C673864BE1}">
      <text>
        <r>
          <rPr>
            <b/>
            <sz val="9"/>
            <color indexed="81"/>
            <rFont val="Tahoma"/>
            <family val="2"/>
          </rPr>
          <t xml:space="preserve">Cargado: 07/10/21.
</t>
        </r>
      </text>
    </comment>
    <comment ref="BA5" authorId="2" shapeId="0" xr:uid="{73EDF9E5-20E9-4C97-9176-037D17141797}">
      <text>
        <r>
          <rPr>
            <b/>
            <sz val="9"/>
            <color indexed="81"/>
            <rFont val="Tahoma"/>
            <family val="2"/>
          </rPr>
          <t xml:space="preserve">Cargado: 07/11/21.
</t>
        </r>
      </text>
    </comment>
    <comment ref="BB5" authorId="2" shapeId="0" xr:uid="{CA9C5C27-3DEB-4852-B62E-C44FF142B9D3}">
      <text>
        <r>
          <rPr>
            <b/>
            <sz val="9"/>
            <color indexed="81"/>
            <rFont val="Tahoma"/>
            <family val="2"/>
          </rPr>
          <t xml:space="preserve">Cargado: 07/12/21.
</t>
        </r>
      </text>
    </comment>
    <comment ref="BC5" authorId="2" shapeId="0" xr:uid="{4CE2DDF4-17CD-49E3-986B-DDCD9908610C}">
      <text>
        <r>
          <rPr>
            <b/>
            <sz val="9"/>
            <color indexed="81"/>
            <rFont val="Tahoma"/>
            <family val="2"/>
          </rPr>
          <t xml:space="preserve">Cargado: 07/01/22.
</t>
        </r>
      </text>
    </comment>
    <comment ref="BD5" authorId="2" shapeId="0" xr:uid="{256F5283-32B5-4615-92E9-7A3F6E3FB0BB}">
      <text>
        <r>
          <rPr>
            <b/>
            <sz val="9"/>
            <color indexed="81"/>
            <rFont val="Tahoma"/>
            <family val="2"/>
          </rPr>
          <t xml:space="preserve">Cargado: 07/02/22.
</t>
        </r>
      </text>
    </comment>
    <comment ref="BE5" authorId="2" shapeId="0" xr:uid="{B8A15E35-33D9-499D-AC58-FFF876A69AD9}">
      <text>
        <r>
          <rPr>
            <b/>
            <sz val="9"/>
            <color indexed="81"/>
            <rFont val="Tahoma"/>
            <family val="2"/>
          </rPr>
          <t xml:space="preserve">Cargado: 07/03/22.
</t>
        </r>
      </text>
    </comment>
    <comment ref="BF5" authorId="2" shapeId="0" xr:uid="{62899D1E-DBAA-494A-A21F-51875D7D10BD}">
      <text>
        <r>
          <rPr>
            <b/>
            <sz val="9"/>
            <color indexed="81"/>
            <rFont val="Tahoma"/>
            <family val="2"/>
          </rPr>
          <t xml:space="preserve">Cargado: 07/04/22.
</t>
        </r>
      </text>
    </comment>
    <comment ref="BG5" authorId="2" shapeId="0" xr:uid="{848BC594-4E1A-4F2D-9B00-ABC180879D6C}">
      <text>
        <r>
          <rPr>
            <b/>
            <sz val="9"/>
            <color indexed="81"/>
            <rFont val="Tahoma"/>
            <family val="2"/>
          </rPr>
          <t xml:space="preserve">Cargado: 07/05/22.
</t>
        </r>
      </text>
    </comment>
    <comment ref="CL5" authorId="3" shapeId="0" xr:uid="{A20817BC-D44B-4F2E-94DE-D6F3174DB1A5}">
      <text>
        <r>
          <rPr>
            <b/>
            <sz val="9"/>
            <color indexed="81"/>
            <rFont val="Tahoma"/>
            <family val="2"/>
          </rPr>
          <t xml:space="preserve">Maria: 
</t>
        </r>
        <r>
          <rPr>
            <sz val="9"/>
            <color indexed="81"/>
            <rFont val="Tahoma"/>
            <family val="2"/>
          </rPr>
          <t xml:space="preserve">Cargado: 07/09/24
</t>
        </r>
      </text>
    </comment>
    <comment ref="EF5" authorId="1" shapeId="0" xr:uid="{39A98658-F9C8-4FAC-B488-45A56725C5CB}">
      <text>
        <r>
          <rPr>
            <b/>
            <sz val="9"/>
            <color indexed="81"/>
            <rFont val="Tahoma"/>
            <family val="2"/>
          </rPr>
          <t>Vencimiento: 07/04/28</t>
        </r>
        <r>
          <rPr>
            <sz val="9"/>
            <color indexed="81"/>
            <rFont val="Tahoma"/>
            <family val="2"/>
          </rPr>
          <t xml:space="preserve">
</t>
        </r>
      </text>
    </comment>
    <comment ref="BY9" authorId="4" shapeId="0" xr:uid="{EAF04EB3-CB9F-41C0-B9E9-65024E65D688}">
      <text>
        <r>
          <rPr>
            <b/>
            <sz val="9"/>
            <color indexed="81"/>
            <rFont val="Tahoma"/>
            <family val="2"/>
          </rPr>
          <t>Alberto Carmona:</t>
        </r>
        <r>
          <rPr>
            <sz val="9"/>
            <color indexed="81"/>
            <rFont val="Tahoma"/>
            <family val="2"/>
          </rPr>
          <t xml:space="preserve">
Desembolso de Caixa</t>
        </r>
      </text>
    </comment>
    <comment ref="CL9" authorId="1" shapeId="0" xr:uid="{DA9704EC-4038-4E9D-901C-DC45DC74E201}">
      <text>
        <r>
          <rPr>
            <b/>
            <sz val="9"/>
            <color indexed="81"/>
            <rFont val="Tahoma"/>
            <family val="2"/>
          </rPr>
          <t>43675,56€: Cargado Caixa 1117: 27/09/24</t>
        </r>
        <r>
          <rPr>
            <sz val="9"/>
            <color indexed="81"/>
            <rFont val="Tahoma"/>
            <family val="2"/>
          </rPr>
          <t xml:space="preserve">
</t>
        </r>
      </text>
    </comment>
    <comment ref="CY9" authorId="1" shapeId="0" xr:uid="{FA64B9F8-635C-4006-B53B-8BC60D66E8E9}">
      <text>
        <r>
          <rPr>
            <b/>
            <sz val="9"/>
            <color indexed="81"/>
            <rFont val="Tahoma"/>
            <family val="2"/>
          </rPr>
          <t>43675,56€: Cargado Caixa 1117: 27/09/25</t>
        </r>
        <r>
          <rPr>
            <sz val="9"/>
            <color indexed="81"/>
            <rFont val="Tahoma"/>
            <family val="2"/>
          </rPr>
          <t xml:space="preserve">
</t>
        </r>
      </text>
    </comment>
    <comment ref="EL9" authorId="1" shapeId="0" xr:uid="{D9DA5BE1-A006-4CBC-A310-82C1EC85DAF8}">
      <text>
        <r>
          <rPr>
            <b/>
            <sz val="9"/>
            <color indexed="81"/>
            <rFont val="Tahoma"/>
            <family val="2"/>
          </rPr>
          <t>Vcmto: 27/09/2038</t>
        </r>
        <r>
          <rPr>
            <sz val="9"/>
            <color indexed="81"/>
            <rFont val="Tahoma"/>
            <family val="2"/>
          </rPr>
          <t xml:space="preserve">
</t>
        </r>
      </text>
    </comment>
    <comment ref="CB10" authorId="4" shapeId="0" xr:uid="{452A74A8-1811-4FDA-BB91-123FF2AA8378}">
      <text>
        <r>
          <rPr>
            <b/>
            <sz val="9"/>
            <color indexed="81"/>
            <rFont val="Tahoma"/>
            <family val="2"/>
          </rPr>
          <t>Alberto Carmona:</t>
        </r>
        <r>
          <rPr>
            <sz val="9"/>
            <color indexed="81"/>
            <rFont val="Tahoma"/>
            <family val="2"/>
          </rPr>
          <t xml:space="preserve">
Desembolso BBVA</t>
        </r>
      </text>
    </comment>
    <comment ref="CJ11" authorId="1" shapeId="0" xr:uid="{5F743ED8-8345-436B-AC06-BE473D692567}">
      <text>
        <r>
          <rPr>
            <b/>
            <sz val="9"/>
            <color indexed="81"/>
            <rFont val="Tahoma"/>
            <family val="2"/>
          </rPr>
          <t>3.404,48€: Cargado Caixa Cta 1117 en lugar de Cta Refo: 07/08/24</t>
        </r>
      </text>
    </comment>
    <comment ref="CW11" authorId="1" shapeId="0" xr:uid="{95844FC3-D674-4933-9E15-EC977EA8F694}">
      <text>
        <r>
          <rPr>
            <sz val="9"/>
            <color indexed="81"/>
            <rFont val="Tahoma"/>
            <family val="2"/>
          </rPr>
          <t>Devolución préstamo REFO l: 134.250€
3.356,25€:Intereses del 01/08/24 al 31/07/25
Vcmto: 01/08/25
Cargado Caixa 5871: 01/08/25</t>
        </r>
      </text>
    </comment>
    <comment ref="B12" authorId="1" shapeId="0" xr:uid="{18568726-EEF1-4ED4-A3C3-AEB6D7A68E7F}">
      <text>
        <r>
          <rPr>
            <b/>
            <sz val="9"/>
            <color indexed="81"/>
            <rFont val="Tahoma"/>
            <family val="2"/>
          </rPr>
          <t>134.250€ a 1 año
amortización e intereses a vcmto</t>
        </r>
        <r>
          <rPr>
            <sz val="9"/>
            <color indexed="81"/>
            <rFont val="Tahoma"/>
            <family val="2"/>
          </rPr>
          <t xml:space="preserve">
Vcmto: 01/08/26
</t>
        </r>
      </text>
    </comment>
    <comment ref="CV12" authorId="4" shapeId="0" xr:uid="{0059FEC1-4188-4C3F-A859-2C5231E47CDB}">
      <text>
        <r>
          <rPr>
            <sz val="9"/>
            <color indexed="81"/>
            <rFont val="Tahoma"/>
            <family val="2"/>
          </rPr>
          <t>134.250€: Desembolso de Caixa
Abonado Caixa: 31/07/25</t>
        </r>
      </text>
    </comment>
    <comment ref="DJ12" authorId="1" shapeId="0" xr:uid="{AB800BA2-0B0C-49D7-BB3A-1B3B2D6E9B00}">
      <text>
        <r>
          <rPr>
            <b/>
            <sz val="9"/>
            <color indexed="81"/>
            <rFont val="Tahoma"/>
            <family val="2"/>
          </rPr>
          <t xml:space="preserve">Vcmto 4.867,78€: 01/08/26
</t>
        </r>
      </text>
    </comment>
    <comment ref="DM12" authorId="1" shapeId="0" xr:uid="{0DAB335A-ADE2-42CB-9396-483A980D2C16}">
      <text>
        <r>
          <rPr>
            <b/>
            <sz val="9"/>
            <color indexed="81"/>
            <rFont val="Tahoma"/>
            <family val="2"/>
          </rPr>
          <t>Vcmto 139.104,48€: 01/08/27</t>
        </r>
      </text>
    </comment>
    <comment ref="B13" authorId="1" shapeId="0" xr:uid="{D4ED1B4B-3338-42B0-8E54-3A1222984F5B}">
      <text>
        <r>
          <rPr>
            <b/>
            <sz val="9"/>
            <color indexed="81"/>
            <rFont val="Tahoma"/>
            <family val="2"/>
          </rPr>
          <t>150.000€ a 5 años
2.803,55€/mes</t>
        </r>
        <r>
          <rPr>
            <sz val="9"/>
            <color indexed="81"/>
            <rFont val="Tahoma"/>
            <family val="2"/>
          </rPr>
          <t xml:space="preserve">
Vcmto: 01/06/30
</t>
        </r>
      </text>
    </comment>
    <comment ref="CT13" authorId="4" shapeId="0" xr:uid="{092ACEF9-BCB1-4705-8DBA-14EE55561BDD}">
      <text>
        <r>
          <rPr>
            <sz val="9"/>
            <color indexed="81"/>
            <rFont val="Tahoma"/>
            <family val="2"/>
          </rPr>
          <t>150.000€: Desembolso de Caixa
210€: Comisión apertura
Abonado Caixa: 26/05/25</t>
        </r>
      </text>
    </comment>
    <comment ref="EL13" authorId="1" shapeId="0" xr:uid="{8BC0DF9E-D893-466A-A5AF-96A5D57503B7}">
      <text>
        <r>
          <rPr>
            <b/>
            <sz val="9"/>
            <color indexed="81"/>
            <rFont val="Tahoma"/>
            <family val="2"/>
          </rPr>
          <t>Fecha vencimiento: 01/06/2030</t>
        </r>
        <r>
          <rPr>
            <sz val="9"/>
            <color indexed="81"/>
            <rFont val="Tahoma"/>
            <family val="2"/>
          </rPr>
          <t xml:space="preserve">
</t>
        </r>
      </text>
    </comment>
    <comment ref="B14" authorId="1" shapeId="0" xr:uid="{4CD9BD99-8687-4708-8007-8585E0F5154A}">
      <text>
        <r>
          <rPr>
            <b/>
            <sz val="9"/>
            <color indexed="81"/>
            <rFont val="Tahoma"/>
            <family val="2"/>
          </rPr>
          <t>150.000€ a 2 años y 3 meses</t>
        </r>
        <r>
          <rPr>
            <sz val="9"/>
            <color indexed="81"/>
            <rFont val="Tahoma"/>
            <family val="2"/>
          </rPr>
          <t xml:space="preserve">
Vcmto: 01/01/28
</t>
        </r>
      </text>
    </comment>
    <comment ref="CZ14" authorId="4" shapeId="0" xr:uid="{C7C6B668-153C-4938-900B-ED0C7DA5F6A8}">
      <text>
        <r>
          <rPr>
            <sz val="9"/>
            <color indexed="81"/>
            <rFont val="Tahoma"/>
            <family val="2"/>
          </rPr>
          <t>150.000€: Desembolso de Caixa
Abonado Caixa: 03/10/25</t>
        </r>
      </text>
    </comment>
    <comment ref="DC14" authorId="1" shapeId="0" xr:uid="{43B48134-9138-443A-A39D-749BEB5C841B}">
      <text>
        <r>
          <rPr>
            <sz val="9"/>
            <color indexed="81"/>
            <rFont val="Tahoma"/>
            <family val="2"/>
          </rPr>
          <t xml:space="preserve">1.664,38€: Intereses préstamo 
Cargado Caixa: 01/01/26
</t>
        </r>
      </text>
    </comment>
    <comment ref="DP14" authorId="1" shapeId="0" xr:uid="{E1604A32-E533-4928-8494-4FD368D4DA64}">
      <text>
        <r>
          <rPr>
            <sz val="9"/>
            <color indexed="81"/>
            <rFont val="Tahoma"/>
            <family val="2"/>
          </rPr>
          <t xml:space="preserve">01/01/27: 80.394,21€
</t>
        </r>
      </text>
    </comment>
    <comment ref="EC14" authorId="1" shapeId="0" xr:uid="{733A5FC9-B60B-4682-8E4B-87F1FAD6C637}">
      <text>
        <r>
          <rPr>
            <sz val="9"/>
            <color indexed="81"/>
            <rFont val="Tahoma"/>
            <family val="2"/>
          </rPr>
          <t>01/01/28: 80.394,21€
 Anotar en enero 2028</t>
        </r>
      </text>
    </comment>
    <comment ref="CV15" authorId="1" shapeId="0" xr:uid="{4A9F4C83-023B-4EF9-8EF1-30E202C35258}">
      <text>
        <r>
          <rPr>
            <b/>
            <sz val="9"/>
            <color indexed="81"/>
            <rFont val="Tahoma"/>
            <family val="2"/>
          </rPr>
          <t xml:space="preserve">Info ALF 17/01/25: </t>
        </r>
        <r>
          <rPr>
            <sz val="9"/>
            <color indexed="81"/>
            <rFont val="Tahoma"/>
            <family val="2"/>
          </rPr>
          <t>La entrada de financiación por 110.000 anótala para febrero. 
--------------------------------
110k de amortización total del préstamo, Anotar a 31.12.26.
07/2025: Préstamo CRSUR a 18 meses
101.124€ al 3% y 2,25% comisión apertura
101.124€: Desembolso de Caja Rural
2.275,29€: Comisión apertura 2,25%
98.848,71€: Abonado Caja Rural: 14/07/25</t>
        </r>
      </text>
    </comment>
    <comment ref="DO15" authorId="1" shapeId="0" xr:uid="{7CB29C10-60CB-433D-9BA9-40BBFF11ED19}">
      <text>
        <r>
          <rPr>
            <b/>
            <sz val="9"/>
            <color indexed="81"/>
            <rFont val="Tahoma"/>
            <family val="2"/>
          </rPr>
          <t>110k de amortización total del préstamo, Anotar a 31.12.26.
07/2025: Préstamo CRSUR a 18 meses
101.124€ al 3% y 2,25% comisión apertura</t>
        </r>
      </text>
    </comment>
    <comment ref="B17" authorId="1" shapeId="0" xr:uid="{F79E5747-5C39-455D-BBDD-C1859B4543FE}">
      <text>
        <r>
          <rPr>
            <b/>
            <sz val="9"/>
            <color indexed="81"/>
            <rFont val="Tahoma"/>
            <family val="2"/>
          </rPr>
          <t>151.900€ a 15 años
del 30/03/2026 al 30/03/2041
1.012,85€/mes: Eur+0,9%</t>
        </r>
        <r>
          <rPr>
            <sz val="9"/>
            <color indexed="81"/>
            <rFont val="Tahoma"/>
            <family val="2"/>
          </rPr>
          <t xml:space="preserve">
Vcmto: 30/03/41
Comisión apertura 0,1%
Comisión cancelación 0%
</t>
        </r>
      </text>
    </comment>
    <comment ref="DE17" authorId="4" shapeId="0" xr:uid="{39D02D20-36D1-443D-98D4-5F178175A3FF}">
      <text>
        <r>
          <rPr>
            <b/>
            <sz val="9"/>
            <color indexed="81"/>
            <rFont val="Tahoma"/>
            <family val="2"/>
          </rPr>
          <t>Info Alberto 31/03/26:</t>
        </r>
        <r>
          <rPr>
            <sz val="9"/>
            <color indexed="81"/>
            <rFont val="Tahoma"/>
            <family val="2"/>
          </rPr>
          <t xml:space="preserve">
151.900€: Desembolso de Bankinter
Comisión apertura 0,1%: 151,90€</t>
        </r>
      </text>
    </comment>
    <comment ref="CS18" authorId="1" shapeId="0" xr:uid="{CE481DA9-8832-4CC4-A843-610DF78D2797}">
      <text>
        <r>
          <rPr>
            <sz val="9"/>
            <color indexed="81"/>
            <rFont val="Tahoma"/>
            <family val="2"/>
          </rPr>
          <t>90.000€: Importe financiado IS 
A devolver en 3 meses
Vcmto: 07/07/2025
1.125€: Comisión apertura: 1,25%
Abonado Bankinter: 07/04/25</t>
        </r>
        <r>
          <rPr>
            <b/>
            <sz val="9"/>
            <color indexed="81"/>
            <rFont val="Tahoma"/>
            <family val="2"/>
          </rPr>
          <t xml:space="preserve">
----------------------------------
</t>
        </r>
        <r>
          <rPr>
            <sz val="9"/>
            <color indexed="81"/>
            <rFont val="Tahoma"/>
            <family val="2"/>
          </rPr>
          <t xml:space="preserve">
</t>
        </r>
      </text>
    </comment>
    <comment ref="CV18" authorId="1" shapeId="0" xr:uid="{35A1C96F-DA13-4AB9-8DCC-4BC960F9FCA1}">
      <text>
        <r>
          <rPr>
            <sz val="9"/>
            <color indexed="81"/>
            <rFont val="Tahoma"/>
            <family val="2"/>
          </rPr>
          <t>90.000€: Importe financiado IS 
Abonado Bankinter: 07/04/25
A devolver en 3 meses
1.125€: Comisión apertura: 1,25%
Vcmto: 07/07/2025
Cargado Bankinter: 07/07/25</t>
        </r>
        <r>
          <rPr>
            <b/>
            <sz val="9"/>
            <color indexed="81"/>
            <rFont val="Tahoma"/>
            <family val="2"/>
          </rPr>
          <t xml:space="preserve">
----------------------------------
</t>
        </r>
        <r>
          <rPr>
            <sz val="9"/>
            <color indexed="81"/>
            <rFont val="Tahoma"/>
            <family val="2"/>
          </rPr>
          <t xml:space="preserve">
</t>
        </r>
      </text>
    </comment>
    <comment ref="CZ18" authorId="1" shapeId="0" xr:uid="{6474779B-DBCA-4C30-BBD5-93AE6ED5C098}">
      <text>
        <r>
          <rPr>
            <sz val="9"/>
            <color indexed="81"/>
            <rFont val="Tahoma"/>
            <family val="2"/>
          </rPr>
          <t>16.205,05€: Importe financiado pago a cuenta IS 
A devolver en 3 meses
Importe mensua: 5.401,68€
Vcmto: 20/01/2025
202,56€: Comisión apertura: 1,25%
Abonado Bankinter: 20/10/25</t>
        </r>
        <r>
          <rPr>
            <b/>
            <sz val="9"/>
            <color indexed="81"/>
            <rFont val="Tahoma"/>
            <family val="2"/>
          </rPr>
          <t xml:space="preserve">
----------------------------------
</t>
        </r>
        <r>
          <rPr>
            <sz val="9"/>
            <color indexed="81"/>
            <rFont val="Tahoma"/>
            <family val="2"/>
          </rPr>
          <t xml:space="preserve">
</t>
        </r>
      </text>
    </comment>
    <comment ref="DA18" authorId="1" shapeId="0" xr:uid="{E27A1B07-4E08-4AB6-9CF6-2F8A253DCE27}">
      <text>
        <r>
          <rPr>
            <sz val="9"/>
            <color indexed="81"/>
            <rFont val="Tahoma"/>
            <family val="2"/>
          </rPr>
          <t>16.205,05€: Importe financiado pago a cuenta IS 
A devolver en 3 meses
Importe mensua: 5.401,68€
Vcmto: 20/01/2025
202,56€: Comisión apertura: 1,25%
Cargado Bankinter: 20/11/25</t>
        </r>
        <r>
          <rPr>
            <b/>
            <sz val="9"/>
            <color indexed="81"/>
            <rFont val="Tahoma"/>
            <family val="2"/>
          </rPr>
          <t xml:space="preserve">
----------------------------------
</t>
        </r>
        <r>
          <rPr>
            <sz val="9"/>
            <color indexed="81"/>
            <rFont val="Tahoma"/>
            <family val="2"/>
          </rPr>
          <t xml:space="preserve">
</t>
        </r>
      </text>
    </comment>
    <comment ref="DB18" authorId="1" shapeId="0" xr:uid="{A64772EF-8C9C-43F8-9D6D-E6C25D9F5688}">
      <text>
        <r>
          <rPr>
            <sz val="9"/>
            <color indexed="81"/>
            <rFont val="Tahoma"/>
            <family val="2"/>
          </rPr>
          <t>16.205,05€: Importe financiado pago a cuenta IS 
A devolver en 3 meses
Importe mensua: 5.401,68€
Vcmto: 20/01/2025
202,56€: Comisión apertura: 1,25%
Pndte Cargo Bankinter: 20/12/25</t>
        </r>
        <r>
          <rPr>
            <b/>
            <sz val="9"/>
            <color indexed="81"/>
            <rFont val="Tahoma"/>
            <family val="2"/>
          </rPr>
          <t xml:space="preserve">
----------------------------------
</t>
        </r>
        <r>
          <rPr>
            <sz val="9"/>
            <color indexed="81"/>
            <rFont val="Tahoma"/>
            <family val="2"/>
          </rPr>
          <t xml:space="preserve">
</t>
        </r>
      </text>
    </comment>
    <comment ref="DC18" authorId="1" shapeId="0" xr:uid="{C6430809-195A-495C-A053-A16025BF4D20}">
      <text>
        <r>
          <rPr>
            <sz val="9"/>
            <color indexed="81"/>
            <rFont val="Tahoma"/>
            <family val="2"/>
          </rPr>
          <t>16.205,05€: Importe financiado pago a cuenta IS 
A devolver en 3 meses
Importe mensua: 5.401,68€
Vcmto: 20/01/2025
202,56€: Comisión apertura: 1,25%
Pndte Cargo Bankinter: 20/01/26</t>
        </r>
        <r>
          <rPr>
            <b/>
            <sz val="9"/>
            <color indexed="81"/>
            <rFont val="Tahoma"/>
            <family val="2"/>
          </rPr>
          <t xml:space="preserve">
----------------------------------
</t>
        </r>
        <r>
          <rPr>
            <sz val="9"/>
            <color indexed="81"/>
            <rFont val="Tahoma"/>
            <family val="2"/>
          </rPr>
          <t xml:space="preserve">
</t>
        </r>
      </text>
    </comment>
    <comment ref="DE18" authorId="1" shapeId="0" xr:uid="{B2B09E3E-41CA-4D89-9DA5-6AC0D2364315}">
      <text>
        <r>
          <rPr>
            <sz val="9"/>
            <color indexed="81"/>
            <rFont val="Tahoma"/>
            <family val="2"/>
          </rPr>
          <t>100.000€: Importe financiado IS 
A devolver en 3 meses
Vcmto: 20/06/2026
950€: Comisión apertura: 0,95%
Abonado Bankinter: 20/03/26</t>
        </r>
        <r>
          <rPr>
            <b/>
            <sz val="9"/>
            <color indexed="81"/>
            <rFont val="Tahoma"/>
            <family val="2"/>
          </rPr>
          <t xml:space="preserve">
----------------------------------
</t>
        </r>
        <r>
          <rPr>
            <sz val="9"/>
            <color indexed="81"/>
            <rFont val="Tahoma"/>
            <family val="2"/>
          </rPr>
          <t xml:space="preserve">
</t>
        </r>
      </text>
    </comment>
    <comment ref="DF18" authorId="1" shapeId="0" xr:uid="{02C099F5-5279-4E22-8C4A-1CF805AAA46A}">
      <text>
        <r>
          <rPr>
            <sz val="9"/>
            <color indexed="81"/>
            <rFont val="Tahoma"/>
            <family val="2"/>
          </rPr>
          <t>100.000€: Importe financiado IS 
Abonado Bankinter: 20/03/26
A devolver en 3 meses
950€: Comisión apertura: 0,95%
Vcmto: 20/06/2026
33.333,33€: Cargado Bankinter: 20/04/26</t>
        </r>
        <r>
          <rPr>
            <b/>
            <sz val="9"/>
            <color indexed="81"/>
            <rFont val="Tahoma"/>
            <family val="2"/>
          </rPr>
          <t xml:space="preserve">
----------------------------------
</t>
        </r>
        <r>
          <rPr>
            <sz val="9"/>
            <color indexed="81"/>
            <rFont val="Tahoma"/>
            <family val="2"/>
          </rPr>
          <t xml:space="preserve">
</t>
        </r>
      </text>
    </comment>
    <comment ref="DG18" authorId="1" shapeId="0" xr:uid="{1D7150E6-43E8-422C-BE59-4C6029D1DA00}">
      <text>
        <r>
          <rPr>
            <sz val="9"/>
            <color indexed="81"/>
            <rFont val="Tahoma"/>
            <family val="2"/>
          </rPr>
          <t>100.000€: Importe financiado IS 
Abonado Bankinter: 20/03/26
A devolver en 3 meses
950€: Comisión apertura: 0,95%
Vcmto: 20/06/2026
33.333,33€: Cargado Bankinter: 20/05/26</t>
        </r>
        <r>
          <rPr>
            <b/>
            <sz val="9"/>
            <color indexed="81"/>
            <rFont val="Tahoma"/>
            <family val="2"/>
          </rPr>
          <t xml:space="preserve">
----------------------------------
</t>
        </r>
        <r>
          <rPr>
            <sz val="9"/>
            <color indexed="81"/>
            <rFont val="Tahoma"/>
            <family val="2"/>
          </rPr>
          <t xml:space="preserve">
</t>
        </r>
      </text>
    </comment>
    <comment ref="DH18" authorId="1" shapeId="0" xr:uid="{BF7A80A3-F8B8-4D21-A9B9-64046176FC53}">
      <text>
        <r>
          <rPr>
            <sz val="9"/>
            <color indexed="81"/>
            <rFont val="Tahoma"/>
            <family val="2"/>
          </rPr>
          <t>100.000€: Importe financiado IS 
Abonado Bankinter: 20/03/26
A devolver en 3 meses
950€: Comisión apertura: 0,95%
Vcmto: 20/06/2026
33.333,33€: Pndte cargo Bankinter: 20/06/26</t>
        </r>
        <r>
          <rPr>
            <b/>
            <sz val="9"/>
            <color indexed="81"/>
            <rFont val="Tahoma"/>
            <family val="2"/>
          </rPr>
          <t xml:space="preserve">
----------------------------------
</t>
        </r>
        <r>
          <rPr>
            <sz val="9"/>
            <color indexed="81"/>
            <rFont val="Tahoma"/>
            <family val="2"/>
          </rPr>
          <t xml:space="preserve">
</t>
        </r>
      </text>
    </comment>
    <comment ref="BZ19" authorId="1" shapeId="0" xr:uid="{C6BB1700-E6E6-47AC-80C3-8EDD7DEAC84E}">
      <text>
        <r>
          <rPr>
            <sz val="9"/>
            <color indexed="81"/>
            <rFont val="Tahoma"/>
            <family val="2"/>
          </rPr>
          <t>11,11€: Comisión por saldo no dispuesto
Cargado Caixa: 01/10/23</t>
        </r>
      </text>
    </comment>
    <comment ref="CC19" authorId="1" shapeId="0" xr:uid="{5B94814A-10E3-4E09-883B-3DAAE34117A0}">
      <text>
        <r>
          <rPr>
            <sz val="9"/>
            <color indexed="81"/>
            <rFont val="Tahoma"/>
            <family val="2"/>
          </rPr>
          <t>255,56€: Comisión por saldo no dispuesto
Cargado Caixa: 01/01/24</t>
        </r>
      </text>
    </comment>
    <comment ref="CF19" authorId="1" shapeId="0" xr:uid="{5962B452-7EB1-4EC3-8E97-FDA2FF12D815}">
      <text>
        <r>
          <rPr>
            <sz val="9"/>
            <color indexed="81"/>
            <rFont val="Tahoma"/>
            <family val="2"/>
          </rPr>
          <t>272,87€: Comisión por saldo no dispuesto
Cargado Caixa: 01/04/24</t>
        </r>
      </text>
    </comment>
    <comment ref="CI19" authorId="1" shapeId="0" xr:uid="{EDB741AF-6AEE-4BA7-AEC5-FAD403139EDB}">
      <text>
        <r>
          <rPr>
            <sz val="9"/>
            <color indexed="81"/>
            <rFont val="Tahoma"/>
            <family val="2"/>
          </rPr>
          <t>140,96€: Comisión por saldo no dispuesto
612,25€: Comisión por saldo dispuesto
753,21€: Cargado Caixa: 01/07/24</t>
        </r>
      </text>
    </comment>
    <comment ref="CL19" authorId="0" shapeId="0" xr:uid="{F7F4B26D-30C5-4D22-8E81-35D94905F78D}">
      <text>
        <r>
          <rPr>
            <sz val="9"/>
            <color indexed="81"/>
            <rFont val="Tahoma"/>
            <family val="2"/>
          </rPr>
          <t>1.000€: comision de apertura
Cargado Caixa: 26/09/24</t>
        </r>
      </text>
    </comment>
    <comment ref="CM19" authorId="1" shapeId="0" xr:uid="{8CF24A0E-7F5F-4B80-A336-B609FBC94FF0}">
      <text>
        <r>
          <rPr>
            <sz val="9"/>
            <color indexed="81"/>
            <rFont val="Tahoma"/>
            <family val="2"/>
          </rPr>
          <t>107,80€: Comisión por saldo no dispuesto
770,92€: Comisión por saldo dispuesto
878,72€: Cargado Caixa: 01/10/24</t>
        </r>
      </text>
    </comment>
    <comment ref="CP19" authorId="1" shapeId="0" xr:uid="{041BBAAB-9610-4910-871F-0365DE55588B}">
      <text>
        <r>
          <rPr>
            <sz val="9"/>
            <color indexed="81"/>
            <rFont val="Tahoma"/>
            <family val="2"/>
          </rPr>
          <t>107,80€: Comisión por saldo no dispuesto
770,92€: Comisión por saldo dispuesto
644,37€: Cargado Caixa: 01/01/25</t>
        </r>
      </text>
    </comment>
    <comment ref="CS19" authorId="1" shapeId="0" xr:uid="{9DC741D3-B6A7-44C8-B0A9-397BAF02A755}">
      <text>
        <r>
          <rPr>
            <sz val="9"/>
            <color indexed="81"/>
            <rFont val="Tahoma"/>
            <family val="2"/>
          </rPr>
          <t>214,75€: Comisión por saldo no dispuesto
155,48€: Comisión por saldo dispuesto
370,23€: Cargado Caixa: 01/04/25</t>
        </r>
      </text>
    </comment>
    <comment ref="CV19" authorId="1" shapeId="0" xr:uid="{285C4F0F-7D00-48A6-8E78-FFEDF4B3773E}">
      <text>
        <r>
          <rPr>
            <sz val="9"/>
            <color indexed="81"/>
            <rFont val="Tahoma"/>
            <family val="2"/>
          </rPr>
          <t>147,90€: Comisión por saldo no dispuesto
432,19€: Comisión por saldo dispuesto
580,09€: Cargado Caixa: 01/07/25</t>
        </r>
      </text>
    </comment>
    <comment ref="CZ19" authorId="1" shapeId="0" xr:uid="{751A95E8-1035-499F-9444-4845579C394C}">
      <text>
        <r>
          <rPr>
            <sz val="9"/>
            <color indexed="81"/>
            <rFont val="Tahoma"/>
            <family val="2"/>
          </rPr>
          <t>236,74€: Comisión por saldo no dispuesto
70,89: Comisión por saldo dispuesto
307,63€: Cargado Caixa: 01/10/25
---------------------------------
2,78€: Comisión por saldo no dispuesto
2,78€: Cargado Caixa: 01/10/25</t>
        </r>
      </text>
    </comment>
    <comment ref="DC19" authorId="1" shapeId="0" xr:uid="{D6787D35-F2D7-4BE9-AF7C-D0DC1395A246}">
      <text>
        <r>
          <rPr>
            <sz val="9"/>
            <color indexed="81"/>
            <rFont val="Tahoma"/>
            <family val="2"/>
          </rPr>
          <t xml:space="preserve">250€: Comisión por saldo no dispuesto
250€: Cargado Caixa: 01/01/26
---------------------------------
</t>
        </r>
      </text>
    </comment>
    <comment ref="DF19" authorId="1" shapeId="0" xr:uid="{AD9C2F6B-80A2-4E2C-9F97-0DBDB26DA763}">
      <text>
        <r>
          <rPr>
            <sz val="9"/>
            <color indexed="81"/>
            <rFont val="Tahoma"/>
            <family val="2"/>
          </rPr>
          <t xml:space="preserve">165,11€: Comisión por saldo no dispuesto
354,91: Comisión por saldo dispuesto
520,02€: Cargado Caixa: 01/04/25
---------------------------------
</t>
        </r>
      </text>
    </comment>
    <comment ref="CU20" authorId="1" shapeId="0" xr:uid="{F0DE262B-04D2-4F34-814B-67AD74ADEB62}">
      <text>
        <r>
          <rPr>
            <b/>
            <sz val="9"/>
            <color indexed="81"/>
            <rFont val="Tahoma"/>
            <family val="2"/>
          </rPr>
          <t>113,52€: Intereses del 26/05 al 31/05/25</t>
        </r>
        <r>
          <rPr>
            <sz val="9"/>
            <color indexed="81"/>
            <rFont val="Tahoma"/>
            <family val="2"/>
          </rPr>
          <t xml:space="preserve">
Cargado Caixa: 01/06/25</t>
        </r>
      </text>
    </comment>
    <comment ref="CV20" authorId="1" shapeId="0" xr:uid="{542540BA-46D6-4624-B229-1849B654F903}">
      <text>
        <r>
          <rPr>
            <b/>
            <sz val="9"/>
            <color indexed="81"/>
            <rFont val="Tahoma"/>
            <family val="2"/>
          </rPr>
          <t>113,52€: Intereses del 26/05 al 31/05/25</t>
        </r>
        <r>
          <rPr>
            <sz val="9"/>
            <color indexed="81"/>
            <rFont val="Tahoma"/>
            <family val="2"/>
          </rPr>
          <t xml:space="preserve">
Cargado Caixa: 01/06/25</t>
        </r>
      </text>
    </comment>
    <comment ref="EL20" authorId="1" shapeId="0" xr:uid="{E813B68C-8628-4971-9094-E5CBB71D48E4}">
      <text>
        <r>
          <rPr>
            <b/>
            <sz val="9"/>
            <color indexed="81"/>
            <rFont val="Tahoma"/>
            <family val="2"/>
          </rPr>
          <t>Fecha vencimiento: 01/06/2030</t>
        </r>
        <r>
          <rPr>
            <sz val="9"/>
            <color indexed="81"/>
            <rFont val="Tahoma"/>
            <family val="2"/>
          </rPr>
          <t xml:space="preserve">
</t>
        </r>
      </text>
    </comment>
    <comment ref="DC21" authorId="1" shapeId="0" xr:uid="{3803CBE7-E1C7-40CA-ACF6-091747364964}">
      <text>
        <r>
          <rPr>
            <sz val="9"/>
            <color indexed="81"/>
            <rFont val="Tahoma"/>
            <family val="2"/>
          </rPr>
          <t xml:space="preserve">1.664,38€: Intereses préstamo 
Cargado Caixa: 01/01/26
</t>
        </r>
      </text>
    </comment>
    <comment ref="CE22" authorId="1" shapeId="0" xr:uid="{1F1CE6DF-84DC-4247-B9CC-B1F358152FCC}">
      <text>
        <r>
          <rPr>
            <b/>
            <sz val="9"/>
            <color indexed="81"/>
            <rFont val="Tahoma"/>
            <family val="2"/>
          </rPr>
          <t>Cargado BBVA: 27/03/24</t>
        </r>
      </text>
    </comment>
    <comment ref="CH22" authorId="1" shapeId="0" xr:uid="{C96B347E-AA45-40B3-823C-E866A9FE393A}">
      <text>
        <r>
          <rPr>
            <b/>
            <sz val="9"/>
            <color indexed="81"/>
            <rFont val="Tahoma"/>
            <family val="2"/>
          </rPr>
          <t>Cargado BBVA: 30/06/24</t>
        </r>
      </text>
    </comment>
    <comment ref="CM22" authorId="1" shapeId="0" xr:uid="{F0EF36D4-C13B-4E52-9C1E-9BE635EED924}">
      <text>
        <r>
          <rPr>
            <b/>
            <sz val="9"/>
            <color indexed="81"/>
            <rFont val="Tahoma"/>
            <family val="2"/>
          </rPr>
          <t>Cargado BBVA: 01/10/24</t>
        </r>
      </text>
    </comment>
    <comment ref="CP22" authorId="1" shapeId="0" xr:uid="{25BAC63A-3CA0-47AC-87B1-66B4C7CBDDD6}">
      <text>
        <r>
          <rPr>
            <b/>
            <sz val="9"/>
            <color indexed="81"/>
            <rFont val="Tahoma"/>
            <family val="2"/>
          </rPr>
          <t>Cargado BBVA: 02/01/25</t>
        </r>
      </text>
    </comment>
    <comment ref="CR22" authorId="1" shapeId="0" xr:uid="{A35FE89F-C140-442E-9446-56E4974BAB64}">
      <text>
        <r>
          <rPr>
            <b/>
            <sz val="9"/>
            <color indexed="81"/>
            <rFont val="Tahoma"/>
            <family val="2"/>
          </rPr>
          <t>Cargado BBVA: 27/03/25</t>
        </r>
      </text>
    </comment>
    <comment ref="CV22" authorId="1" shapeId="0" xr:uid="{07FFB31F-7FE8-4485-8DE5-EDEF0B36A45B}">
      <text>
        <r>
          <rPr>
            <b/>
            <sz val="9"/>
            <color indexed="81"/>
            <rFont val="Tahoma"/>
            <family val="2"/>
          </rPr>
          <t>Cargado BBVA: 01/07/25</t>
        </r>
      </text>
    </comment>
    <comment ref="CZ22" authorId="1" shapeId="0" xr:uid="{D40FDA81-0C8A-4451-865C-5AE34829FDAF}">
      <text>
        <r>
          <rPr>
            <b/>
            <sz val="9"/>
            <color indexed="81"/>
            <rFont val="Tahoma"/>
            <family val="2"/>
          </rPr>
          <t>Cargado BBVA: 01/10/25</t>
        </r>
      </text>
    </comment>
    <comment ref="DC22" authorId="1" shapeId="0" xr:uid="{AB7856B0-704E-4076-B51F-B5D275607806}">
      <text>
        <r>
          <rPr>
            <b/>
            <sz val="9"/>
            <color indexed="81"/>
            <rFont val="Tahoma"/>
            <family val="2"/>
          </rPr>
          <t>Cargado BBVA: 02/01/26</t>
        </r>
      </text>
    </comment>
    <comment ref="DE22" authorId="1" shapeId="0" xr:uid="{677047DF-4DB7-4215-A2DE-E8ED506B550F}">
      <text>
        <r>
          <rPr>
            <b/>
            <sz val="9"/>
            <color indexed="81"/>
            <rFont val="Tahoma"/>
            <family val="2"/>
          </rPr>
          <t>Cargado BBVA: 27/03/26</t>
        </r>
      </text>
    </comment>
    <comment ref="CF23" authorId="1" shapeId="0" xr:uid="{5630412E-BD44-4841-8DBD-305EB9EE1E07}">
      <text>
        <r>
          <rPr>
            <sz val="9"/>
            <color indexed="81"/>
            <rFont val="Tahoma"/>
            <family val="2"/>
          </rPr>
          <t>142,37€: Comisión por intereses del 30/01/24 al 05/04/24</t>
        </r>
        <r>
          <rPr>
            <b/>
            <sz val="9"/>
            <color indexed="81"/>
            <rFont val="Tahoma"/>
            <family val="2"/>
          </rPr>
          <t xml:space="preserve">
</t>
        </r>
        <r>
          <rPr>
            <sz val="9"/>
            <color indexed="81"/>
            <rFont val="Tahoma"/>
            <family val="2"/>
          </rPr>
          <t>286,29€: Comisión por saldo no dispuesto del 05/01/24 al 05/04/24
428,66€: Cargado Bankinter: 05/04/24</t>
        </r>
      </text>
    </comment>
    <comment ref="CI23" authorId="1" shapeId="0" xr:uid="{2E603E1C-1539-4BAE-BD9D-076BBA88FB1A}">
      <text>
        <r>
          <rPr>
            <sz val="9"/>
            <color indexed="81"/>
            <rFont val="Tahoma"/>
            <family val="2"/>
          </rPr>
          <t>1.451,63€: Comisión por intereses del 05/04/24 al 05/07/24</t>
        </r>
        <r>
          <rPr>
            <b/>
            <sz val="9"/>
            <color indexed="81"/>
            <rFont val="Tahoma"/>
            <family val="2"/>
          </rPr>
          <t xml:space="preserve">
</t>
        </r>
        <r>
          <rPr>
            <sz val="9"/>
            <color indexed="81"/>
            <rFont val="Tahoma"/>
            <family val="2"/>
          </rPr>
          <t>9,37€: Comisión por saldo no dispuesto del 05/04/24 al 05/07/24
1.461€: Cargado Bankinter: 05/07/24</t>
        </r>
      </text>
    </comment>
    <comment ref="CM23" authorId="1" shapeId="0" xr:uid="{171CB7A4-9357-4F24-9C3E-B5B4D9ACC04B}">
      <text>
        <r>
          <rPr>
            <sz val="9"/>
            <color indexed="81"/>
            <rFont val="Tahoma"/>
            <family val="2"/>
          </rPr>
          <t>1.430,10€: Comisión por intereses del 05/07/24 al 05/10/24</t>
        </r>
        <r>
          <rPr>
            <b/>
            <sz val="9"/>
            <color indexed="81"/>
            <rFont val="Tahoma"/>
            <family val="2"/>
          </rPr>
          <t xml:space="preserve">
</t>
        </r>
        <r>
          <rPr>
            <sz val="9"/>
            <color indexed="81"/>
            <rFont val="Tahoma"/>
            <family val="2"/>
          </rPr>
          <t>5,34€: Comisión por saldo no dispuesto del 05/07/24 al 05/10/24
1.430,10€: Cargado Bankinter: 05/10/24</t>
        </r>
      </text>
    </comment>
    <comment ref="CP23" authorId="1" shapeId="0" xr:uid="{D5BD6F20-5248-4F87-9097-7EDE3C679A2C}">
      <text>
        <r>
          <rPr>
            <sz val="9"/>
            <color indexed="81"/>
            <rFont val="Tahoma"/>
            <family val="2"/>
          </rPr>
          <t>1.286,35€: Comisión por intereses del 05/10/24 al 05/01/25</t>
        </r>
        <r>
          <rPr>
            <b/>
            <sz val="9"/>
            <color indexed="81"/>
            <rFont val="Tahoma"/>
            <family val="2"/>
          </rPr>
          <t xml:space="preserve">
</t>
        </r>
        <r>
          <rPr>
            <sz val="9"/>
            <color indexed="81"/>
            <rFont val="Tahoma"/>
            <family val="2"/>
          </rPr>
          <t>5,24€: Comisión por saldo no dispuesto del 05/10/24 al 05/01/25
1.291,59€: Cargado Bankinter: 06/01/25
---------------------
550€: Comisión renovación crédito Bankinter en noviembre 2024
Cargado Bankinter: 22/01/25
C</t>
        </r>
      </text>
    </comment>
    <comment ref="CS23" authorId="1" shapeId="0" xr:uid="{C85DDBAC-2018-4C42-9E50-A154CD41E934}">
      <text>
        <r>
          <rPr>
            <sz val="9"/>
            <color indexed="81"/>
            <rFont val="Tahoma"/>
            <family val="2"/>
          </rPr>
          <t>270,92€: Comisión por intereses del 05/01/25 al 25/03/25</t>
        </r>
        <r>
          <rPr>
            <b/>
            <sz val="9"/>
            <color indexed="81"/>
            <rFont val="Tahoma"/>
            <family val="2"/>
          </rPr>
          <t xml:space="preserve">
</t>
        </r>
        <r>
          <rPr>
            <sz val="9"/>
            <color indexed="81"/>
            <rFont val="Tahoma"/>
            <family val="2"/>
          </rPr>
          <t xml:space="preserve">242,19€: Comisión por saldo no dispuesto del 05/01/25 al 25/03/25
513,11€: Cargado Bankinter: 07/04/25
</t>
        </r>
      </text>
    </comment>
    <comment ref="CV23" authorId="1" shapeId="0" xr:uid="{121514C2-2497-4A50-B160-45AE25EE390D}">
      <text>
        <r>
          <rPr>
            <sz val="9"/>
            <color indexed="81"/>
            <rFont val="Tahoma"/>
            <family val="2"/>
          </rPr>
          <t>324,94€: Comisión por intereses del 25/04/25 al 01/07/25</t>
        </r>
        <r>
          <rPr>
            <b/>
            <sz val="9"/>
            <color indexed="81"/>
            <rFont val="Tahoma"/>
            <family val="2"/>
          </rPr>
          <t xml:space="preserve">
</t>
        </r>
        <r>
          <rPr>
            <sz val="9"/>
            <color indexed="81"/>
            <rFont val="Tahoma"/>
            <family val="2"/>
          </rPr>
          <t xml:space="preserve">218,40€: Comisión por saldo no dispuesto del 25/04/25 al 01/07/25
543,34€: Cargado Bankinter: 04/07/25
</t>
        </r>
      </text>
    </comment>
    <comment ref="CZ23" authorId="1" shapeId="0" xr:uid="{096D7874-FF77-4A48-BCCC-3581FEB1A3A8}">
      <text>
        <r>
          <rPr>
            <sz val="9"/>
            <color indexed="81"/>
            <rFont val="Tahoma"/>
            <family val="2"/>
          </rPr>
          <t>785,41€: Comisión por intereses del 05/07/25 al 05/10/25</t>
        </r>
        <r>
          <rPr>
            <b/>
            <sz val="9"/>
            <color indexed="81"/>
            <rFont val="Tahoma"/>
            <family val="2"/>
          </rPr>
          <t xml:space="preserve">
</t>
        </r>
        <r>
          <rPr>
            <sz val="9"/>
            <color indexed="81"/>
            <rFont val="Tahoma"/>
            <family val="2"/>
          </rPr>
          <t xml:space="preserve">80,96€: Comisión por saldo no dispuesto del 05/07/25 al 05/10/25
866,37€: Cargado Bankinter: 04/10/25
</t>
        </r>
      </text>
    </comment>
    <comment ref="DC23" authorId="1" shapeId="0" xr:uid="{FB958281-A95F-41F5-8086-17194AF87180}">
      <text>
        <r>
          <rPr>
            <sz val="9"/>
            <color indexed="81"/>
            <rFont val="Tahoma"/>
            <family val="2"/>
          </rPr>
          <t>272,31€: Comisión por intereses del 05/10/25 al 07/11/25</t>
        </r>
        <r>
          <rPr>
            <b/>
            <sz val="9"/>
            <color indexed="81"/>
            <rFont val="Tahoma"/>
            <family val="2"/>
          </rPr>
          <t xml:space="preserve">
</t>
        </r>
        <r>
          <rPr>
            <sz val="9"/>
            <color indexed="81"/>
            <rFont val="Tahoma"/>
            <family val="2"/>
          </rPr>
          <t xml:space="preserve">236,99€: Comisión por saldo no dispuesto del 05/10/25 al 05/01/26
509,30€: Cargado Bankinter: 03/01/26
</t>
        </r>
      </text>
    </comment>
    <comment ref="DF23" authorId="1" shapeId="0" xr:uid="{3E6AE4ED-2132-46F0-BA6C-E3D459E5F83C}">
      <text>
        <r>
          <rPr>
            <sz val="9"/>
            <color indexed="81"/>
            <rFont val="Tahoma"/>
            <family val="2"/>
          </rPr>
          <t>172,68€: Comisión por intereses del 05/01/26 al 05/04/26</t>
        </r>
        <r>
          <rPr>
            <b/>
            <sz val="9"/>
            <color indexed="81"/>
            <rFont val="Tahoma"/>
            <family val="2"/>
          </rPr>
          <t xml:space="preserve">
</t>
        </r>
        <r>
          <rPr>
            <sz val="9"/>
            <color indexed="81"/>
            <rFont val="Tahoma"/>
            <family val="2"/>
          </rPr>
          <t xml:space="preserve">260,46€: Comisión por saldo no dispuesto del 05/01/26 al 05/04/26
433,14€: Cargado Bankinter: 06/04/26
</t>
        </r>
      </text>
    </comment>
    <comment ref="DF24" authorId="1" shapeId="0" xr:uid="{AAF5F4A7-969E-4545-A9BD-9DF43BB5E1C9}">
      <text>
        <r>
          <rPr>
            <sz val="9"/>
            <color indexed="81"/>
            <rFont val="Tahoma"/>
            <family val="2"/>
          </rPr>
          <t xml:space="preserve">316,46€: Intereses préstamo 
Cargado Caixa: 30/04/26
</t>
        </r>
      </text>
    </comment>
    <comment ref="CN25" authorId="2" shapeId="0" xr:uid="{B4C54802-F256-43FE-9F18-A640997A3824}">
      <text>
        <r>
          <rPr>
            <sz val="9"/>
            <color indexed="81"/>
            <rFont val="Tahoma"/>
            <family val="2"/>
          </rPr>
          <t>10.000€: Traspaso de fondos 07/11/24</t>
        </r>
      </text>
    </comment>
    <comment ref="CO25" authorId="2" shapeId="0" xr:uid="{B59BF60E-256A-4D65-B20C-2E5C7B28D2D5}">
      <text>
        <r>
          <rPr>
            <sz val="9"/>
            <color indexed="81"/>
            <rFont val="Tahoma"/>
            <family val="2"/>
          </rPr>
          <t>15.000€: Traspaso de fondos 12/12/24
6.000€: Traspaso de fondos 24/12/24</t>
        </r>
      </text>
    </comment>
    <comment ref="CP25" authorId="2" shapeId="0" xr:uid="{C5E997F4-AD7B-478A-A196-151856EC1687}">
      <text>
        <r>
          <rPr>
            <sz val="9"/>
            <color indexed="81"/>
            <rFont val="Tahoma"/>
            <family val="2"/>
          </rPr>
          <t>10.000€: Traspaso de fondos 24/01/25
5.000€: Traspaso de fondos 30/01/25</t>
        </r>
      </text>
    </comment>
    <comment ref="CQ25" authorId="2" shapeId="0" xr:uid="{10749CEA-1CF4-4B3F-8D38-60939DE7C301}">
      <text>
        <r>
          <rPr>
            <sz val="9"/>
            <color indexed="81"/>
            <rFont val="Tahoma"/>
            <family val="2"/>
          </rPr>
          <t xml:space="preserve">10.000€: Traspaso de fondos 05/02/25
3.500€: Traspaso de fondos 25/02/25
</t>
        </r>
      </text>
    </comment>
    <comment ref="CS25" authorId="2" shapeId="0" xr:uid="{61761EF4-5B49-4AD0-875B-B5AC6EC4B355}">
      <text>
        <r>
          <rPr>
            <sz val="9"/>
            <color indexed="81"/>
            <rFont val="Tahoma"/>
            <family val="2"/>
          </rPr>
          <t xml:space="preserve">10.000€: Traspaso de fondos 28/04/25
</t>
        </r>
      </text>
    </comment>
    <comment ref="CT25" authorId="2" shapeId="0" xr:uid="{8F738E1D-0E27-434E-8715-F3EF35263006}">
      <text>
        <r>
          <rPr>
            <sz val="9"/>
            <color indexed="81"/>
            <rFont val="Tahoma"/>
            <family val="2"/>
          </rPr>
          <t xml:space="preserve">10.000€: Traspaso de fondos 28/05/25
</t>
        </r>
      </text>
    </comment>
    <comment ref="CW25" authorId="2" shapeId="0" xr:uid="{33161A2E-3BD9-43C7-AB5E-716899D36396}">
      <text>
        <r>
          <rPr>
            <sz val="9"/>
            <color indexed="81"/>
            <rFont val="Tahoma"/>
            <family val="2"/>
          </rPr>
          <t xml:space="preserve">12.000€: Traspaso de fondos 01/08/25
</t>
        </r>
      </text>
    </comment>
    <comment ref="CY25" authorId="2" shapeId="0" xr:uid="{9B625942-F2AE-4748-8551-753BA75D2EB1}">
      <text>
        <r>
          <rPr>
            <sz val="9"/>
            <color indexed="81"/>
            <rFont val="Tahoma"/>
            <family val="2"/>
          </rPr>
          <t xml:space="preserve">4.000€: Traspaso de fondos 29/09/25
</t>
        </r>
      </text>
    </comment>
    <comment ref="CZ25" authorId="2" shapeId="0" xr:uid="{CE0EBC2F-2FAD-425D-BDD1-A89FFABE7E02}">
      <text>
        <r>
          <rPr>
            <sz val="9"/>
            <color indexed="81"/>
            <rFont val="Tahoma"/>
            <family val="2"/>
          </rPr>
          <t>3.000€: Traspaso de fondos 02/10/25
---------------------------------------------
20.000€: Traspaso de fondos 09/10/25
---------------------------------------------
10.000€: Traspaso de fondos 14/10/25  ------------------------------------------
10.000€: Previsión oct</t>
        </r>
      </text>
    </comment>
    <comment ref="DC25" authorId="2" shapeId="0" xr:uid="{8E4A342A-C817-429E-AE3A-09DC6D7CF419}">
      <text>
        <r>
          <rPr>
            <sz val="9"/>
            <color indexed="81"/>
            <rFont val="Tahoma"/>
            <family val="2"/>
          </rPr>
          <t xml:space="preserve">10.000€: Traspaso de fondos 27/01/26
2.000€: Traspaso de fondos 30/01/26
</t>
        </r>
      </text>
    </comment>
    <comment ref="DD25" authorId="2" shapeId="0" xr:uid="{F35E8CB6-7FD8-409D-B72A-275883F311EC}">
      <text>
        <r>
          <rPr>
            <sz val="9"/>
            <color indexed="81"/>
            <rFont val="Tahoma"/>
            <family val="2"/>
          </rPr>
          <t xml:space="preserve">3.000€: Traspaso de fondos 02/02/26
---------------------------------
2.000€: Traspaso de fondos 12/02/26
</t>
        </r>
      </text>
    </comment>
    <comment ref="DE25" authorId="2" shapeId="0" xr:uid="{EE1DCF94-6473-49FA-B50B-3E13C9FDC378}">
      <text>
        <r>
          <rPr>
            <sz val="9"/>
            <color indexed="81"/>
            <rFont val="Tahoma"/>
            <family val="2"/>
          </rPr>
          <t xml:space="preserve">3.000€: Traspaso de fondos 23/03/26
---------------------------------
10.000€: Traspaso de fondos 31/03/26
</t>
        </r>
      </text>
    </comment>
    <comment ref="DF25" authorId="2" shapeId="0" xr:uid="{F2CCA04B-09B7-4DD0-A8C6-3AFB3AD0B691}">
      <text>
        <r>
          <rPr>
            <sz val="9"/>
            <color indexed="81"/>
            <rFont val="Tahoma"/>
            <family val="2"/>
          </rPr>
          <t xml:space="preserve">20.000€: Devolución traspaso de fondos 17/04/26
</t>
        </r>
      </text>
    </comment>
    <comment ref="DG25" authorId="2" shapeId="0" xr:uid="{53B7DF36-FCB9-459B-B34A-C04C73CD8E13}">
      <text>
        <r>
          <rPr>
            <sz val="9"/>
            <color indexed="81"/>
            <rFont val="Tahoma"/>
            <family val="2"/>
          </rPr>
          <t xml:space="preserve">2.000€: Traspaso de fondos 28/05/26
</t>
        </r>
      </text>
    </comment>
    <comment ref="CB26" authorId="2" shapeId="0" xr:uid="{4B6E9009-334E-430F-9F90-80450081119A}">
      <text>
        <r>
          <rPr>
            <b/>
            <sz val="9"/>
            <color indexed="81"/>
            <rFont val="Tahoma"/>
            <family val="2"/>
          </rPr>
          <t xml:space="preserve">Aportación de socios de Alberto.
</t>
        </r>
        <r>
          <rPr>
            <sz val="9"/>
            <color indexed="81"/>
            <rFont val="Tahoma"/>
            <family val="2"/>
          </rPr>
          <t>140000€: Ingresado en Caixa: 05/12/23
---------------------------
1.051,96€= 3918,75 AED (0,2684): Info Alberto 29/12/23: Transferir el importe del hotel en Dubai pagado con su VISA personal.
1.051,96€: Transf. Caixa realizada el 29/12/23</t>
        </r>
      </text>
    </comment>
    <comment ref="CE26" authorId="2" shapeId="0" xr:uid="{96FC66CE-4EC7-4A1B-ADBF-98BEBC185E9D}">
      <text>
        <r>
          <rPr>
            <b/>
            <sz val="9"/>
            <color indexed="81"/>
            <rFont val="Tahoma"/>
            <family val="2"/>
          </rPr>
          <t xml:space="preserve">Devolución Aportación de socios a Alberto.
</t>
        </r>
        <r>
          <rPr>
            <sz val="9"/>
            <color indexed="81"/>
            <rFont val="Tahoma"/>
            <family val="2"/>
          </rPr>
          <t xml:space="preserve">158.000€: Total transferido 
50.000€: Transferencia Bankinter realizada el 29/03/24
45.000€: Transferencia Bankinter realizada el 29/03/24
20.000€: Transferencia Caixa realizada el 29/03/24
20.000€: Transferencia Caixa realizada el 29/03/24
10.000€: Transferencia Caixa realizada el 29/03/24
13.000€: Transferencia Caixa realizada el 29/03/24
---------------------------
Nota: La aportación inicial de Alberto es de 140.000€ y el importe final a transferir es de 158.000€
</t>
        </r>
      </text>
    </comment>
    <comment ref="CI26" authorId="2" shapeId="0" xr:uid="{35037DF0-8BA0-448D-BA8D-9098AF10D851}">
      <text>
        <r>
          <rPr>
            <b/>
            <sz val="9"/>
            <color indexed="81"/>
            <rFont val="Tahoma"/>
            <family val="2"/>
          </rPr>
          <t xml:space="preserve">Devolución Aportación de socios a Alberto.
</t>
        </r>
        <r>
          <rPr>
            <sz val="9"/>
            <color indexed="81"/>
            <rFont val="Tahoma"/>
            <family val="2"/>
          </rPr>
          <t xml:space="preserve">10.000€: Transferencia Caixa realizada el 19/07/24
</t>
        </r>
      </text>
    </comment>
    <comment ref="CL26" authorId="2" shapeId="0" xr:uid="{CF505365-D891-42B8-9D8B-874817E876B7}">
      <text>
        <r>
          <rPr>
            <b/>
            <sz val="9"/>
            <color indexed="81"/>
            <rFont val="Tahoma"/>
            <family val="2"/>
          </rPr>
          <t xml:space="preserve">Devolución Aportación de socios a Alberto.
</t>
        </r>
        <r>
          <rPr>
            <sz val="9"/>
            <color indexed="81"/>
            <rFont val="Tahoma"/>
            <family val="2"/>
          </rPr>
          <t xml:space="preserve">5.000€: Transferencia Caixa realizada el 12/09/24
</t>
        </r>
      </text>
    </comment>
    <comment ref="CM26" authorId="2" shapeId="0" xr:uid="{ED8C229A-F9FC-4B6B-A8F4-F249BFB51D2C}">
      <text>
        <r>
          <rPr>
            <b/>
            <sz val="9"/>
            <color indexed="81"/>
            <rFont val="Tahoma"/>
            <family val="2"/>
          </rPr>
          <t xml:space="preserve">Devolución Aportación de socios a Alberto.
</t>
        </r>
        <r>
          <rPr>
            <sz val="9"/>
            <color indexed="81"/>
            <rFont val="Tahoma"/>
            <family val="2"/>
          </rPr>
          <t xml:space="preserve">7,000€: Transferencia Caixa realizada el 21/10/24
</t>
        </r>
      </text>
    </comment>
    <comment ref="CN26" authorId="2" shapeId="0" xr:uid="{08779333-86A7-49B8-B62E-C643D76CDAAD}">
      <text>
        <r>
          <rPr>
            <b/>
            <sz val="9"/>
            <color indexed="81"/>
            <rFont val="Tahoma"/>
            <family val="2"/>
          </rPr>
          <t xml:space="preserve">Aportación de socios de Alberto.
</t>
        </r>
        <r>
          <rPr>
            <sz val="9"/>
            <color indexed="81"/>
            <rFont val="Tahoma"/>
            <family val="2"/>
          </rPr>
          <t xml:space="preserve">125000€: Ingresado en Caixa: 29/11/24
---------------------------
</t>
        </r>
      </text>
    </comment>
    <comment ref="CP26" authorId="2" shapeId="0" xr:uid="{ABD53CD2-F721-4E0E-8B4F-7E67646551A3}">
      <text>
        <r>
          <rPr>
            <b/>
            <sz val="9"/>
            <color indexed="81"/>
            <rFont val="Tahoma"/>
            <family val="2"/>
          </rPr>
          <t xml:space="preserve">Devolución Aportación de socios a Alberto.
</t>
        </r>
        <r>
          <rPr>
            <sz val="9"/>
            <color indexed="81"/>
            <rFont val="Tahoma"/>
            <family val="2"/>
          </rPr>
          <t xml:space="preserve">7.000€: Transferencia Caixa realizada el 28/01/25
</t>
        </r>
      </text>
    </comment>
    <comment ref="CR26" authorId="1" shapeId="0" xr:uid="{134CBE3A-AE4C-455F-B86B-E635E0D3C525}">
      <text>
        <r>
          <rPr>
            <b/>
            <sz val="9"/>
            <color indexed="81"/>
            <rFont val="Tahoma"/>
            <family val="2"/>
          </rPr>
          <t xml:space="preserve">Info Alberto 04/03/25:
</t>
        </r>
        <r>
          <rPr>
            <sz val="9"/>
            <color indexed="81"/>
            <rFont val="Tahoma"/>
            <family val="2"/>
          </rPr>
          <t>Sobre la cancelación de los 150k Eur de mi préstamo de Caixa:
- Hay que pagar 11.909 Eur el 1 de abril
- Cargan 150.000 Eur el dia 1 de mayo
Necesito porfa que planifiques para ingressar estos valores em mi cuenta corriente como devolución de sócios.</t>
        </r>
        <r>
          <rPr>
            <b/>
            <sz val="9"/>
            <color indexed="81"/>
            <rFont val="Tahoma"/>
            <family val="2"/>
          </rPr>
          <t xml:space="preserve">
</t>
        </r>
        <r>
          <rPr>
            <sz val="9"/>
            <color indexed="81"/>
            <rFont val="Tahoma"/>
            <family val="2"/>
          </rPr>
          <t>11.909€: Transferencia Caixa realizada el 27/03/25</t>
        </r>
      </text>
    </comment>
    <comment ref="CS26" authorId="1" shapeId="0" xr:uid="{2D56348A-E42C-4669-B09A-38B57E840DDC}">
      <text>
        <r>
          <rPr>
            <sz val="9"/>
            <color indexed="81"/>
            <rFont val="Tahoma"/>
            <family val="2"/>
          </rPr>
          <t>Devolución Aportación de socios a Alberto.
7.000€: Transferencia Caixa realizada el 21/04/25
---------------------------------------</t>
        </r>
        <r>
          <rPr>
            <b/>
            <sz val="9"/>
            <color indexed="81"/>
            <rFont val="Tahoma"/>
            <family val="2"/>
          </rPr>
          <t xml:space="preserve">
Info Alberto 04/03/25:
</t>
        </r>
        <r>
          <rPr>
            <sz val="9"/>
            <color indexed="81"/>
            <rFont val="Tahoma"/>
            <family val="2"/>
          </rPr>
          <t>Sobre la cancelación de los 150k Eur de mi préstamo de Caixa:
- Hay que pagar 11.909 Eur el 1 de abril
- Cargan 150.000 Eur el dia 1 de mayo
Necesito porfa que planifiques para ingressar estos valores em mi cuenta corriente como devolución de sócios.
80.000€: Transferencia BBVA Cta Crédito realizada el 29/04/25</t>
        </r>
        <r>
          <rPr>
            <b/>
            <sz val="9"/>
            <color indexed="81"/>
            <rFont val="Tahoma"/>
            <family val="2"/>
          </rPr>
          <t xml:space="preserve">
</t>
        </r>
        <r>
          <rPr>
            <sz val="9"/>
            <color indexed="81"/>
            <rFont val="Tahoma"/>
            <family val="2"/>
          </rPr>
          <t>70.000€: Transferencia Bankinter realizada el 29/04/25</t>
        </r>
      </text>
    </comment>
    <comment ref="CT26" authorId="1" shapeId="0" xr:uid="{D36F32B0-4797-4533-89A8-F7F5B4D9D50A}">
      <text>
        <r>
          <rPr>
            <sz val="9"/>
            <color indexed="81"/>
            <rFont val="Tahoma"/>
            <family val="2"/>
          </rPr>
          <t>Devolución Aportación de socios a Alberto.
15.000€: Transferencia Caixa realizada el 27/05/25
---------------------------------------</t>
        </r>
        <r>
          <rPr>
            <b/>
            <sz val="9"/>
            <color indexed="81"/>
            <rFont val="Tahoma"/>
            <family val="2"/>
          </rPr>
          <t xml:space="preserve">
</t>
        </r>
      </text>
    </comment>
    <comment ref="CV26" authorId="1" shapeId="0" xr:uid="{446A0DE8-F4A7-4198-87B4-802106FB4511}">
      <text>
        <r>
          <rPr>
            <sz val="9"/>
            <color indexed="81"/>
            <rFont val="Tahoma"/>
            <family val="2"/>
          </rPr>
          <t>Devolución Aportación de socios a Alberto.
15.000€: Transferencia Caixa realizada el 01/07/25
---------------------------------------</t>
        </r>
        <r>
          <rPr>
            <b/>
            <sz val="9"/>
            <color indexed="81"/>
            <rFont val="Tahoma"/>
            <family val="2"/>
          </rPr>
          <t xml:space="preserve">
</t>
        </r>
        <r>
          <rPr>
            <sz val="9"/>
            <color indexed="81"/>
            <rFont val="Tahoma"/>
            <family val="2"/>
          </rPr>
          <t>Devolución Aportación de socios a Alberto.
7.000€: Transferencia Caixa realizada el 21/07/25</t>
        </r>
      </text>
    </comment>
    <comment ref="CZ26" authorId="1" shapeId="0" xr:uid="{34AB93F8-38B9-4BE2-AA53-73962D1FDF37}">
      <text>
        <r>
          <rPr>
            <sz val="9"/>
            <color indexed="81"/>
            <rFont val="Tahoma"/>
            <family val="2"/>
          </rPr>
          <t>Devolución Aportación de socios a Alberto.
10.000€: Transferencia Caixa realizada el 15/10/25</t>
        </r>
      </text>
    </comment>
    <comment ref="DA26" authorId="1" shapeId="0" xr:uid="{1A755C37-1F24-493F-8884-5412EBA70F8B}">
      <text>
        <r>
          <rPr>
            <sz val="9"/>
            <color indexed="81"/>
            <rFont val="Tahoma"/>
            <family val="2"/>
          </rPr>
          <t>Devolución Aportación de socios a Alberto.
10.000€: Transferencia Caixa realizada el 05/11/25
--------------------------------
Devolución Aportación de socios a Alberto.
15.000€: Transferencia Caixa realizada el 25/11/25</t>
        </r>
      </text>
    </comment>
    <comment ref="DC26" authorId="1" shapeId="0" xr:uid="{8099B07C-831B-453E-8525-C7E18F933C3F}">
      <text>
        <r>
          <rPr>
            <sz val="9"/>
            <color indexed="81"/>
            <rFont val="Tahoma"/>
            <family val="2"/>
          </rPr>
          <t>Devolución Aportación de socios a Alberto.
15.000€: Transferencia Caixa realizada el 05/01/26
---------------------------------------
Devolución Aportación de socios a Alberto.
7.000€: Transferencia Caixa realizada el 30/01/26</t>
        </r>
      </text>
    </comment>
    <comment ref="DF26" authorId="1" shapeId="0" xr:uid="{1CA4DC3C-FB85-433C-96B9-AEA691FB5FD7}">
      <text>
        <r>
          <rPr>
            <b/>
            <sz val="9"/>
            <color indexed="81"/>
            <rFont val="Tahoma"/>
            <family val="2"/>
          </rPr>
          <t xml:space="preserve">Info Alberto 01/04/26:
</t>
        </r>
        <r>
          <rPr>
            <sz val="9"/>
            <color indexed="81"/>
            <rFont val="Tahoma"/>
            <family val="2"/>
          </rPr>
          <t xml:space="preserve">Sobre la cancelación de los 150k Eur de mi préstamo de Caixa:
- Hay que pagar 12.000 Eur el 1 de abril
- Cargan 150.656,25 Eur el dia 1 de mayo
</t>
        </r>
        <r>
          <rPr>
            <b/>
            <sz val="9"/>
            <color indexed="81"/>
            <rFont val="Tahoma"/>
            <family val="2"/>
          </rPr>
          <t xml:space="preserve">
</t>
        </r>
        <r>
          <rPr>
            <sz val="9"/>
            <color indexed="81"/>
            <rFont val="Tahoma"/>
            <family val="2"/>
          </rPr>
          <t>12.000€: Transferencia Caixa realizada el 01/04/26
150.656,25€: Pndte transferencia
31.000€: Transferencia Cta Crédito BBVA realizada el 27/04/26
120.000€: Transferencia Caixa realizada el 27/04/26
---------------------------------------
Devolución Aportación de socios a Alberto.
7.000€: Transferencia Caixa realizada el 17/04/26</t>
        </r>
      </text>
    </comment>
    <comment ref="DG26" authorId="1" shapeId="0" xr:uid="{3AB4F88D-57E7-4B44-ADAF-732CCCAC6774}">
      <text>
        <r>
          <rPr>
            <b/>
            <sz val="9"/>
            <color indexed="81"/>
            <rFont val="Tahoma"/>
            <family val="2"/>
          </rPr>
          <t xml:space="preserve">Info Alberto 26/05/26:
</t>
        </r>
        <r>
          <rPr>
            <sz val="9"/>
            <color indexed="81"/>
            <rFont val="Tahoma"/>
            <family val="2"/>
          </rPr>
          <t>Devolución Aportación de socios a Alberto.
25.000€: Transferencia Caixa realizada el 26/05/26</t>
        </r>
      </text>
    </comment>
    <comment ref="CL28" authorId="0" shapeId="0" xr:uid="{B1AF2405-7849-42E1-B502-CB0B2FE4828E}">
      <text>
        <r>
          <rPr>
            <sz val="9"/>
            <color indexed="81"/>
            <rFont val="Tahoma"/>
            <family val="2"/>
          </rPr>
          <t xml:space="preserve">(2.327,24+907,95) pagamos por Rural a Claas financiera o BNP devolución principal  por financiación compra ensiladora y empacadora.
940,46€: Domic Rural 25/09/24.
2.440,32€: Domic Rural 26/09/24.
</t>
        </r>
      </text>
    </comment>
    <comment ref="CM28" authorId="0" shapeId="0" xr:uid="{0C3A6C2D-F4C6-458F-A64B-EC4E58B882FE}">
      <text>
        <r>
          <rPr>
            <sz val="9"/>
            <color indexed="81"/>
            <rFont val="Tahoma"/>
            <family val="2"/>
          </rPr>
          <t xml:space="preserve">(2.327,24+907,95) pagamos por Rural a Claas financiera o BNP devolución principal  por financiación compra ensiladora y empacadora.
Domic Rural 25/10/24.
940,46€: Domic Rural 25/10/24.
2.440,32€: Domic Rural 25/10/24.
</t>
        </r>
      </text>
    </comment>
    <comment ref="CY28" authorId="0" shapeId="0" xr:uid="{1AC21D21-AD13-4EA0-8E49-181BC4D97350}">
      <text>
        <r>
          <rPr>
            <sz val="9"/>
            <color indexed="81"/>
            <rFont val="Tahoma"/>
            <family val="2"/>
          </rPr>
          <t xml:space="preserve">(2.327,24+907,95) pagamos por Rural a Claas financiera o BNP devolución principal  por financiación compra ensiladora y empacadora.
940,46€: Domic Rural 25/09/25.
2.440,32€: Domic Rural 26/09/25.
</t>
        </r>
      </text>
    </comment>
    <comment ref="CZ28" authorId="0" shapeId="0" xr:uid="{718A3219-6CB0-47DE-B7FC-88377AF858D8}">
      <text>
        <r>
          <rPr>
            <sz val="9"/>
            <color indexed="81"/>
            <rFont val="Tahoma"/>
            <family val="2"/>
          </rPr>
          <t xml:space="preserve">(2.327,24+907,95) pagamos por Rural a Claas financiera o BNP devolución principal  por financiación compra ensiladora y empacadora.
Domic Rural 25/10/24.
940,46€: Domic Rural 27/10/25.
2.440,32€: Domic Rural 27/10/25.
</t>
        </r>
      </text>
    </comment>
    <comment ref="CN30" authorId="2" shapeId="0" xr:uid="{1FB50284-3EC1-4AAD-8ED9-6F661A02A367}">
      <text>
        <r>
          <rPr>
            <b/>
            <sz val="9"/>
            <color indexed="81"/>
            <rFont val="Tahoma"/>
            <family val="2"/>
          </rPr>
          <t xml:space="preserve">Devolución Aportación de Herederos.
</t>
        </r>
        <r>
          <rPr>
            <sz val="9"/>
            <color indexed="81"/>
            <rFont val="Tahoma"/>
            <family val="2"/>
          </rPr>
          <t xml:space="preserve">10.000€: Transferencia Caixa realizada el 27/11/24
</t>
        </r>
      </text>
    </comment>
    <comment ref="DB30" authorId="2" shapeId="0" xr:uid="{29BCD6B8-0957-416F-82A1-61908DE56F1A}">
      <text>
        <r>
          <rPr>
            <b/>
            <sz val="9"/>
            <color indexed="81"/>
            <rFont val="Tahoma"/>
            <family val="2"/>
          </rPr>
          <t xml:space="preserve">Devolución Aportación de Herederos.
</t>
        </r>
        <r>
          <rPr>
            <sz val="9"/>
            <color indexed="81"/>
            <rFont val="Tahoma"/>
            <family val="2"/>
          </rPr>
          <t xml:space="preserve">3.000€: Transferencia Caixa realizada el 29/12/25
</t>
        </r>
      </text>
    </comment>
    <comment ref="DF30" authorId="2" shapeId="0" xr:uid="{1EA3501B-D32C-4E12-8BF8-3A022C689D13}">
      <text>
        <r>
          <rPr>
            <b/>
            <sz val="9"/>
            <color indexed="81"/>
            <rFont val="Tahoma"/>
            <family val="2"/>
          </rPr>
          <t xml:space="preserve">Devolución Aportación de Herederos.
</t>
        </r>
        <r>
          <rPr>
            <sz val="9"/>
            <color indexed="81"/>
            <rFont val="Tahoma"/>
            <family val="2"/>
          </rPr>
          <t xml:space="preserve">1.000€: Transferencia Caixa realizada el 28/04/26
</t>
        </r>
      </text>
    </comment>
    <comment ref="B33" authorId="1" shapeId="0" xr:uid="{45920A65-D643-48A3-9BA5-9772101BA8F2}">
      <text>
        <r>
          <rPr>
            <sz val="9"/>
            <color indexed="81"/>
            <rFont val="Tahoma"/>
            <family val="2"/>
          </rPr>
          <t>Fra NC del 24/04/24:
14.717,43€ Por pago Fra Control Union Brasil
Proyecto Congo. 
Pndte pago desde la cta de AgroEnergia Africa</t>
        </r>
      </text>
    </comment>
    <comment ref="CA33" authorId="1" shapeId="0" xr:uid="{20BD5C84-B2DF-4ADE-B913-8D6BD160A1F7}">
      <text>
        <r>
          <rPr>
            <b/>
            <sz val="9"/>
            <color indexed="81"/>
            <rFont val="Tahoma"/>
            <family val="2"/>
          </rPr>
          <t xml:space="preserve">Fra Legal Sur del 24/03/23. </t>
        </r>
        <r>
          <rPr>
            <sz val="9"/>
            <color indexed="81"/>
            <rFont val="Tahoma"/>
            <family val="2"/>
          </rPr>
          <t xml:space="preserve">
363€: Servicios prestados a Agroenergia pndte devoluc. A MDZ
Pendienter realizar transferencia. 
22/11/23: Ok Alberto realizar transferencia
Transf. Caixa realizada el 23/11/23</t>
        </r>
      </text>
    </comment>
    <comment ref="CB33" authorId="1" shapeId="0" xr:uid="{38A7016E-6157-4D00-BA4F-5E66E9AAA1F4}">
      <text>
        <r>
          <rPr>
            <b/>
            <sz val="9"/>
            <color indexed="81"/>
            <rFont val="Tahoma"/>
            <family val="2"/>
          </rPr>
          <t xml:space="preserve">Fra Legal Sur del 26/05/23. 
</t>
        </r>
        <r>
          <rPr>
            <sz val="9"/>
            <color indexed="81"/>
            <rFont val="Tahoma"/>
            <family val="2"/>
          </rPr>
          <t>60,50€: Servicios prestados a Agroenergia pndte devoluc. A MDZ
60,50€: Ok Alberto, realizar transferencia a mediados de junio
Transf. realizada por el total 892,38€ el 15/12/23
---------------------------------------</t>
        </r>
      </text>
    </comment>
    <comment ref="CF33" authorId="1" shapeId="0" xr:uid="{07F97044-8D9F-4ECD-81DE-023271E23E55}">
      <text>
        <r>
          <rPr>
            <b/>
            <sz val="9"/>
            <color indexed="81"/>
            <rFont val="Tahoma"/>
            <family val="2"/>
          </rPr>
          <t>Fra Sinver a nombre de AgroEnergia de Africa del 01/04/24:
33,82€+4,3€ gastos devolución= 38,12€</t>
        </r>
        <r>
          <rPr>
            <sz val="9"/>
            <color indexed="81"/>
            <rFont val="Tahoma"/>
            <family val="2"/>
          </rPr>
          <t xml:space="preserve">
Transferencia Caixa Nixal realizada el 22/04/24 pndte devolución por parte de AgroEnergia</t>
        </r>
      </text>
    </comment>
    <comment ref="CG33" authorId="1" shapeId="0" xr:uid="{137FB85D-1BCA-4828-9D2D-25E594FABD63}">
      <text>
        <r>
          <rPr>
            <sz val="9"/>
            <color indexed="81"/>
            <rFont val="Tahoma"/>
            <family val="2"/>
          </rPr>
          <t>Agustin Cid (entrazos):
Retenciones:
Fra: WN-23-13 (24/02/23):
710,20€: Fra realizada a Agro Energy de Africa:
100,50€: IRPF
-----------------------------------------------
Agustin Cid (entrazos):
Retenciones:
Fra: WN-23-29 (28/06/23) recibida en mayo 2024:
222,60€: Servidor + dominio:
Fra realizada a Agro Energy de Africa:
31,50€: IRPF
44,10€: IVA
222,60€: Factura supuestamente ya pagada según Agustin, sólo reclama las retenciones.
--------------------------------
132€: Realizar transf. Caixa
Transf. Caixa realizada el 14/05/24</t>
        </r>
      </text>
    </comment>
    <comment ref="CJ33" authorId="1" shapeId="0" xr:uid="{BE5D2E7C-1995-4226-A206-DDDBE63411AC}">
      <text>
        <r>
          <rPr>
            <sz val="9"/>
            <color indexed="81"/>
            <rFont val="Tahoma"/>
            <family val="2"/>
          </rPr>
          <t xml:space="preserve">Agustin Cid (entrazos):
Retenciones:
Fra: WN-24-36 (19/07/24):
233,20€: Fra de Agro Energy de Africa realizada a NC:
233,20€: Domiciliado: 06/08/24
-----------------------------------------------
</t>
        </r>
      </text>
    </comment>
    <comment ref="DF40" authorId="1" shapeId="0" xr:uid="{2FF34ED2-869B-4CBF-BA9B-2A52C412116A}">
      <text>
        <r>
          <rPr>
            <b/>
            <sz val="9"/>
            <color indexed="81"/>
            <rFont val="Tahoma"/>
            <family val="2"/>
          </rPr>
          <t xml:space="preserve"> 7/4/2025 (con ampliación a 7/4/28)</t>
        </r>
      </text>
    </comment>
    <comment ref="FY40" authorId="1" shapeId="0" xr:uid="{7CF23301-657F-4A31-B267-4BB6DAF006DC}">
      <text>
        <r>
          <rPr>
            <b/>
            <sz val="9"/>
            <color indexed="81"/>
            <rFont val="Tahoma"/>
            <family val="2"/>
          </rPr>
          <t xml:space="preserve"> 7/4/2025 (con ampliación a 7/4/28)</t>
        </r>
      </text>
    </comment>
  </commentList>
</comments>
</file>

<file path=xl/sharedStrings.xml><?xml version="1.0" encoding="utf-8"?>
<sst xmlns="http://schemas.openxmlformats.org/spreadsheetml/2006/main" count="2400" uniqueCount="683">
  <si>
    <t>Sales</t>
  </si>
  <si>
    <t>Expenses</t>
  </si>
  <si>
    <t>Profit</t>
  </si>
  <si>
    <t>Dropet</t>
  </si>
  <si>
    <t>NixAl</t>
  </si>
  <si>
    <t>Trips</t>
  </si>
  <si>
    <t>Goal</t>
  </si>
  <si>
    <t>Client</t>
  </si>
  <si>
    <t>Price</t>
  </si>
  <si>
    <t>%</t>
  </si>
  <si>
    <t>Eur</t>
  </si>
  <si>
    <t>Conferences</t>
  </si>
  <si>
    <t>% vs. Goal</t>
  </si>
  <si>
    <t>Bioagra</t>
  </si>
  <si>
    <t>February RFA - US</t>
  </si>
  <si>
    <t>Eur vs. Goal</t>
  </si>
  <si>
    <t>Verbio</t>
  </si>
  <si>
    <t>May Dropet conference</t>
  </si>
  <si>
    <t>Potencial</t>
  </si>
  <si>
    <t>Alco</t>
  </si>
  <si>
    <t>May Sugar Week - US</t>
  </si>
  <si>
    <t>Vertex</t>
  </si>
  <si>
    <t>Oct Argus Bios - LDN</t>
  </si>
  <si>
    <t>Mabanaft</t>
  </si>
  <si>
    <t>Nov FO Licht - Brussel</t>
  </si>
  <si>
    <t>Vertex Ad Hoc</t>
  </si>
  <si>
    <t>Shell</t>
  </si>
  <si>
    <t>Others</t>
  </si>
  <si>
    <t>Neste</t>
  </si>
  <si>
    <t>Madrid x 6</t>
  </si>
  <si>
    <t>Enviral</t>
  </si>
  <si>
    <t>Europe summer</t>
  </si>
  <si>
    <t>Cramer</t>
  </si>
  <si>
    <t>Repsol</t>
  </si>
  <si>
    <t>Raizen</t>
  </si>
  <si>
    <t>Personnel</t>
  </si>
  <si>
    <t>P66</t>
  </si>
  <si>
    <t>Jesus López López</t>
  </si>
  <si>
    <t>Sucden</t>
  </si>
  <si>
    <t>Felipe Fontes</t>
  </si>
  <si>
    <t>Ruhr</t>
  </si>
  <si>
    <t>AdBio</t>
  </si>
  <si>
    <t>Services</t>
  </si>
  <si>
    <t>Sao Martinho</t>
  </si>
  <si>
    <t>Fiscal, HR, Accounting (Creativa)</t>
  </si>
  <si>
    <t>Kurana</t>
  </si>
  <si>
    <t>Legal</t>
  </si>
  <si>
    <t>Totsa</t>
  </si>
  <si>
    <t>ICE</t>
  </si>
  <si>
    <t>Roquette</t>
  </si>
  <si>
    <t>Opis</t>
  </si>
  <si>
    <t>Total</t>
  </si>
  <si>
    <t>Proposals</t>
  </si>
  <si>
    <t>Cepsa</t>
  </si>
  <si>
    <t>Snetor</t>
  </si>
  <si>
    <t>Envien</t>
  </si>
  <si>
    <t>Varo</t>
  </si>
  <si>
    <t>Matt Sneyder</t>
  </si>
  <si>
    <t>Crop</t>
  </si>
  <si>
    <t>Sales &amp; Proposals</t>
  </si>
  <si>
    <t>Prospects</t>
  </si>
  <si>
    <t>Marquis</t>
  </si>
  <si>
    <t>GreenPlains</t>
  </si>
  <si>
    <t>Biosev</t>
  </si>
  <si>
    <t>Agroetanol</t>
  </si>
  <si>
    <t>Mercuria</t>
  </si>
  <si>
    <t>Adecoagro</t>
  </si>
  <si>
    <t>SCA</t>
  </si>
  <si>
    <t>Sales &amp; Proposals &amp; Prospects</t>
  </si>
  <si>
    <t>Potential clients</t>
  </si>
  <si>
    <t>Brasil</t>
  </si>
  <si>
    <t>Cerradinho</t>
  </si>
  <si>
    <t>Van a construir una planta de corn en Brasil</t>
  </si>
  <si>
    <t>FS Bioenergia</t>
  </si>
  <si>
    <t>Tienen planta de corn de 60 MG y estan ampliando hasta 140 MG - Paulo Truco</t>
  </si>
  <si>
    <t>Bioagencia</t>
  </si>
  <si>
    <t>Coper</t>
  </si>
  <si>
    <t>Ipiranga</t>
  </si>
  <si>
    <t>Alesate - Fernando Hayoshi</t>
  </si>
  <si>
    <t>Alta Mogiana (Luis Antonio)</t>
  </si>
  <si>
    <t>Colombo?</t>
  </si>
  <si>
    <t>Unica</t>
  </si>
  <si>
    <t>Bunge</t>
  </si>
  <si>
    <t>Guaraní/Tereos</t>
  </si>
  <si>
    <t>Nobel do Brazil (Mauricio Sacramento)</t>
  </si>
  <si>
    <t>US</t>
  </si>
  <si>
    <t>CCI</t>
  </si>
  <si>
    <t>Mitsubishi</t>
  </si>
  <si>
    <t>Pdte call con Zach</t>
  </si>
  <si>
    <t>CHS</t>
  </si>
  <si>
    <t>POET</t>
  </si>
  <si>
    <t>Kappa</t>
  </si>
  <si>
    <t>The Andersons</t>
  </si>
  <si>
    <t>Valero</t>
  </si>
  <si>
    <t>Vopack</t>
  </si>
  <si>
    <t>Lukoil</t>
  </si>
  <si>
    <t>EU</t>
  </si>
  <si>
    <t>Gunvor</t>
  </si>
  <si>
    <t>Almudena con paciencia</t>
  </si>
  <si>
    <t>Vitol</t>
  </si>
  <si>
    <t>Vivergo</t>
  </si>
  <si>
    <t>Les ponemos en trial en Abril para cerrar en mayo</t>
  </si>
  <si>
    <t>Cristalco</t>
  </si>
  <si>
    <t>Almudena va a verles</t>
  </si>
  <si>
    <t>Tereos</t>
  </si>
  <si>
    <t>Almudena está enviando reports</t>
  </si>
  <si>
    <t>Motoroil grupo HELAS - Griegos</t>
  </si>
  <si>
    <t>Me tiene que pasar contacto Almudena</t>
  </si>
  <si>
    <t>Mitsui</t>
  </si>
  <si>
    <t>IP week Almudena</t>
  </si>
  <si>
    <t>ePure</t>
  </si>
  <si>
    <t>Ecofuel</t>
  </si>
  <si>
    <t>michaela.cappannelli@ecofuel.eni.com</t>
  </si>
  <si>
    <t xml:space="preserve">  Milan, trader, +390252056164)</t>
  </si>
  <si>
    <t>Exxon</t>
  </si>
  <si>
    <t>katja.beitzen@exxonmobil.com</t>
  </si>
  <si>
    <t>Begium, Refining and supply, +3127222066</t>
  </si>
  <si>
    <t>GALP</t>
  </si>
  <si>
    <t>Prio</t>
  </si>
  <si>
    <t>MOH</t>
  </si>
  <si>
    <t>Los griegos - Almudena</t>
  </si>
  <si>
    <t>2020/2021</t>
  </si>
  <si>
    <t>2021/2022</t>
  </si>
  <si>
    <t>2022/2023</t>
  </si>
  <si>
    <t>2023/2024</t>
  </si>
  <si>
    <t>Previsiones Caja</t>
  </si>
  <si>
    <t>Ene</t>
  </si>
  <si>
    <t>Feb</t>
  </si>
  <si>
    <t>Mar</t>
  </si>
  <si>
    <t>Abr</t>
  </si>
  <si>
    <t>May</t>
  </si>
  <si>
    <t>Jun</t>
  </si>
  <si>
    <t>Jul</t>
  </si>
  <si>
    <t>Ago</t>
  </si>
  <si>
    <t>Sep</t>
  </si>
  <si>
    <t>Oct</t>
  </si>
  <si>
    <t>Nov</t>
  </si>
  <si>
    <t>Dic</t>
  </si>
  <si>
    <t>Totales</t>
  </si>
  <si>
    <t>Cobros</t>
  </si>
  <si>
    <t>MKT INTELIGENCE</t>
  </si>
  <si>
    <t>Alcodis</t>
  </si>
  <si>
    <t>Cremer</t>
  </si>
  <si>
    <t>Lantmannen</t>
  </si>
  <si>
    <t xml:space="preserve">Greenergy </t>
  </si>
  <si>
    <t>Agrana</t>
  </si>
  <si>
    <t>Amerra</t>
  </si>
  <si>
    <t>Amerra -RAA</t>
  </si>
  <si>
    <t>Amerra -SBA</t>
  </si>
  <si>
    <t>Neot</t>
  </si>
  <si>
    <t>Panonnia</t>
  </si>
  <si>
    <t>FC Betterave (Cristalco)</t>
  </si>
  <si>
    <t>Redwood Group</t>
  </si>
  <si>
    <t>Nordzucker AG</t>
  </si>
  <si>
    <t>Castleton Commodities Int. LLC</t>
  </si>
  <si>
    <t>OCI FUELS B.V.</t>
  </si>
  <si>
    <t>Poet</t>
  </si>
  <si>
    <t>OMV</t>
  </si>
  <si>
    <t>Trafigura</t>
  </si>
  <si>
    <t>Ethanol Energy</t>
  </si>
  <si>
    <t>Pantaleon Commodities Corp.</t>
  </si>
  <si>
    <t>KWST Alambix</t>
  </si>
  <si>
    <t>EDF Trading</t>
  </si>
  <si>
    <t>AdHoc</t>
  </si>
  <si>
    <t>Dropet Intertrading</t>
  </si>
  <si>
    <t>Guidepoint</t>
  </si>
  <si>
    <t>DWS Alternatives Global Limited-PEIF</t>
  </si>
  <si>
    <t>Tomsa Destil, S.L.</t>
  </si>
  <si>
    <t>BROKERAGE</t>
  </si>
  <si>
    <t>Interalco</t>
  </si>
  <si>
    <t>Murex</t>
  </si>
  <si>
    <t>Seaboard</t>
  </si>
  <si>
    <t>ACA Bio</t>
  </si>
  <si>
    <t>CCI - Castleton Commodities Int LLC</t>
  </si>
  <si>
    <t xml:space="preserve">Ruhr Petrol </t>
  </si>
  <si>
    <t>Czanikow</t>
  </si>
  <si>
    <t>FUTUROS</t>
  </si>
  <si>
    <t>Paragon</t>
  </si>
  <si>
    <t>FC Stone</t>
  </si>
  <si>
    <t>VARIOS</t>
  </si>
  <si>
    <t>Total Cobros</t>
  </si>
  <si>
    <t>Pagos</t>
  </si>
  <si>
    <t>GENERALES</t>
  </si>
  <si>
    <t>Conferencia Dropet</t>
  </si>
  <si>
    <t>Compras inmobilizado</t>
  </si>
  <si>
    <t>Personnel - Felipe Fontes</t>
  </si>
  <si>
    <t>Personnel - Alfonso Carmona Bosch</t>
  </si>
  <si>
    <t>Personnel - Alberto Carmona</t>
  </si>
  <si>
    <t>Personnel - Rosa Jiménez</t>
  </si>
  <si>
    <t>Personnel - María Lacañina</t>
  </si>
  <si>
    <t xml:space="preserve">Soc. Security </t>
  </si>
  <si>
    <t>Fiscal, Accounting</t>
  </si>
  <si>
    <t>Human Resources</t>
  </si>
  <si>
    <t>ISCC</t>
  </si>
  <si>
    <t>OPIS + SCI + TRS + FO Licht + ISO</t>
  </si>
  <si>
    <t>IVA</t>
  </si>
  <si>
    <t>IRPF</t>
  </si>
  <si>
    <t>IS</t>
  </si>
  <si>
    <t>Otros impuestos</t>
  </si>
  <si>
    <t>Gastos Bancarios y comisiones</t>
  </si>
  <si>
    <t>Intereses prestamo ICO Caixa</t>
  </si>
  <si>
    <t>Intereses poliza credito Caixa</t>
  </si>
  <si>
    <t>Intereses hipotecario Rep. Argentina</t>
  </si>
  <si>
    <t>Mto. y gasolina Coche</t>
  </si>
  <si>
    <t>Publicidad y propaganda</t>
  </si>
  <si>
    <t>Bus</t>
  </si>
  <si>
    <t>Adaptext traducciones</t>
  </si>
  <si>
    <t>Mensajería</t>
  </si>
  <si>
    <t>Vodafone</t>
  </si>
  <si>
    <t>Seguros salud trabajadores</t>
  </si>
  <si>
    <t>Seguro Allianz Hogar</t>
  </si>
  <si>
    <t>Iberica Feeding Stuff</t>
  </si>
  <si>
    <t>Safinco- Comunidad y agua Rep. Argentina</t>
  </si>
  <si>
    <t>Electricidad- Total Energies</t>
  </si>
  <si>
    <t>Otros</t>
  </si>
  <si>
    <t>Alberto</t>
  </si>
  <si>
    <t>Total Pagos</t>
  </si>
  <si>
    <t>Saldo inicial</t>
  </si>
  <si>
    <t>Saldo final actividad</t>
  </si>
  <si>
    <t>Ratio generación caja</t>
  </si>
  <si>
    <t>Inversiones</t>
  </si>
  <si>
    <t>Inmueble República Argentina</t>
  </si>
  <si>
    <t xml:space="preserve">Coche Land Rover </t>
  </si>
  <si>
    <t>Saldo tesorería de inversiones</t>
  </si>
  <si>
    <t>Préstamos</t>
  </si>
  <si>
    <t>Hipotecario Rep. Argentina 11</t>
  </si>
  <si>
    <t>Movimiento mensual</t>
  </si>
  <si>
    <t>Saldo</t>
  </si>
  <si>
    <t>Trade Industrial</t>
  </si>
  <si>
    <t xml:space="preserve">Molino Don Zoilo </t>
  </si>
  <si>
    <t>Nixal Agri</t>
  </si>
  <si>
    <t>Conchita Carmona</t>
  </si>
  <si>
    <t>Herederos de Carmona Viñau</t>
  </si>
  <si>
    <t>Saldo final tesorería</t>
  </si>
  <si>
    <t>Saldo BBVA EUR</t>
  </si>
  <si>
    <t>Saldo Caixa EUR</t>
  </si>
  <si>
    <t>Saldo Caixa USD (valor aprox €)</t>
  </si>
  <si>
    <t>Saldo VFX USD (valor aprox €)</t>
  </si>
  <si>
    <t xml:space="preserve">Saldo VFX EUR </t>
  </si>
  <si>
    <t>Saldo Ebury USD (valor aprox €)</t>
  </si>
  <si>
    <t>Saldo Paragon USD (valor aprox €)</t>
  </si>
  <si>
    <t xml:space="preserve">Saldo Paragon EUR </t>
  </si>
  <si>
    <t>Saldo FC Stone</t>
  </si>
  <si>
    <t>Check</t>
  </si>
  <si>
    <t>Descuadre</t>
  </si>
  <si>
    <t>Límite Poliza Caixa</t>
  </si>
  <si>
    <t>Disponible</t>
  </si>
  <si>
    <t>numero en verde:</t>
  </si>
  <si>
    <t>previsión</t>
  </si>
  <si>
    <t>numero en negro:</t>
  </si>
  <si>
    <t>cantidad cerrada</t>
  </si>
  <si>
    <t>numero en rojo:</t>
  </si>
  <si>
    <t>cantidades en efectivo</t>
  </si>
  <si>
    <t>numero en negrita:</t>
  </si>
  <si>
    <t>Pagado o cobrado</t>
  </si>
  <si>
    <t>sombreado gris:</t>
  </si>
  <si>
    <t>cobrado o pagado y conciliado con banco y enviado a conta</t>
  </si>
  <si>
    <t>sombreado gris oscuro:</t>
  </si>
  <si>
    <t>igual que gris claro pero tiene moneda extranjera</t>
  </si>
  <si>
    <t>sombreado amarillo:</t>
  </si>
  <si>
    <t>incidencia con nota explicativa</t>
  </si>
  <si>
    <t>Totales Agosto 2021</t>
  </si>
  <si>
    <t>diferencia</t>
  </si>
  <si>
    <t>Eur/year</t>
  </si>
  <si>
    <t>EUR/USD</t>
  </si>
  <si>
    <t>Duration (yrs)</t>
  </si>
  <si>
    <t>Begins</t>
  </si>
  <si>
    <t>Ends</t>
  </si>
  <si>
    <t>Comments</t>
  </si>
  <si>
    <t>EUR</t>
  </si>
  <si>
    <t>CREMER</t>
  </si>
  <si>
    <t>Neste Oil</t>
  </si>
  <si>
    <t>Me comunicaron baja el 26/11/20 para probar FO Licht</t>
  </si>
  <si>
    <t>USD</t>
  </si>
  <si>
    <t>Amerra-RAA</t>
  </si>
  <si>
    <t>NEOT</t>
  </si>
  <si>
    <t>Cristal Union</t>
  </si>
  <si>
    <t>Greenergy</t>
  </si>
  <si>
    <t>Redwood</t>
  </si>
  <si>
    <t>Nordzucker</t>
  </si>
  <si>
    <t>OCI</t>
  </si>
  <si>
    <t>TOTSA</t>
  </si>
  <si>
    <t>Pantaleon</t>
  </si>
  <si>
    <t>KWST</t>
  </si>
  <si>
    <t>EDF</t>
  </si>
  <si>
    <t>Total Mkt. Intel</t>
  </si>
  <si>
    <t>Biourja</t>
  </si>
  <si>
    <t>Tienen que responder</t>
  </si>
  <si>
    <t>LDC</t>
  </si>
  <si>
    <t>Ciasa</t>
  </si>
  <si>
    <t>Volver a tocar</t>
  </si>
  <si>
    <t>Kolmar</t>
  </si>
  <si>
    <t>Mercuria (AValerio)</t>
  </si>
  <si>
    <t>Alesat</t>
  </si>
  <si>
    <t>Danny Wilson</t>
  </si>
  <si>
    <t>Nestle</t>
  </si>
  <si>
    <t>Cofco</t>
  </si>
  <si>
    <t>Atvos</t>
  </si>
  <si>
    <t>Bevap</t>
  </si>
  <si>
    <t>Gabriel, Leandro</t>
  </si>
  <si>
    <t>Lyondell</t>
  </si>
  <si>
    <t>Vale do Tijuco</t>
  </si>
  <si>
    <t>Marcelo Bosquetti</t>
  </si>
  <si>
    <t>GPRE</t>
  </si>
  <si>
    <t>Petrochina</t>
  </si>
  <si>
    <t>Rosneft</t>
  </si>
  <si>
    <t>Usina Diana</t>
  </si>
  <si>
    <t>Coruripe</t>
  </si>
  <si>
    <t>BP</t>
  </si>
  <si>
    <t>No</t>
  </si>
  <si>
    <t>Greenfield</t>
  </si>
  <si>
    <t>Grupo Lyra (Laryssa)</t>
  </si>
  <si>
    <t>MOL Group Hungary</t>
  </si>
  <si>
    <t>molgroup.info/en</t>
  </si>
  <si>
    <t>Grupo Moreno</t>
  </si>
  <si>
    <t>Colegas de Andrea Valerio</t>
  </si>
  <si>
    <t>Impacto</t>
  </si>
  <si>
    <t>Gran Bio</t>
  </si>
  <si>
    <t>Caña Brava</t>
  </si>
  <si>
    <t>Growth Energy</t>
  </si>
  <si>
    <t>Almagest</t>
  </si>
  <si>
    <t>Maple (Avalerio)</t>
  </si>
  <si>
    <t>Antimo</t>
  </si>
  <si>
    <t>Brendan Reich</t>
  </si>
  <si>
    <t>Hearttree</t>
  </si>
  <si>
    <t>Exxon Europe</t>
  </si>
  <si>
    <t>Helpe</t>
  </si>
  <si>
    <t>Fountoukakis George &lt;GFountoukakis@helpe.gr&gt;</t>
  </si>
  <si>
    <t>Prio/Disa</t>
  </si>
  <si>
    <t>AgriCensus (Fastmarkets) + European Gas Hub</t>
  </si>
  <si>
    <t>Vopak Chemicals Logistics B.V.</t>
  </si>
  <si>
    <t>2 invoices/year</t>
  </si>
  <si>
    <t>Valle Las Corchas</t>
  </si>
  <si>
    <t>Seguro Vida Caixa Alfonso- Préstamo Reforestación</t>
  </si>
  <si>
    <t xml:space="preserve">Seguro Allianz Vida Alberto- Leasing coche </t>
  </si>
  <si>
    <t xml:space="preserve">Alberto Bello </t>
  </si>
  <si>
    <t xml:space="preserve">Saldo </t>
  </si>
  <si>
    <t>Harvestone Commodities, LLC</t>
  </si>
  <si>
    <t>Harvestone</t>
  </si>
  <si>
    <t>2 invoices of 6000</t>
  </si>
  <si>
    <t>Totales Agosto 2022</t>
  </si>
  <si>
    <t>Gastos reforma Rep. Argentina 11</t>
  </si>
  <si>
    <t>Trips/commercial expenses</t>
  </si>
  <si>
    <t>Seguro Qualitas/Mutua Madrileña Auto</t>
  </si>
  <si>
    <t>2024/2025</t>
  </si>
  <si>
    <t>Gonzalo Jiménez</t>
  </si>
  <si>
    <t>Agro Energia de Africa</t>
  </si>
  <si>
    <t>Pierna Seca</t>
  </si>
  <si>
    <t>Compra de Vivienda</t>
  </si>
  <si>
    <t>Totales a cierre Febrero 2023</t>
  </si>
  <si>
    <t>Suministros informáticos y mantenimiento</t>
  </si>
  <si>
    <t xml:space="preserve">Seguro Allianz Vida Alfonso- Póliza crédito </t>
  </si>
  <si>
    <t>Circulante Caixa</t>
  </si>
  <si>
    <t>Circulante BBVA</t>
  </si>
  <si>
    <t>Cargill</t>
  </si>
  <si>
    <t>Enviado email</t>
  </si>
  <si>
    <t>Almagest EAD</t>
  </si>
  <si>
    <t>US Grains Council</t>
  </si>
  <si>
    <t>U.S. Grains Council</t>
  </si>
  <si>
    <t>Lyondell Chemie Nederland B.V.</t>
  </si>
  <si>
    <t>Fiscal, Accounting agency</t>
  </si>
  <si>
    <t>Laboral Agency</t>
  </si>
  <si>
    <t>Totales a cierre Agosto 2023</t>
  </si>
  <si>
    <t>ACTIVIDAD GANADERA</t>
  </si>
  <si>
    <t>Siembra y cosechado</t>
  </si>
  <si>
    <t>Seguro Vacas</t>
  </si>
  <si>
    <t xml:space="preserve">Alimento </t>
  </si>
  <si>
    <t>Matadero (Para venta de carne)</t>
  </si>
  <si>
    <t xml:space="preserve">Portes (Para venta de carne) </t>
  </si>
  <si>
    <t xml:space="preserve">Compra de carne </t>
  </si>
  <si>
    <t>Portes</t>
  </si>
  <si>
    <t>Gastos generales</t>
  </si>
  <si>
    <t>Otras tasas e impuestos (IBI, RM, IVTM, …)</t>
  </si>
  <si>
    <t>Mantenimiento finca y maquinaria</t>
  </si>
  <si>
    <t>Gasoil A o gasolina</t>
  </si>
  <si>
    <t>Servicios legales</t>
  </si>
  <si>
    <t>Gestoría laboral</t>
  </si>
  <si>
    <t>Servicios y comisiones financieras</t>
  </si>
  <si>
    <t>Prev. Riesgos laborales</t>
  </si>
  <si>
    <t>Servicios informáticos</t>
  </si>
  <si>
    <t>Butano</t>
  </si>
  <si>
    <t>Varios, correos, etc.</t>
  </si>
  <si>
    <t>Subvención Cortafuegos</t>
  </si>
  <si>
    <t>Subvención Reforestación</t>
  </si>
  <si>
    <t>Subvención Sequía</t>
  </si>
  <si>
    <t>Total pagos generales</t>
  </si>
  <si>
    <t>Intereses hipotecario finca principal</t>
  </si>
  <si>
    <t>Intereses leasing empacadora-ensiladora</t>
  </si>
  <si>
    <t>Saldo Inicial</t>
  </si>
  <si>
    <t>Total cobros</t>
  </si>
  <si>
    <t>Total pagos</t>
  </si>
  <si>
    <t>Ratio generación de caja</t>
  </si>
  <si>
    <t>Empacadora II y ensiladora</t>
  </si>
  <si>
    <t>Compra maquinaria y elementos varios</t>
  </si>
  <si>
    <t xml:space="preserve">Instalaciones: Vallas y caminos </t>
  </si>
  <si>
    <t>Licencias programas informaticos</t>
  </si>
  <si>
    <t>Reformas construcciones fincas</t>
  </si>
  <si>
    <t>Fincas María y Miguel</t>
  </si>
  <si>
    <t>Finca Hermanos Gutierrez</t>
  </si>
  <si>
    <t>Finca Lucía</t>
  </si>
  <si>
    <t>Finca Federico de Santa Ana</t>
  </si>
  <si>
    <t xml:space="preserve">Saldo tesoreria de inversiones </t>
  </si>
  <si>
    <t xml:space="preserve">Tractor y segadora </t>
  </si>
  <si>
    <t>Compra finca principal inicial</t>
  </si>
  <si>
    <t>Capital pendiente amortizar</t>
  </si>
  <si>
    <t xml:space="preserve">Prestamo Reforestación </t>
  </si>
  <si>
    <t>Acumulado tesoreria de Prestamos</t>
  </si>
  <si>
    <t>Créditos</t>
  </si>
  <si>
    <t>Préstamo de JP</t>
  </si>
  <si>
    <t>Saldo Santander</t>
  </si>
  <si>
    <t>Saldo Caja Rural</t>
  </si>
  <si>
    <t>Saldo Caixa (Cta:.. 3116)</t>
  </si>
  <si>
    <t xml:space="preserve">Intereses Ptmo Subvencion reforestación </t>
  </si>
  <si>
    <t>Saco Ptes.</t>
  </si>
  <si>
    <t xml:space="preserve">Trabajos/costes ptes </t>
  </si>
  <si>
    <t>Reforestación</t>
  </si>
  <si>
    <t>Corrales</t>
  </si>
  <si>
    <t>Sequia</t>
  </si>
  <si>
    <t>Saldo final tesorería MOLINO</t>
  </si>
  <si>
    <t>Circulante de NixAl</t>
  </si>
  <si>
    <t>Préstamo de Alberto</t>
  </si>
  <si>
    <t>Ventas</t>
  </si>
  <si>
    <t>Venta de Carne Vacuno</t>
  </si>
  <si>
    <t xml:space="preserve">Total ventas </t>
  </si>
  <si>
    <t>Propios porcino</t>
  </si>
  <si>
    <t>Gastos</t>
  </si>
  <si>
    <r>
      <t>Total Cobros</t>
    </r>
    <r>
      <rPr>
        <i/>
        <sz val="12"/>
        <color theme="1"/>
        <rFont val="Proxima Nova Rg"/>
        <family val="3"/>
      </rPr>
      <t xml:space="preserve"> (mes)</t>
    </r>
  </si>
  <si>
    <r>
      <t>Total Pagos</t>
    </r>
    <r>
      <rPr>
        <i/>
        <sz val="12"/>
        <color theme="1"/>
        <rFont val="Proxima Nova Rg"/>
        <family val="3"/>
      </rPr>
      <t xml:space="preserve"> (mes)</t>
    </r>
  </si>
  <si>
    <r>
      <t xml:space="preserve">Saldo final tesorería NIXAL </t>
    </r>
    <r>
      <rPr>
        <i/>
        <sz val="12"/>
        <color theme="1"/>
        <rFont val="Proxima Nova Rg"/>
        <family val="3"/>
      </rPr>
      <t>(mes)</t>
    </r>
  </si>
  <si>
    <t>Saldo inicial (acumulado)</t>
  </si>
  <si>
    <t>Cobros (mes)</t>
  </si>
  <si>
    <t>Pagos (mes)</t>
  </si>
  <si>
    <t>Intereses poliza credito BBVA</t>
  </si>
  <si>
    <r>
      <t>Saldo actividad</t>
    </r>
    <r>
      <rPr>
        <sz val="12"/>
        <color theme="1"/>
        <rFont val="Proxima Nova Rg"/>
        <family val="3"/>
      </rPr>
      <t xml:space="preserve"> </t>
    </r>
    <r>
      <rPr>
        <i/>
        <sz val="12"/>
        <color theme="1"/>
        <rFont val="Proxima Nova Rg"/>
        <family val="3"/>
      </rPr>
      <t>(mes)</t>
    </r>
  </si>
  <si>
    <r>
      <t>Saldo actividad</t>
    </r>
    <r>
      <rPr>
        <sz val="12"/>
        <color theme="1"/>
        <rFont val="Proxima Nova Rg"/>
        <family val="3"/>
      </rPr>
      <t xml:space="preserve"> </t>
    </r>
    <r>
      <rPr>
        <i/>
        <sz val="12"/>
        <color theme="1"/>
        <rFont val="Proxima Nova Rg"/>
        <family val="3"/>
      </rPr>
      <t>(acumulado)</t>
    </r>
  </si>
  <si>
    <r>
      <t xml:space="preserve">Saldo de inversiones </t>
    </r>
    <r>
      <rPr>
        <i/>
        <sz val="12"/>
        <color theme="1"/>
        <rFont val="Proxima Nova Rg"/>
        <family val="3"/>
      </rPr>
      <t>(acumulado)</t>
    </r>
  </si>
  <si>
    <r>
      <t xml:space="preserve">Saldo actividad </t>
    </r>
    <r>
      <rPr>
        <sz val="12"/>
        <color theme="1"/>
        <rFont val="Proxima Nova Rg"/>
        <family val="3"/>
      </rPr>
      <t>(acumulado)</t>
    </r>
  </si>
  <si>
    <t xml:space="preserve">Salario Mariano Lopez </t>
  </si>
  <si>
    <t>Subvención PAC extra ucrania y sequia</t>
  </si>
  <si>
    <t xml:space="preserve">Saldo Bankinter </t>
  </si>
  <si>
    <t>Préstamo Bankinter</t>
  </si>
  <si>
    <t xml:space="preserve">Circulante Bankinter </t>
  </si>
  <si>
    <t>Ico Caixa</t>
  </si>
  <si>
    <t>Prestamo ICO Santander</t>
  </si>
  <si>
    <t>Compra Las Corchas, María y Miguel</t>
  </si>
  <si>
    <t>Intereses prestamo Bankinter</t>
  </si>
  <si>
    <t>Poliza circulante Caixa</t>
  </si>
  <si>
    <t>Intereses prestamo ICO Santander</t>
  </si>
  <si>
    <t>Intereses prestamo Corchas-María-Miguel</t>
  </si>
  <si>
    <t>Intereses poliza circulante Caixa</t>
  </si>
  <si>
    <t>Intereses poliza circulante Bankinter</t>
  </si>
  <si>
    <r>
      <t xml:space="preserve">Total Gastos </t>
    </r>
    <r>
      <rPr>
        <i/>
        <sz val="12"/>
        <rFont val="Proxima Nova Rg"/>
        <family val="3"/>
      </rPr>
      <t>(mes)</t>
    </r>
  </si>
  <si>
    <t>Límite Poliza Bankinter</t>
  </si>
  <si>
    <t>Compra vivienda</t>
  </si>
  <si>
    <t xml:space="preserve">Teneros </t>
  </si>
  <si>
    <t xml:space="preserve">Seguro vida Caixa Alberto- Préstamo </t>
  </si>
  <si>
    <t>Seguro Responsabilidad Civil  Préstamo BBVA</t>
  </si>
  <si>
    <t>Compra Finca Hermanos Gutierrez</t>
  </si>
  <si>
    <t>Seguro vehículos y maquinaria veyrema</t>
  </si>
  <si>
    <t>Stocks ARA</t>
  </si>
  <si>
    <t>Per user</t>
  </si>
  <si>
    <t>2 invoices of 25000 +4,5k stocks ARA</t>
  </si>
  <si>
    <t>OPIS + SCI + TRS + FO Licht + ISO+ARA Storage</t>
  </si>
  <si>
    <t>AgriCensus (Fastmarkets) + European Gas Hub+Quantum</t>
  </si>
  <si>
    <t>Intereses prestamo BBVA Finca Hermanos Gutierrez</t>
  </si>
  <si>
    <t>Asaja</t>
  </si>
  <si>
    <t>2025/2026</t>
  </si>
  <si>
    <t>Medicamentos y vetrinario vacas y cerdos</t>
  </si>
  <si>
    <t>+4,2k stock ARA</t>
  </si>
  <si>
    <t>+4,2k stocks ARA</t>
  </si>
  <si>
    <t>Dejaron el desk de etanol</t>
  </si>
  <si>
    <t>Total Pagos (mes)</t>
  </si>
  <si>
    <t>Gastos explotación</t>
  </si>
  <si>
    <t>Gtos. Subvención Cortafuegos</t>
  </si>
  <si>
    <t>Gtos. Subvención PAC extra ucrania y sequia</t>
  </si>
  <si>
    <t>Gtos. Subvención Sequía</t>
  </si>
  <si>
    <t>Subvención reforestación y sequia</t>
  </si>
  <si>
    <t>Inversiones NC</t>
  </si>
  <si>
    <t>Inversiones Act. Ganadera</t>
  </si>
  <si>
    <t>Hipotecario RA11 - BBVA</t>
  </si>
  <si>
    <t>Hipotecario San Rafael - Santander</t>
  </si>
  <si>
    <t>Hipotecario María, Miguel, FedeSantana - Caixa</t>
  </si>
  <si>
    <t>Hipotecario Hnos. Gutierrez - BBVA</t>
  </si>
  <si>
    <t>Crédito Reforestación - Caixa</t>
  </si>
  <si>
    <t>Préstamo Bankinter - 75k Eur</t>
  </si>
  <si>
    <t>NixAl Agri</t>
  </si>
  <si>
    <t>Alberto Bello</t>
  </si>
  <si>
    <t>Gonzalo Jimenez</t>
  </si>
  <si>
    <t>Leasing empacadora - Caja Rural</t>
  </si>
  <si>
    <t>Leasing tractor y segadora - Caixa</t>
  </si>
  <si>
    <t>Tractor y segadora  - en cuadro financiación</t>
  </si>
  <si>
    <t>Empacadora II y ensiladora - en cuadro financiación</t>
  </si>
  <si>
    <t>Market Intel</t>
  </si>
  <si>
    <t>Caja Operaciones (mes)</t>
  </si>
  <si>
    <t>Caja Operaciones (acum.)</t>
  </si>
  <si>
    <t>Actividad Ganadera</t>
  </si>
  <si>
    <t>Caja Inversiones (mes)</t>
  </si>
  <si>
    <t>Caja Inversiones (acum.)</t>
  </si>
  <si>
    <t>Financiación</t>
  </si>
  <si>
    <t>Caja Financiación (mes)</t>
  </si>
  <si>
    <t>Caja Financiación (acum.)</t>
  </si>
  <si>
    <t>Circulante Caixa - 100k Eur</t>
  </si>
  <si>
    <t>Circulante BBVA - 75k Eur</t>
  </si>
  <si>
    <t>Circulante Bankinter - 100k Eur</t>
  </si>
  <si>
    <t>Total circulante</t>
  </si>
  <si>
    <t>Caja consolidada (mes)</t>
  </si>
  <si>
    <t>Caja consolidada (acumulada)</t>
  </si>
  <si>
    <t>Caja consolidada</t>
  </si>
  <si>
    <t>Saldo final</t>
  </si>
  <si>
    <t>Alberto Carmona</t>
  </si>
  <si>
    <t>Diferencia</t>
  </si>
  <si>
    <t>Intereses circulante Caixa - 100k</t>
  </si>
  <si>
    <t>Intereses circulante BBV - 75k</t>
  </si>
  <si>
    <t>Intereses circulante Bankinter - 100k</t>
  </si>
  <si>
    <t>Flujo financiaciones</t>
  </si>
  <si>
    <t>NixAl Commodities</t>
  </si>
  <si>
    <t>Act. Ganadera</t>
  </si>
  <si>
    <t>Caja opex, capex y serv. deuda</t>
  </si>
  <si>
    <t>Saldos bancarios</t>
  </si>
  <si>
    <t>Coste</t>
  </si>
  <si>
    <t>Fecha Vto.</t>
  </si>
  <si>
    <t>Montante</t>
  </si>
  <si>
    <t>Capital Pdte. a 22/03/24</t>
  </si>
  <si>
    <t>Prestamo ICO Caixa - 99k Eur</t>
  </si>
  <si>
    <t>Leasing Land Rover- BBVA (Inversiones)</t>
  </si>
  <si>
    <t>Compra vivienda Iceberg</t>
  </si>
  <si>
    <t>Seguro RC</t>
  </si>
  <si>
    <t>Vopak- Liquin B.V.</t>
  </si>
  <si>
    <t>Coche Land Rover BBVA</t>
  </si>
  <si>
    <t>Coche Land Rover GYSA-Cetelem</t>
  </si>
  <si>
    <t>Seguro Mapfre Auto</t>
  </si>
  <si>
    <t>Ipiranga Trading Limited</t>
  </si>
  <si>
    <t>Baja</t>
  </si>
  <si>
    <r>
      <t xml:space="preserve">Prestamo ICO Santander - </t>
    </r>
    <r>
      <rPr>
        <sz val="11"/>
        <color rgb="FFFF0000"/>
        <rFont val="Proxi"/>
      </rPr>
      <t>100k Eur</t>
    </r>
  </si>
  <si>
    <r>
      <t xml:space="preserve">Total Gastos </t>
    </r>
    <r>
      <rPr>
        <i/>
        <sz val="12"/>
        <rFont val="Proxi"/>
      </rPr>
      <t>(mes)</t>
    </r>
  </si>
  <si>
    <r>
      <t>Saldo actividad</t>
    </r>
    <r>
      <rPr>
        <sz val="12"/>
        <color theme="1"/>
        <rFont val="Proxi"/>
      </rPr>
      <t xml:space="preserve"> </t>
    </r>
    <r>
      <rPr>
        <i/>
        <sz val="12"/>
        <color theme="1"/>
        <rFont val="Proxi"/>
      </rPr>
      <t>(mes)</t>
    </r>
  </si>
  <si>
    <r>
      <t>Saldo actividad</t>
    </r>
    <r>
      <rPr>
        <sz val="12"/>
        <color theme="1"/>
        <rFont val="Proxi"/>
      </rPr>
      <t xml:space="preserve"> </t>
    </r>
    <r>
      <rPr>
        <i/>
        <sz val="12"/>
        <color theme="1"/>
        <rFont val="Proxi"/>
      </rPr>
      <t>(acumulado)</t>
    </r>
  </si>
  <si>
    <r>
      <t xml:space="preserve">Total inversiones NC </t>
    </r>
    <r>
      <rPr>
        <i/>
        <sz val="12"/>
        <color theme="1"/>
        <rFont val="Proxi"/>
      </rPr>
      <t>(mes)</t>
    </r>
  </si>
  <si>
    <r>
      <t xml:space="preserve">Total inversiones Act. Ganadera </t>
    </r>
    <r>
      <rPr>
        <i/>
        <sz val="12"/>
        <color theme="1"/>
        <rFont val="Proxi"/>
      </rPr>
      <t>(mes)</t>
    </r>
  </si>
  <si>
    <t>2026/2027</t>
  </si>
  <si>
    <t>Gtos. Subvención Reforestación II</t>
  </si>
  <si>
    <t>Federico Santana</t>
  </si>
  <si>
    <t>Deuda pendiente</t>
  </si>
  <si>
    <t>Trade</t>
  </si>
  <si>
    <t>Gtos. Subvención Reforestación I</t>
  </si>
  <si>
    <t>Subvención Reforestación II</t>
  </si>
  <si>
    <t>Alvinesa Fra. 20241710 (31/12/24)</t>
  </si>
  <si>
    <t>Alvinesa Fra. 20241716 (31/12/24)</t>
  </si>
  <si>
    <t>Total Fra 2025/TOE/001 (10/01/25)</t>
  </si>
  <si>
    <t>Total Fra 2025/TOE/004 (22/01/25)</t>
  </si>
  <si>
    <t>Alvinesa Fra. 20250002 (03/01/25)</t>
  </si>
  <si>
    <t>Alvinesa Fra. 20250003 (03/01/25)</t>
  </si>
  <si>
    <t>Alvinesa Fra. 20250008 (08/01/25)</t>
  </si>
  <si>
    <t>Alvinesa Fra. 20250013 (09/01/25)</t>
  </si>
  <si>
    <t>Alvinesa Fra. 20250019 (10/01/25)</t>
  </si>
  <si>
    <t>Alvinesa Fra. 20250024 (13/01/25)</t>
  </si>
  <si>
    <t>Total Fra 2025/TOE/005 (23/01/25)</t>
  </si>
  <si>
    <t>Total Fra 2025/TOE/006 (24/01/25)</t>
  </si>
  <si>
    <t>Total Fra 2025/TOE/007 (30/01/25)</t>
  </si>
  <si>
    <t>Total Fra 2025/TOE/008 (30/01/25)</t>
  </si>
  <si>
    <t>Alvinesa Fra. 20250028 (14/01/25)</t>
  </si>
  <si>
    <t>Alvinesa Fra. 20250032 (15/01/25)</t>
  </si>
  <si>
    <t>Alvinesa Fra. 20250047 (17/01/25)</t>
  </si>
  <si>
    <t>Alvinesa Fra. 20250052 (20/01/25)</t>
  </si>
  <si>
    <t>Alvinesa Fra. 20250063 (21/01/25)</t>
  </si>
  <si>
    <t>Alvinesa Fra. 20250069 (22/01/25)</t>
  </si>
  <si>
    <t>Baja 4/2/25</t>
  </si>
  <si>
    <t>Tricon</t>
  </si>
  <si>
    <t>2025/ALV/003(12/02) y 2025/ALV/004(20/02)</t>
  </si>
  <si>
    <t>Kolmar Americas, Inc.</t>
  </si>
  <si>
    <t>Comisión Francisco Assis</t>
  </si>
  <si>
    <t>Transporte operación 2</t>
  </si>
  <si>
    <t>Gapuma</t>
  </si>
  <si>
    <t>Total Fra 2025/TOE/009 (10/03/25)</t>
  </si>
  <si>
    <t>Vodafone-Orange</t>
  </si>
  <si>
    <t>Alvinesa Fra.20250224 (25/02/25)</t>
  </si>
  <si>
    <t>Alvinesa Fra.20250234 (26/02/25)</t>
  </si>
  <si>
    <t>Alvinesa Fra.20250243 (27/02/25)</t>
  </si>
  <si>
    <t>Alvinesa Fra.20250256 (28/02/25)</t>
  </si>
  <si>
    <t>ok</t>
  </si>
  <si>
    <t>Total Fra 2025/TOE/010 (13/03/25)</t>
  </si>
  <si>
    <t>Total Fra 2025/TOE/011 (19/03/25)</t>
  </si>
  <si>
    <t>Gapuma Switzerland AG</t>
  </si>
  <si>
    <t>Targray</t>
  </si>
  <si>
    <t>Total Fra 2025/TOE/012 (21/03/25)</t>
  </si>
  <si>
    <t>Total Fra 2025/TOE/013 (21/03/25)</t>
  </si>
  <si>
    <t>Alvinesa Fra.20250264 (04/03/25)</t>
  </si>
  <si>
    <t>Alvinesa Fra.20250269 (05/03/25)</t>
  </si>
  <si>
    <t>Alvinesa Fra.20250274 (06/03/25)</t>
  </si>
  <si>
    <t>Alvinesa Fra.20250280 (07/03/25)</t>
  </si>
  <si>
    <t>Alvinesa Fra.20250283 (10/03/25)</t>
  </si>
  <si>
    <t>Total Fra 2025/TOE/014 (28/03/25)</t>
  </si>
  <si>
    <t>Total Fra 2025/TOE/015 (28/03/25)</t>
  </si>
  <si>
    <t>Alvinesa Fra.20250289 (11/03/25)</t>
  </si>
  <si>
    <t>Alvinesa Fra.20250294 (12/03/25)</t>
  </si>
  <si>
    <t>Alvinesa Fra.20250308 (14/03/25)</t>
  </si>
  <si>
    <t>Seguro Responsabilidad Civil  Préstamo y crédito BBVA</t>
  </si>
  <si>
    <t>Total Fra 2025/TOE/016 (31/03/25)</t>
  </si>
  <si>
    <t>Total Fra 2025/TOE/017 (31/03/25)</t>
  </si>
  <si>
    <t>Registro Angus</t>
  </si>
  <si>
    <t>Alvinesa Fra.20250312 (17/03/25)</t>
  </si>
  <si>
    <t>Alvinesa Fra.20250324 (18/03/25)</t>
  </si>
  <si>
    <t>Alvinesa Fra.Abono AB2025024 (26/03/25)</t>
  </si>
  <si>
    <t>Alvinesa Fra.20250329 (19/03/25)</t>
  </si>
  <si>
    <t>Alvinesa Fra.20250333 (20/03/25)</t>
  </si>
  <si>
    <t>Alvinesa Fra.20250338 (21/03/25)</t>
  </si>
  <si>
    <t>Pañalon Fras</t>
  </si>
  <si>
    <t>Facturar en abril</t>
  </si>
  <si>
    <t>SAMAT Fras</t>
  </si>
  <si>
    <t>GEODIS</t>
  </si>
  <si>
    <t>Financiación IS Bankinter</t>
  </si>
  <si>
    <t>Alvinesa Fra.Abono AB2025030 (09/04/25)</t>
  </si>
  <si>
    <t>2025/SAM/001 (24/04/25)</t>
  </si>
  <si>
    <t>Santos Fras</t>
  </si>
  <si>
    <t>2025/ALV/007(29/04/25)</t>
  </si>
  <si>
    <t>GranBio</t>
  </si>
  <si>
    <t>Préstamo Caixa- 150K Eur</t>
  </si>
  <si>
    <t>ADNOC</t>
  </si>
  <si>
    <t>Liquin</t>
  </si>
  <si>
    <t>Lipsa- BP Energía España</t>
  </si>
  <si>
    <t>three year agreement</t>
  </si>
  <si>
    <t>Crédito Reforestación ll - Caja Rural</t>
  </si>
  <si>
    <t>Crédito Reforestación ll- Caixa</t>
  </si>
  <si>
    <t xml:space="preserve">Seguro vida Caixa Alberto- Préstamo 150.000€ (Cta 1117) </t>
  </si>
  <si>
    <t xml:space="preserve">Seguro vida Caixa Alberto- Préstamo 150.000€ (Cta 5871) </t>
  </si>
  <si>
    <t>Alvinesa Fra.20250794 (07/07/25), Fra 20251028 (11/08/25)y abono</t>
  </si>
  <si>
    <t>Alvinesa Fra.20250803 (08/07/25), Fra 20251029 (11/08/25)y abono</t>
  </si>
  <si>
    <t>Alvinesa Fra.20250815 (09/07/25), Fra 20251030 (11/08/25)y abono</t>
  </si>
  <si>
    <t>Alvinesa Fra.20250823 (10/07/25), Fra 20251031 (11/08/25)y abono</t>
  </si>
  <si>
    <t>Alvinesa Fra.20250830 (11/07/25), Fra 20251032 (11/08/25)y abono</t>
  </si>
  <si>
    <t>Alvinesa Fra.20250837 (14/07/25), Fra 20251033 (11/08/25)y abono</t>
  </si>
  <si>
    <t>Alvinesa Fra.20250849 (15/07/25), Fra 20251034 (11/08/25)y abono</t>
  </si>
  <si>
    <t>Formación y asesoría Regen Academy</t>
  </si>
  <si>
    <t>Préstamo Caixa- 150K Eur para Paragon</t>
  </si>
  <si>
    <t>Inpasa</t>
  </si>
  <si>
    <t>8+10+12</t>
  </si>
  <si>
    <t>ADNOC Global Trading Europe S.A</t>
  </si>
  <si>
    <t>Alvinesa Fra.20251367 (07/10/25)</t>
  </si>
  <si>
    <t>Alvinesa Fra.20251376 (08/10/25)</t>
  </si>
  <si>
    <t>Alvinesa Fra.20251387 (09/10/25)</t>
  </si>
  <si>
    <t>Alvinesa Fra.20251391 (10/10/25)</t>
  </si>
  <si>
    <t>Alvinesa Fra.20251397 (13/10/25)</t>
  </si>
  <si>
    <t>Alvinesa Fra.20251405 (14/10/25)</t>
  </si>
  <si>
    <t>Alvinesa Fra.20251414 (15/10/25)</t>
  </si>
  <si>
    <t>Alvinesa Fra.20251421 (16/10/25)</t>
  </si>
  <si>
    <t>Alvinesa Fra.20251425 (17/10/25)</t>
  </si>
  <si>
    <t>Alvinesa Fra.20251434 (20/10/25)</t>
  </si>
  <si>
    <t>Alvinesa Fra.20251438 (21/10/25)</t>
  </si>
  <si>
    <t>Alvinesa Fra.20251447 (22/10/25)</t>
  </si>
  <si>
    <t>Alvinesa Fra.20251454 (23/10/25)</t>
  </si>
  <si>
    <t xml:space="preserve">Seguro vida Caixa Alberto- Préstamo 150.000€ 03/10/25 (Cta 1117) </t>
  </si>
  <si>
    <t xml:space="preserve">Gestión Forestal Sostenible </t>
  </si>
  <si>
    <t>Verbio Internacional</t>
  </si>
  <si>
    <t>Alvinesa Fra.20251542 (12/11/25)</t>
  </si>
  <si>
    <t>Alvinesa Fra.20251546 (13/11/25)</t>
  </si>
  <si>
    <t>Alvinesa Fra.20251562 (17/11/25)</t>
  </si>
  <si>
    <t>Alvinesa Fra.20251566 (18/11/25)</t>
  </si>
  <si>
    <t>Alvinesa Fra.20251574 (19/11/25)</t>
  </si>
  <si>
    <t>Alvinesa Fra.20251585 (20/11/25)</t>
  </si>
  <si>
    <t>Alvinesa Fra.20251533 (11/11/25)</t>
  </si>
  <si>
    <t>3 year gentelmen agreement</t>
  </si>
  <si>
    <t>Vivergo- British Sugar</t>
  </si>
  <si>
    <t>Seguro de Convenio Caixa</t>
  </si>
  <si>
    <t>AmSpec Iberia-Alvinesa (problema con cisterna)</t>
  </si>
  <si>
    <t>2027/2028</t>
  </si>
  <si>
    <t>Segur Caixa Salud</t>
  </si>
  <si>
    <t>Intereses préstamo Caixa - 150k para Paragon</t>
  </si>
  <si>
    <t xml:space="preserve">Intereses préstamo Caixa - 150k </t>
  </si>
  <si>
    <t>Compra de vacas</t>
  </si>
  <si>
    <t>Alvinesa- Fras</t>
  </si>
  <si>
    <t>Baja ene-26</t>
  </si>
  <si>
    <t>Baja feb 26</t>
  </si>
  <si>
    <t>Baja, salen de etnaol</t>
  </si>
  <si>
    <t>Préstamo Bankinter Vivienda Iceberg- 151.900 Eur</t>
  </si>
  <si>
    <t>Fee medio</t>
  </si>
  <si>
    <t>Capital pndte a 31/08/26</t>
  </si>
  <si>
    <t xml:space="preserve">Bunge </t>
  </si>
  <si>
    <t>Safinco- Comunidad edificio Iceberg</t>
  </si>
  <si>
    <t xml:space="preserve">Intereses préstamo Bankinter - 151,9k </t>
  </si>
  <si>
    <t>Saldo Marex</t>
  </si>
  <si>
    <t>Marex</t>
  </si>
  <si>
    <t>Alvinesa Fra FV20260073</t>
  </si>
  <si>
    <t>Electricidad- Gana Energía 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</si>
</sst>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0\ &quot;€&quot;;[Red]\-#,##0\ &quot;€&quot;"/>
    <numFmt numFmtId="8" formatCode="#,##0.00\ &quot;€&quot;;[Red]\-#,##0.00\ &quot;€&quot;"/>
    <numFmt numFmtId="43" formatCode="_-* #,##0.00_-;\-* #,##0.00_-;_-* &quot;-&quot;??_-;_-@_-"/>
    <numFmt numFmtId="164" formatCode="_-* #,##0.00\ _€_-;\-* #,##0.00\ _€_-;_-* &quot;-&quot;??\ _€_-;_-@_-"/>
    <numFmt numFmtId="165" formatCode="_-* #,##0\ _€_-;\-* #,##0\ _€_-;_-* &quot;-&quot;??\ _€_-;_-@_-"/>
    <numFmt numFmtId="166" formatCode="0.0"/>
    <numFmt numFmtId="167" formatCode="0.00000"/>
    <numFmt numFmtId="168" formatCode="#,##0\ &quot;€&quot;"/>
  </numFmts>
  <fonts count="85">
    <font>
      <sz val="11"/>
      <color theme="1"/>
      <name val="Calibri"/>
      <family val="2"/>
      <scheme val="minor"/>
    </font>
    <font>
      <sz val="11"/>
      <color theme="1"/>
      <name val="Calibri"/>
      <family val="2"/>
      <scheme val="minor"/>
    </font>
    <font>
      <sz val="11"/>
      <color theme="1"/>
      <name val="Proxima Nova Rg"/>
      <family val="3"/>
    </font>
    <font>
      <b/>
      <sz val="11"/>
      <color theme="1"/>
      <name val="Proxima Nova Rg"/>
      <family val="3"/>
    </font>
    <font>
      <i/>
      <sz val="11"/>
      <color theme="1"/>
      <name val="Proxima Nova Rg"/>
      <family val="3"/>
    </font>
    <font>
      <i/>
      <u/>
      <sz val="11"/>
      <color theme="1"/>
      <name val="Proxima Nova Rg"/>
      <family val="3"/>
    </font>
    <font>
      <u/>
      <sz val="11"/>
      <color theme="1"/>
      <name val="Proxima Nova Rg"/>
      <family val="3"/>
    </font>
    <font>
      <sz val="9"/>
      <color indexed="81"/>
      <name val="Tahoma"/>
      <family val="2"/>
    </font>
    <font>
      <b/>
      <sz val="9"/>
      <color indexed="81"/>
      <name val="Tahoma"/>
      <family val="2"/>
    </font>
    <font>
      <b/>
      <i/>
      <sz val="11"/>
      <color theme="1"/>
      <name val="Proxima Nova Rg"/>
      <family val="3"/>
    </font>
    <font>
      <i/>
      <sz val="11"/>
      <color rgb="FFFF0000"/>
      <name val="Proxima Nova Rg"/>
      <family val="3"/>
    </font>
    <font>
      <sz val="11"/>
      <color rgb="FFFF0000"/>
      <name val="Proxima Nova Rg"/>
      <family val="3"/>
    </font>
    <font>
      <b/>
      <u/>
      <sz val="11"/>
      <color theme="1"/>
      <name val="Proxima Nova Rg"/>
      <family val="3"/>
    </font>
    <font>
      <u/>
      <sz val="11"/>
      <color theme="10"/>
      <name val="Calibri"/>
      <family val="2"/>
      <scheme val="minor"/>
    </font>
    <font>
      <sz val="11"/>
      <name val="Proxima Nova Rg"/>
      <family val="3"/>
    </font>
    <font>
      <b/>
      <sz val="11"/>
      <name val="Proxima Nova Rg"/>
      <family val="3"/>
    </font>
    <font>
      <sz val="12"/>
      <color theme="1"/>
      <name val="Proxima Nova Rg"/>
      <family val="3"/>
    </font>
    <font>
      <sz val="12"/>
      <name val="Proxima Nova Rg"/>
      <family val="3"/>
    </font>
    <font>
      <sz val="12"/>
      <color rgb="FFFF0000"/>
      <name val="Proxima Nova Rg"/>
      <family val="3"/>
    </font>
    <font>
      <b/>
      <u/>
      <sz val="12"/>
      <color theme="1"/>
      <name val="Proxima Nova Rg"/>
      <family val="3"/>
    </font>
    <font>
      <u/>
      <sz val="12"/>
      <color theme="1"/>
      <name val="Proxima Nova Rg"/>
      <family val="3"/>
    </font>
    <font>
      <i/>
      <sz val="10"/>
      <color rgb="FFFF0000"/>
      <name val="Proxima Nova Rg"/>
      <family val="3"/>
    </font>
    <font>
      <b/>
      <sz val="12"/>
      <color theme="1"/>
      <name val="Proxima Nova Rg"/>
      <family val="3"/>
    </font>
    <font>
      <b/>
      <sz val="12"/>
      <name val="Proxima Nova Rg"/>
      <family val="3"/>
    </font>
    <font>
      <sz val="8"/>
      <color indexed="81"/>
      <name val="Tahoma"/>
      <family val="2"/>
    </font>
    <font>
      <b/>
      <sz val="8"/>
      <color indexed="81"/>
      <name val="Tahoma"/>
      <family val="2"/>
    </font>
    <font>
      <b/>
      <sz val="11"/>
      <color rgb="FFFF0000"/>
      <name val="Proxima Nova Rg"/>
      <family val="3"/>
    </font>
    <font>
      <b/>
      <sz val="12"/>
      <color rgb="FFFF0000"/>
      <name val="Proxima Nova Rg"/>
      <family val="3"/>
    </font>
    <font>
      <sz val="11"/>
      <color theme="9"/>
      <name val="Proxima Nova Rg"/>
      <family val="3"/>
    </font>
    <font>
      <sz val="11"/>
      <color theme="9" tint="-0.249977111117893"/>
      <name val="Proxima Nova Rg"/>
      <family val="3"/>
    </font>
    <font>
      <i/>
      <sz val="11"/>
      <name val="Proxima Nova Rg"/>
      <family val="3"/>
    </font>
    <font>
      <b/>
      <i/>
      <sz val="12"/>
      <color theme="1"/>
      <name val="Proxima Nova Rg"/>
      <family val="3"/>
    </font>
    <font>
      <b/>
      <i/>
      <sz val="12"/>
      <name val="Proxima Nova Rg"/>
      <family val="3"/>
    </font>
    <font>
      <b/>
      <sz val="14"/>
      <color theme="1"/>
      <name val="Proxima Nova Rg"/>
      <family val="3"/>
    </font>
    <font>
      <sz val="12"/>
      <color theme="9"/>
      <name val="Proxima Nova Rg"/>
      <family val="3"/>
    </font>
    <font>
      <u/>
      <sz val="11"/>
      <name val="Calibri"/>
      <family val="2"/>
      <scheme val="minor"/>
    </font>
    <font>
      <b/>
      <sz val="11"/>
      <color rgb="FF000000"/>
      <name val="Proxima Nova Rg"/>
      <family val="3"/>
    </font>
    <font>
      <sz val="11"/>
      <color rgb="FF92D050"/>
      <name val="Proxima Nova Rg"/>
      <family val="3"/>
    </font>
    <font>
      <b/>
      <u/>
      <sz val="9"/>
      <color indexed="81"/>
      <name val="Tahoma"/>
      <family val="2"/>
    </font>
    <font>
      <sz val="11"/>
      <color theme="9"/>
      <name val="Calibri"/>
      <family val="2"/>
      <scheme val="minor"/>
    </font>
    <font>
      <sz val="11"/>
      <color theme="5" tint="-0.249977111117893"/>
      <name val="Proxima Nova Rg"/>
      <family val="3"/>
    </font>
    <font>
      <b/>
      <i/>
      <sz val="12"/>
      <color rgb="FFFF0000"/>
      <name val="Proxima Nova Rg"/>
      <family val="3"/>
    </font>
    <font>
      <b/>
      <i/>
      <sz val="12"/>
      <color theme="9"/>
      <name val="Proxima Nova Rg"/>
      <family val="3"/>
    </font>
    <font>
      <b/>
      <sz val="14"/>
      <color rgb="FFFF0000"/>
      <name val="Proxima Nova Rg"/>
      <family val="3"/>
    </font>
    <font>
      <u/>
      <sz val="9"/>
      <color indexed="81"/>
      <name val="Tahoma"/>
      <family val="2"/>
    </font>
    <font>
      <i/>
      <sz val="9"/>
      <color indexed="81"/>
      <name val="Tahoma"/>
      <family val="2"/>
    </font>
    <font>
      <i/>
      <sz val="12"/>
      <color theme="1"/>
      <name val="Proxima Nova Rg"/>
      <family val="3"/>
    </font>
    <font>
      <i/>
      <sz val="12"/>
      <name val="Proxima Nova Rg"/>
      <family val="3"/>
    </font>
    <font>
      <sz val="10"/>
      <color theme="9"/>
      <name val="Century Gothic"/>
      <family val="2"/>
    </font>
    <font>
      <sz val="10"/>
      <name val="Century Gothic"/>
      <family val="2"/>
    </font>
    <font>
      <b/>
      <sz val="11"/>
      <name val="Century Gothic"/>
      <family val="2"/>
    </font>
    <font>
      <b/>
      <sz val="11"/>
      <color theme="9"/>
      <name val="Proxima Nova Rg"/>
      <family val="3"/>
    </font>
    <font>
      <sz val="9"/>
      <color theme="1"/>
      <name val="Tahoma"/>
      <family val="2"/>
    </font>
    <font>
      <sz val="11"/>
      <color theme="1"/>
      <name val="Proxi"/>
    </font>
    <font>
      <b/>
      <sz val="11"/>
      <color theme="1"/>
      <name val="Proxi"/>
    </font>
    <font>
      <b/>
      <sz val="11"/>
      <name val="Proxi"/>
    </font>
    <font>
      <b/>
      <u/>
      <sz val="11"/>
      <color theme="1"/>
      <name val="Proxi"/>
    </font>
    <font>
      <sz val="11"/>
      <name val="Proxi"/>
    </font>
    <font>
      <sz val="11"/>
      <color theme="9"/>
      <name val="Proxi"/>
    </font>
    <font>
      <b/>
      <sz val="11"/>
      <color rgb="FF000000"/>
      <name val="Proxi"/>
    </font>
    <font>
      <sz val="11"/>
      <color rgb="FF92D050"/>
      <name val="Proxi"/>
    </font>
    <font>
      <b/>
      <sz val="11"/>
      <color rgb="FFFF0000"/>
      <name val="Proxi"/>
    </font>
    <font>
      <sz val="11"/>
      <color rgb="FFFF0000"/>
      <name val="Proxi"/>
    </font>
    <font>
      <i/>
      <sz val="11"/>
      <color rgb="FFFF0000"/>
      <name val="Proxi"/>
    </font>
    <font>
      <sz val="11"/>
      <color theme="5" tint="-0.249977111117893"/>
      <name val="Proxi"/>
    </font>
    <font>
      <sz val="11"/>
      <color theme="9" tint="-0.249977111117893"/>
      <name val="Proxi"/>
    </font>
    <font>
      <b/>
      <i/>
      <sz val="11"/>
      <color theme="1"/>
      <name val="Proxi"/>
    </font>
    <font>
      <b/>
      <sz val="12"/>
      <color theme="1"/>
      <name val="Proxi"/>
    </font>
    <font>
      <b/>
      <sz val="12"/>
      <name val="Proxi"/>
    </font>
    <font>
      <i/>
      <sz val="12"/>
      <name val="Proxi"/>
    </font>
    <font>
      <sz val="12"/>
      <color theme="1"/>
      <name val="Proxi"/>
    </font>
    <font>
      <i/>
      <sz val="12"/>
      <color theme="1"/>
      <name val="Proxi"/>
    </font>
    <font>
      <i/>
      <sz val="10"/>
      <color rgb="FFFF0000"/>
      <name val="Proxi"/>
    </font>
    <font>
      <sz val="12"/>
      <color theme="9"/>
      <name val="Proxi"/>
    </font>
    <font>
      <sz val="12"/>
      <name val="Proxi"/>
    </font>
    <font>
      <i/>
      <sz val="11"/>
      <color theme="1"/>
      <name val="Proxi"/>
    </font>
    <font>
      <sz val="11"/>
      <color theme="5"/>
      <name val="Proxi"/>
    </font>
    <font>
      <b/>
      <sz val="11"/>
      <name val="Aptos Narrow"/>
      <family val="2"/>
    </font>
    <font>
      <sz val="11"/>
      <name val="Aptos Narrow"/>
      <family val="2"/>
    </font>
    <font>
      <b/>
      <i/>
      <sz val="9"/>
      <color indexed="81"/>
      <name val="Tahoma"/>
      <family val="2"/>
    </font>
    <font>
      <b/>
      <sz val="10"/>
      <color indexed="81"/>
      <name val="Century Gothic"/>
      <family val="2"/>
    </font>
    <font>
      <sz val="10"/>
      <color indexed="81"/>
      <name val="Century Gothic"/>
      <family val="2"/>
    </font>
    <font>
      <sz val="11"/>
      <color theme="9"/>
      <name val="Aptos Narrow"/>
      <family val="2"/>
    </font>
    <font>
      <sz val="10"/>
      <color indexed="81"/>
      <name val="Tahoma"/>
      <family val="2"/>
    </font>
    <font>
      <sz val="9"/>
      <color theme="1"/>
      <name val="Verdana"/>
      <family val="2"/>
    </font>
  </fonts>
  <fills count="16">
    <fill>
      <patternFill patternType="none"/>
    </fill>
    <fill>
      <patternFill patternType="gray125"/>
    </fill>
    <fill>
      <patternFill patternType="solid">
        <fgColor theme="0" tint="-4.9989318521683403E-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theme="0"/>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rgb="FFFFFF00"/>
        <bgColor indexed="64"/>
      </patternFill>
    </fill>
  </fills>
  <borders count="37">
    <border>
      <left/>
      <right/>
      <top/>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ck">
        <color auto="1"/>
      </right>
      <top style="medium">
        <color indexed="64"/>
      </top>
      <bottom/>
      <diagonal/>
    </border>
    <border>
      <left style="thin">
        <color indexed="64"/>
      </left>
      <right style="thin">
        <color indexed="64"/>
      </right>
      <top style="medium">
        <color indexed="64"/>
      </top>
      <bottom/>
      <diagonal/>
    </border>
    <border>
      <left/>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medium">
        <color indexed="64"/>
      </top>
      <bottom/>
      <diagonal/>
    </border>
    <border>
      <left/>
      <right style="thick">
        <color auto="1"/>
      </right>
      <top/>
      <bottom/>
      <diagonal/>
    </border>
    <border>
      <left style="thick">
        <color auto="1"/>
      </left>
      <right style="thick">
        <color auto="1"/>
      </right>
      <top/>
      <bottom/>
      <diagonal/>
    </border>
    <border>
      <left style="thick">
        <color auto="1"/>
      </left>
      <right/>
      <top/>
      <bottom/>
      <diagonal/>
    </border>
    <border>
      <left style="medium">
        <color rgb="FFFF0000"/>
      </left>
      <right style="medium">
        <color rgb="FFFF0000"/>
      </right>
      <top style="medium">
        <color rgb="FFFF0000"/>
      </top>
      <bottom style="medium">
        <color rgb="FFFF0000"/>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diagonal/>
    </border>
  </borders>
  <cellStyleXfs count="16">
    <xf numFmtId="0" fontId="0" fillId="0" borderId="0"/>
    <xf numFmtId="164" fontId="1" fillId="0" borderId="0" applyFont="0" applyFill="0" applyBorder="0" applyAlignment="0" applyProtection="0"/>
    <xf numFmtId="9" fontId="1" fillId="0" borderId="0" applyFont="0" applyFill="0" applyBorder="0" applyAlignment="0" applyProtection="0"/>
    <xf numFmtId="0" fontId="13"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975">
    <xf numFmtId="0" fontId="0" fillId="0" borderId="0" xfId="0"/>
    <xf numFmtId="0" fontId="2" fillId="0" borderId="0" xfId="0" applyFont="1"/>
    <xf numFmtId="0" fontId="3" fillId="0" borderId="0" xfId="0" applyFont="1"/>
    <xf numFmtId="0" fontId="3" fillId="0" borderId="0" xfId="0" applyFont="1" applyAlignment="1">
      <alignment horizontal="center"/>
    </xf>
    <xf numFmtId="165" fontId="2" fillId="0" borderId="0" xfId="1" applyNumberFormat="1" applyFont="1"/>
    <xf numFmtId="9" fontId="2" fillId="0" borderId="0" xfId="2" applyFont="1"/>
    <xf numFmtId="165" fontId="2" fillId="0" borderId="0" xfId="0" applyNumberFormat="1" applyFont="1"/>
    <xf numFmtId="165" fontId="3" fillId="0" borderId="0" xfId="0" applyNumberFormat="1" applyFont="1"/>
    <xf numFmtId="0" fontId="4" fillId="0" borderId="0" xfId="0" applyFont="1"/>
    <xf numFmtId="0" fontId="5" fillId="0" borderId="0" xfId="0" applyFont="1"/>
    <xf numFmtId="165" fontId="5" fillId="0" borderId="0" xfId="0" applyNumberFormat="1" applyFont="1"/>
    <xf numFmtId="0" fontId="6" fillId="0" borderId="0" xfId="0" applyFont="1"/>
    <xf numFmtId="0" fontId="3" fillId="0" borderId="1" xfId="0" applyFont="1" applyBorder="1" applyAlignment="1">
      <alignment horizontal="centerContinuous"/>
    </xf>
    <xf numFmtId="0" fontId="2" fillId="0" borderId="1" xfId="0" applyFont="1" applyBorder="1"/>
    <xf numFmtId="0" fontId="3" fillId="0" borderId="1" xfId="0" applyFont="1" applyBorder="1"/>
    <xf numFmtId="0" fontId="9" fillId="0" borderId="1" xfId="0" applyFont="1" applyBorder="1"/>
    <xf numFmtId="165" fontId="9" fillId="0" borderId="1" xfId="1" applyNumberFormat="1" applyFont="1" applyBorder="1"/>
    <xf numFmtId="165" fontId="6" fillId="0" borderId="0" xfId="1" applyNumberFormat="1" applyFont="1"/>
    <xf numFmtId="165" fontId="3" fillId="0" borderId="1" xfId="0" applyNumberFormat="1" applyFont="1" applyBorder="1"/>
    <xf numFmtId="165" fontId="9" fillId="0" borderId="1" xfId="0" applyNumberFormat="1" applyFont="1" applyBorder="1"/>
    <xf numFmtId="165" fontId="3" fillId="0" borderId="1" xfId="0" applyNumberFormat="1" applyFont="1" applyBorder="1" applyAlignment="1">
      <alignment horizontal="centerContinuous"/>
    </xf>
    <xf numFmtId="0" fontId="3" fillId="0" borderId="1" xfId="0" applyFont="1" applyBorder="1" applyAlignment="1">
      <alignment horizontal="left"/>
    </xf>
    <xf numFmtId="9" fontId="10" fillId="0" borderId="0" xfId="2" applyFont="1" applyAlignment="1">
      <alignment horizontal="center"/>
    </xf>
    <xf numFmtId="165" fontId="11" fillId="0" borderId="0" xfId="1" applyNumberFormat="1" applyFont="1"/>
    <xf numFmtId="0" fontId="12" fillId="0" borderId="0" xfId="0" applyFont="1" applyAlignment="1">
      <alignment horizontal="centerContinuous"/>
    </xf>
    <xf numFmtId="0" fontId="12" fillId="0" borderId="0" xfId="0" applyFont="1" applyAlignment="1">
      <alignment horizontal="center"/>
    </xf>
    <xf numFmtId="9" fontId="9" fillId="0" borderId="1" xfId="2" applyFont="1" applyBorder="1"/>
    <xf numFmtId="0" fontId="9" fillId="0" borderId="0" xfId="0" applyFont="1"/>
    <xf numFmtId="165" fontId="9" fillId="0" borderId="0" xfId="1" applyNumberFormat="1" applyFont="1"/>
    <xf numFmtId="9" fontId="9" fillId="0" borderId="0" xfId="2" applyFont="1"/>
    <xf numFmtId="0" fontId="3" fillId="0" borderId="1" xfId="0" applyFont="1" applyBorder="1" applyAlignment="1">
      <alignment horizontal="center"/>
    </xf>
    <xf numFmtId="0" fontId="12" fillId="0" borderId="0" xfId="0" applyFont="1"/>
    <xf numFmtId="165" fontId="2" fillId="0" borderId="1" xfId="1" applyNumberFormat="1" applyFont="1" applyBorder="1"/>
    <xf numFmtId="0" fontId="13" fillId="0" borderId="0" xfId="3"/>
    <xf numFmtId="9" fontId="2" fillId="0" borderId="0" xfId="0" applyNumberFormat="1" applyFont="1"/>
    <xf numFmtId="165" fontId="2" fillId="3" borderId="0" xfId="1" applyNumberFormat="1" applyFont="1" applyFill="1"/>
    <xf numFmtId="0" fontId="14" fillId="0" borderId="0" xfId="0" applyFont="1"/>
    <xf numFmtId="0" fontId="3" fillId="0" borderId="4" xfId="0" applyFont="1" applyBorder="1" applyAlignment="1">
      <alignment horizontal="center"/>
    </xf>
    <xf numFmtId="0" fontId="15" fillId="0" borderId="4" xfId="0" applyFont="1" applyBorder="1" applyAlignment="1">
      <alignment horizontal="center"/>
    </xf>
    <xf numFmtId="0" fontId="14" fillId="0" borderId="3" xfId="0" applyFont="1" applyBorder="1"/>
    <xf numFmtId="165" fontId="14" fillId="0" borderId="3" xfId="1" applyNumberFormat="1" applyFont="1" applyBorder="1"/>
    <xf numFmtId="165" fontId="14" fillId="0" borderId="4" xfId="1" applyNumberFormat="1" applyFont="1" applyBorder="1"/>
    <xf numFmtId="0" fontId="2" fillId="0" borderId="1" xfId="0" applyFont="1" applyBorder="1" applyAlignment="1">
      <alignment horizontal="centerContinuous"/>
    </xf>
    <xf numFmtId="0" fontId="16" fillId="0" borderId="0" xfId="0" applyFont="1"/>
    <xf numFmtId="0" fontId="17" fillId="0" borderId="0" xfId="0" applyFont="1"/>
    <xf numFmtId="0" fontId="18" fillId="0" borderId="0" xfId="0" applyFont="1"/>
    <xf numFmtId="0" fontId="16" fillId="0" borderId="0" xfId="0" applyFont="1" applyAlignment="1">
      <alignment horizontal="center"/>
    </xf>
    <xf numFmtId="15" fontId="16" fillId="0" borderId="0" xfId="0" applyNumberFormat="1" applyFont="1"/>
    <xf numFmtId="15" fontId="18" fillId="0" borderId="0" xfId="0" applyNumberFormat="1" applyFont="1"/>
    <xf numFmtId="15" fontId="17" fillId="0" borderId="0" xfId="0" applyNumberFormat="1" applyFont="1"/>
    <xf numFmtId="0" fontId="19" fillId="0" borderId="0" xfId="0" applyFont="1" applyAlignment="1">
      <alignment horizontal="center"/>
    </xf>
    <xf numFmtId="0" fontId="20" fillId="0" borderId="0" xfId="0" applyFont="1" applyAlignment="1">
      <alignment horizontal="center"/>
    </xf>
    <xf numFmtId="0" fontId="20" fillId="0" borderId="0" xfId="0" applyFont="1"/>
    <xf numFmtId="0" fontId="17" fillId="0" borderId="0" xfId="0" applyFont="1" applyAlignment="1">
      <alignment horizontal="center"/>
    </xf>
    <xf numFmtId="165" fontId="16" fillId="0" borderId="0" xfId="1" applyNumberFormat="1" applyFont="1"/>
    <xf numFmtId="165" fontId="17" fillId="0" borderId="0" xfId="1" applyNumberFormat="1" applyFont="1"/>
    <xf numFmtId="165" fontId="21" fillId="0" borderId="0" xfId="0" applyNumberFormat="1" applyFont="1"/>
    <xf numFmtId="165" fontId="16" fillId="0" borderId="0" xfId="1" applyNumberFormat="1" applyFont="1" applyAlignment="1">
      <alignment horizontal="center"/>
    </xf>
    <xf numFmtId="0" fontId="22" fillId="0" borderId="0" xfId="0" applyFont="1"/>
    <xf numFmtId="0" fontId="16" fillId="2" borderId="0" xfId="0" applyFont="1" applyFill="1"/>
    <xf numFmtId="164" fontId="16" fillId="0" borderId="0" xfId="1" applyFont="1"/>
    <xf numFmtId="0" fontId="23" fillId="0" borderId="0" xfId="0" applyFont="1"/>
    <xf numFmtId="0" fontId="22" fillId="0" borderId="0" xfId="0" applyFont="1" applyAlignment="1">
      <alignment horizontal="centerContinuous"/>
    </xf>
    <xf numFmtId="0" fontId="19" fillId="0" borderId="0" xfId="0" applyFont="1" applyAlignment="1">
      <alignment horizontal="centerContinuous"/>
    </xf>
    <xf numFmtId="0" fontId="16" fillId="0" borderId="0" xfId="0" applyFont="1" applyAlignment="1">
      <alignment horizontal="right"/>
    </xf>
    <xf numFmtId="9" fontId="16" fillId="0" borderId="0" xfId="0" applyNumberFormat="1" applyFont="1"/>
    <xf numFmtId="4" fontId="14" fillId="0" borderId="0" xfId="0" applyNumberFormat="1" applyFont="1"/>
    <xf numFmtId="4" fontId="3" fillId="4" borderId="0" xfId="0" applyNumberFormat="1" applyFont="1" applyFill="1"/>
    <xf numFmtId="4" fontId="15" fillId="4" borderId="0" xfId="0" applyNumberFormat="1" applyFont="1" applyFill="1"/>
    <xf numFmtId="4" fontId="2" fillId="4" borderId="0" xfId="0" applyNumberFormat="1" applyFont="1" applyFill="1"/>
    <xf numFmtId="4" fontId="26" fillId="4" borderId="0" xfId="0" applyNumberFormat="1" applyFont="1" applyFill="1"/>
    <xf numFmtId="4" fontId="11" fillId="4" borderId="0" xfId="0" applyNumberFormat="1" applyFont="1" applyFill="1"/>
    <xf numFmtId="4" fontId="14" fillId="4" borderId="0" xfId="0" applyNumberFormat="1" applyFont="1" applyFill="1"/>
    <xf numFmtId="4" fontId="3" fillId="4" borderId="0" xfId="1" applyNumberFormat="1" applyFont="1" applyFill="1" applyBorder="1"/>
    <xf numFmtId="0" fontId="2" fillId="4" borderId="0" xfId="0" applyFont="1" applyFill="1"/>
    <xf numFmtId="4" fontId="2" fillId="4" borderId="0" xfId="1" applyNumberFormat="1" applyFont="1" applyFill="1" applyBorder="1"/>
    <xf numFmtId="4" fontId="3" fillId="4" borderId="1" xfId="1" applyNumberFormat="1" applyFont="1" applyFill="1" applyBorder="1"/>
    <xf numFmtId="4" fontId="3" fillId="4" borderId="1" xfId="0" applyNumberFormat="1" applyFont="1" applyFill="1" applyBorder="1"/>
    <xf numFmtId="4" fontId="2" fillId="4" borderId="1" xfId="1" applyNumberFormat="1" applyFont="1" applyFill="1" applyBorder="1"/>
    <xf numFmtId="4" fontId="14" fillId="4" borderId="1" xfId="1" applyNumberFormat="1" applyFont="1" applyFill="1" applyBorder="1"/>
    <xf numFmtId="4" fontId="15" fillId="4" borderId="1" xfId="1" applyNumberFormat="1" applyFont="1" applyFill="1" applyBorder="1"/>
    <xf numFmtId="0" fontId="3" fillId="4" borderId="0" xfId="0" applyFont="1" applyFill="1"/>
    <xf numFmtId="0" fontId="15" fillId="0" borderId="1" xfId="0" applyFont="1" applyBorder="1" applyAlignment="1">
      <alignment horizontal="center"/>
    </xf>
    <xf numFmtId="4" fontId="2" fillId="0" borderId="0" xfId="0" applyNumberFormat="1" applyFont="1"/>
    <xf numFmtId="4" fontId="11" fillId="4" borderId="0" xfId="1" applyNumberFormat="1" applyFont="1" applyFill="1" applyBorder="1"/>
    <xf numFmtId="4" fontId="15" fillId="4" borderId="0" xfId="1" applyNumberFormat="1" applyFont="1" applyFill="1" applyBorder="1" applyAlignment="1"/>
    <xf numFmtId="4" fontId="11" fillId="4" borderId="1" xfId="1" applyNumberFormat="1" applyFont="1" applyFill="1" applyBorder="1"/>
    <xf numFmtId="4" fontId="2" fillId="0" borderId="4" xfId="1" applyNumberFormat="1" applyFont="1" applyBorder="1"/>
    <xf numFmtId="4" fontId="2" fillId="0" borderId="10" xfId="0" applyNumberFormat="1" applyFont="1" applyBorder="1"/>
    <xf numFmtId="4" fontId="2" fillId="0" borderId="3" xfId="1" applyNumberFormat="1" applyFont="1" applyBorder="1"/>
    <xf numFmtId="4" fontId="14" fillId="4" borderId="0" xfId="1" applyNumberFormat="1" applyFont="1" applyFill="1" applyBorder="1" applyAlignment="1"/>
    <xf numFmtId="4" fontId="15" fillId="5" borderId="0" xfId="0" applyNumberFormat="1" applyFont="1" applyFill="1"/>
    <xf numFmtId="4" fontId="2" fillId="0" borderId="0" xfId="0" applyNumberFormat="1" applyFont="1" applyAlignment="1">
      <alignment horizontal="center"/>
    </xf>
    <xf numFmtId="165" fontId="23" fillId="0" borderId="0" xfId="1" applyNumberFormat="1" applyFont="1"/>
    <xf numFmtId="4" fontId="14" fillId="4" borderId="0" xfId="1" applyNumberFormat="1" applyFont="1" applyFill="1" applyBorder="1"/>
    <xf numFmtId="4" fontId="15" fillId="4" borderId="0" xfId="1" applyNumberFormat="1" applyFont="1" applyFill="1" applyBorder="1"/>
    <xf numFmtId="4" fontId="15" fillId="5" borderId="0" xfId="1" applyNumberFormat="1" applyFont="1" applyFill="1" applyBorder="1" applyAlignment="1"/>
    <xf numFmtId="4" fontId="2" fillId="0" borderId="0" xfId="1" applyNumberFormat="1" applyFont="1"/>
    <xf numFmtId="4" fontId="2" fillId="4" borderId="0" xfId="1" applyNumberFormat="1" applyFont="1" applyFill="1"/>
    <xf numFmtId="4" fontId="14" fillId="0" borderId="3" xfId="0" applyNumberFormat="1" applyFont="1" applyBorder="1"/>
    <xf numFmtId="4" fontId="2" fillId="0" borderId="3" xfId="0" applyNumberFormat="1" applyFont="1" applyBorder="1"/>
    <xf numFmtId="4" fontId="3" fillId="4" borderId="0" xfId="1" applyNumberFormat="1" applyFont="1" applyFill="1"/>
    <xf numFmtId="165" fontId="2" fillId="4" borderId="0" xfId="1" applyNumberFormat="1" applyFont="1" applyFill="1" applyBorder="1"/>
    <xf numFmtId="165" fontId="2" fillId="4" borderId="1" xfId="1" applyNumberFormat="1" applyFont="1" applyFill="1" applyBorder="1"/>
    <xf numFmtId="0" fontId="3" fillId="0" borderId="12" xfId="0" applyFont="1" applyBorder="1" applyAlignment="1">
      <alignment horizontal="center"/>
    </xf>
    <xf numFmtId="0" fontId="3" fillId="0" borderId="0" xfId="0" applyFont="1" applyAlignment="1">
      <alignment horizontal="centerContinuous"/>
    </xf>
    <xf numFmtId="0" fontId="3" fillId="0" borderId="9" xfId="0" applyFont="1" applyBorder="1" applyAlignment="1">
      <alignment horizontal="center"/>
    </xf>
    <xf numFmtId="0" fontId="3" fillId="0" borderId="13" xfId="0" applyFont="1" applyBorder="1" applyAlignment="1">
      <alignment horizontal="center"/>
    </xf>
    <xf numFmtId="0" fontId="3" fillId="0" borderId="14" xfId="0" applyFont="1" applyBorder="1" applyAlignment="1">
      <alignment horizontal="center"/>
    </xf>
    <xf numFmtId="4" fontId="28" fillId="0" borderId="0" xfId="0" applyNumberFormat="1" applyFont="1"/>
    <xf numFmtId="4" fontId="15" fillId="5" borderId="0" xfId="1" applyNumberFormat="1" applyFont="1" applyFill="1" applyBorder="1"/>
    <xf numFmtId="4" fontId="2" fillId="0" borderId="4" xfId="0" applyNumberFormat="1" applyFont="1" applyBorder="1"/>
    <xf numFmtId="4" fontId="2" fillId="4" borderId="1" xfId="0" applyNumberFormat="1" applyFont="1" applyFill="1" applyBorder="1"/>
    <xf numFmtId="4" fontId="2" fillId="0" borderId="1" xfId="0" applyNumberFormat="1" applyFont="1" applyBorder="1"/>
    <xf numFmtId="4" fontId="2" fillId="0" borderId="6" xfId="0" applyNumberFormat="1" applyFont="1" applyBorder="1"/>
    <xf numFmtId="4" fontId="2" fillId="4" borderId="6" xfId="0" applyNumberFormat="1" applyFont="1" applyFill="1" applyBorder="1"/>
    <xf numFmtId="4" fontId="11" fillId="0" borderId="3" xfId="0" applyNumberFormat="1" applyFont="1" applyBorder="1"/>
    <xf numFmtId="4" fontId="14" fillId="0" borderId="6" xfId="1" applyNumberFormat="1" applyFont="1" applyBorder="1"/>
    <xf numFmtId="4" fontId="3" fillId="4" borderId="6" xfId="0" applyNumberFormat="1" applyFont="1" applyFill="1" applyBorder="1" applyAlignment="1">
      <alignment horizontal="right"/>
    </xf>
    <xf numFmtId="4" fontId="14" fillId="0" borderId="3" xfId="1" applyNumberFormat="1" applyFont="1" applyBorder="1"/>
    <xf numFmtId="4" fontId="3" fillId="4" borderId="6" xfId="0" applyNumberFormat="1" applyFont="1" applyFill="1" applyBorder="1"/>
    <xf numFmtId="4" fontId="3" fillId="3" borderId="0" xfId="0" applyNumberFormat="1" applyFont="1" applyFill="1"/>
    <xf numFmtId="4" fontId="3" fillId="5" borderId="0" xfId="0" applyNumberFormat="1" applyFont="1" applyFill="1"/>
    <xf numFmtId="4" fontId="2" fillId="4" borderId="0" xfId="0" applyNumberFormat="1" applyFont="1" applyFill="1" applyAlignment="1">
      <alignment horizontal="center"/>
    </xf>
    <xf numFmtId="4" fontId="15" fillId="3" borderId="0" xfId="0" applyNumberFormat="1" applyFont="1" applyFill="1"/>
    <xf numFmtId="4" fontId="14" fillId="4" borderId="2" xfId="1" applyNumberFormat="1" applyFont="1" applyFill="1" applyBorder="1"/>
    <xf numFmtId="4" fontId="14" fillId="0" borderId="2" xfId="1" applyNumberFormat="1" applyFont="1" applyBorder="1"/>
    <xf numFmtId="4" fontId="3" fillId="4" borderId="2" xfId="0" applyNumberFormat="1" applyFont="1" applyFill="1" applyBorder="1"/>
    <xf numFmtId="4" fontId="14" fillId="0" borderId="4" xfId="1" applyNumberFormat="1" applyFont="1" applyBorder="1"/>
    <xf numFmtId="4" fontId="2" fillId="4" borderId="6" xfId="1" applyNumberFormat="1" applyFont="1" applyFill="1" applyBorder="1"/>
    <xf numFmtId="4" fontId="2" fillId="0" borderId="7" xfId="0" applyNumberFormat="1" applyFont="1" applyBorder="1"/>
    <xf numFmtId="4" fontId="2" fillId="4" borderId="2" xfId="1" applyNumberFormat="1" applyFont="1" applyFill="1" applyBorder="1"/>
    <xf numFmtId="4" fontId="2" fillId="0" borderId="5" xfId="0" applyNumberFormat="1" applyFont="1" applyBorder="1"/>
    <xf numFmtId="4" fontId="2" fillId="0" borderId="0" xfId="2" applyNumberFormat="1" applyFont="1"/>
    <xf numFmtId="4" fontId="2" fillId="0" borderId="0" xfId="2" applyNumberFormat="1" applyFont="1" applyFill="1"/>
    <xf numFmtId="0" fontId="17" fillId="0" borderId="0" xfId="0" applyFont="1" applyAlignment="1">
      <alignment vertical="center"/>
    </xf>
    <xf numFmtId="165" fontId="2" fillId="0" borderId="0" xfId="1" applyNumberFormat="1" applyFont="1" applyBorder="1"/>
    <xf numFmtId="4" fontId="2" fillId="0" borderId="3" xfId="1" applyNumberFormat="1" applyFont="1" applyFill="1" applyBorder="1"/>
    <xf numFmtId="0" fontId="3" fillId="4" borderId="1" xfId="0" applyFont="1" applyFill="1" applyBorder="1" applyAlignment="1">
      <alignment horizontal="center"/>
    </xf>
    <xf numFmtId="165" fontId="2" fillId="4" borderId="0" xfId="1" applyNumberFormat="1" applyFont="1" applyFill="1"/>
    <xf numFmtId="0" fontId="3" fillId="4" borderId="1" xfId="0" applyFont="1" applyFill="1" applyBorder="1"/>
    <xf numFmtId="0" fontId="4" fillId="0" borderId="9" xfId="0" applyFont="1" applyBorder="1"/>
    <xf numFmtId="164" fontId="4" fillId="0" borderId="9" xfId="1" applyFont="1" applyBorder="1" applyAlignment="1">
      <alignment horizontal="right" vertical="center"/>
    </xf>
    <xf numFmtId="164" fontId="4" fillId="4" borderId="9" xfId="1" applyFont="1" applyFill="1" applyBorder="1" applyAlignment="1">
      <alignment horizontal="right" vertical="center"/>
    </xf>
    <xf numFmtId="164" fontId="30" fillId="0" borderId="10" xfId="0" applyNumberFormat="1" applyFont="1" applyBorder="1"/>
    <xf numFmtId="4" fontId="4" fillId="4" borderId="9" xfId="1" applyNumberFormat="1" applyFont="1" applyFill="1" applyBorder="1"/>
    <xf numFmtId="4" fontId="4" fillId="0" borderId="10" xfId="1" applyNumberFormat="1" applyFont="1" applyBorder="1"/>
    <xf numFmtId="4" fontId="4" fillId="0" borderId="3" xfId="0" applyNumberFormat="1" applyFont="1" applyBorder="1"/>
    <xf numFmtId="4" fontId="4" fillId="0" borderId="0" xfId="0" applyNumberFormat="1" applyFont="1"/>
    <xf numFmtId="4" fontId="15" fillId="6" borderId="0" xfId="0" applyNumberFormat="1" applyFont="1" applyFill="1"/>
    <xf numFmtId="4" fontId="3" fillId="4" borderId="6" xfId="1" applyNumberFormat="1" applyFont="1" applyFill="1" applyBorder="1"/>
    <xf numFmtId="4" fontId="3" fillId="6" borderId="0" xfId="0" applyNumberFormat="1" applyFont="1" applyFill="1"/>
    <xf numFmtId="0" fontId="2" fillId="0" borderId="0" xfId="0" applyFont="1" applyAlignment="1">
      <alignment horizontal="left"/>
    </xf>
    <xf numFmtId="4" fontId="15" fillId="6" borderId="0" xfId="1" applyNumberFormat="1" applyFont="1" applyFill="1" applyBorder="1"/>
    <xf numFmtId="0" fontId="31" fillId="0" borderId="0" xfId="0" applyFont="1" applyAlignment="1">
      <alignment horizontal="right"/>
    </xf>
    <xf numFmtId="165" fontId="31" fillId="4" borderId="0" xfId="1" applyNumberFormat="1" applyFont="1" applyFill="1"/>
    <xf numFmtId="165" fontId="31" fillId="0" borderId="0" xfId="1" applyNumberFormat="1" applyFont="1"/>
    <xf numFmtId="165" fontId="32" fillId="0" borderId="3" xfId="1" applyNumberFormat="1" applyFont="1" applyBorder="1"/>
    <xf numFmtId="4" fontId="31" fillId="4" borderId="0" xfId="1" applyNumberFormat="1" applyFont="1" applyFill="1"/>
    <xf numFmtId="4" fontId="32" fillId="4" borderId="0" xfId="1" applyNumberFormat="1" applyFont="1" applyFill="1"/>
    <xf numFmtId="4" fontId="31" fillId="0" borderId="6" xfId="1" applyNumberFormat="1" applyFont="1" applyBorder="1"/>
    <xf numFmtId="4" fontId="31" fillId="0" borderId="3" xfId="1" applyNumberFormat="1" applyFont="1" applyBorder="1"/>
    <xf numFmtId="4" fontId="31" fillId="4" borderId="0" xfId="1" applyNumberFormat="1" applyFont="1" applyFill="1" applyBorder="1"/>
    <xf numFmtId="4" fontId="31" fillId="0" borderId="0" xfId="1" applyNumberFormat="1" applyFont="1"/>
    <xf numFmtId="4" fontId="32" fillId="0" borderId="3" xfId="1" applyNumberFormat="1" applyFont="1" applyBorder="1"/>
    <xf numFmtId="4" fontId="22" fillId="0" borderId="3" xfId="0" applyNumberFormat="1" applyFont="1" applyBorder="1"/>
    <xf numFmtId="4" fontId="23" fillId="0" borderId="3" xfId="0" applyNumberFormat="1" applyFont="1" applyBorder="1"/>
    <xf numFmtId="4" fontId="22" fillId="4" borderId="0" xfId="1" applyNumberFormat="1" applyFont="1" applyFill="1" applyBorder="1"/>
    <xf numFmtId="4" fontId="22" fillId="0" borderId="0" xfId="0" applyNumberFormat="1" applyFont="1"/>
    <xf numFmtId="4" fontId="14" fillId="0" borderId="4" xfId="0" applyNumberFormat="1" applyFont="1" applyBorder="1"/>
    <xf numFmtId="4" fontId="22" fillId="0" borderId="0" xfId="1" applyNumberFormat="1" applyFont="1" applyFill="1" applyBorder="1"/>
    <xf numFmtId="0" fontId="28" fillId="0" borderId="0" xfId="0" applyFont="1"/>
    <xf numFmtId="0" fontId="34" fillId="0" borderId="0" xfId="0" applyFont="1" applyAlignment="1">
      <alignment vertical="center"/>
    </xf>
    <xf numFmtId="0" fontId="11" fillId="0" borderId="0" xfId="0" applyFont="1"/>
    <xf numFmtId="0" fontId="23" fillId="0" borderId="0" xfId="0" applyFont="1" applyAlignment="1">
      <alignment vertical="center"/>
    </xf>
    <xf numFmtId="0" fontId="15" fillId="0" borderId="0" xfId="0" applyFont="1"/>
    <xf numFmtId="0" fontId="2" fillId="3" borderId="0" xfId="0" applyFont="1" applyFill="1"/>
    <xf numFmtId="0" fontId="14" fillId="3" borderId="0" xfId="0" applyFont="1" applyFill="1"/>
    <xf numFmtId="4" fontId="33" fillId="0" borderId="3" xfId="0" applyNumberFormat="1" applyFont="1" applyBorder="1"/>
    <xf numFmtId="4" fontId="28" fillId="4" borderId="0" xfId="0" applyNumberFormat="1" applyFont="1" applyFill="1"/>
    <xf numFmtId="4" fontId="2" fillId="6" borderId="0" xfId="0" applyNumberFormat="1" applyFont="1" applyFill="1"/>
    <xf numFmtId="0" fontId="35" fillId="0" borderId="0" xfId="3" applyFont="1" applyAlignment="1">
      <alignment vertical="center"/>
    </xf>
    <xf numFmtId="4" fontId="3" fillId="7" borderId="0" xfId="0" applyNumberFormat="1" applyFont="1" applyFill="1"/>
    <xf numFmtId="4" fontId="26" fillId="4" borderId="0" xfId="1" applyNumberFormat="1" applyFont="1" applyFill="1" applyBorder="1"/>
    <xf numFmtId="4" fontId="2" fillId="0" borderId="2" xfId="0" applyNumberFormat="1" applyFont="1" applyBorder="1"/>
    <xf numFmtId="4" fontId="22" fillId="0" borderId="7" xfId="0" applyNumberFormat="1" applyFont="1" applyBorder="1"/>
    <xf numFmtId="4" fontId="31" fillId="0" borderId="3" xfId="0" applyNumberFormat="1" applyFont="1" applyBorder="1"/>
    <xf numFmtId="4" fontId="31" fillId="0" borderId="0" xfId="0" applyNumberFormat="1" applyFont="1"/>
    <xf numFmtId="4" fontId="33" fillId="0" borderId="0" xfId="0" applyNumberFormat="1" applyFont="1"/>
    <xf numFmtId="4" fontId="15" fillId="3" borderId="0" xfId="1" applyNumberFormat="1" applyFont="1" applyFill="1" applyBorder="1"/>
    <xf numFmtId="2" fontId="3" fillId="4" borderId="0" xfId="0" applyNumberFormat="1" applyFont="1" applyFill="1"/>
    <xf numFmtId="0" fontId="3" fillId="8" borderId="0" xfId="0" applyFont="1" applyFill="1" applyAlignment="1">
      <alignment horizontal="centerContinuous"/>
    </xf>
    <xf numFmtId="4" fontId="36" fillId="4" borderId="0" xfId="0" applyNumberFormat="1" applyFont="1" applyFill="1"/>
    <xf numFmtId="4" fontId="2" fillId="4" borderId="8" xfId="1" applyNumberFormat="1" applyFont="1" applyFill="1" applyBorder="1"/>
    <xf numFmtId="4" fontId="2" fillId="4" borderId="9" xfId="1" applyNumberFormat="1" applyFont="1" applyFill="1" applyBorder="1"/>
    <xf numFmtId="4" fontId="2" fillId="4" borderId="9" xfId="0" applyNumberFormat="1" applyFont="1" applyFill="1" applyBorder="1"/>
    <xf numFmtId="0" fontId="2" fillId="0" borderId="9" xfId="0" applyFont="1" applyBorder="1"/>
    <xf numFmtId="4" fontId="2" fillId="4" borderId="7" xfId="0" applyNumberFormat="1" applyFont="1" applyFill="1" applyBorder="1"/>
    <xf numFmtId="4" fontId="2" fillId="4" borderId="5" xfId="0" applyNumberFormat="1" applyFont="1" applyFill="1" applyBorder="1"/>
    <xf numFmtId="4" fontId="2" fillId="4" borderId="11" xfId="0" applyNumberFormat="1" applyFont="1" applyFill="1" applyBorder="1"/>
    <xf numFmtId="4" fontId="3" fillId="4" borderId="7" xfId="0" applyNumberFormat="1" applyFont="1" applyFill="1" applyBorder="1"/>
    <xf numFmtId="4" fontId="2" fillId="4" borderId="8" xfId="0" applyNumberFormat="1" applyFont="1" applyFill="1" applyBorder="1"/>
    <xf numFmtId="4" fontId="28" fillId="4" borderId="6" xfId="0" applyNumberFormat="1" applyFont="1" applyFill="1" applyBorder="1"/>
    <xf numFmtId="4" fontId="29" fillId="4" borderId="6" xfId="0" applyNumberFormat="1" applyFont="1" applyFill="1" applyBorder="1"/>
    <xf numFmtId="4" fontId="2" fillId="4" borderId="2" xfId="0" applyNumberFormat="1" applyFont="1" applyFill="1" applyBorder="1"/>
    <xf numFmtId="4" fontId="31" fillId="4" borderId="6" xfId="0" applyNumberFormat="1" applyFont="1" applyFill="1" applyBorder="1"/>
    <xf numFmtId="4" fontId="22" fillId="4" borderId="6" xfId="0" applyNumberFormat="1" applyFont="1" applyFill="1" applyBorder="1"/>
    <xf numFmtId="0" fontId="2" fillId="4" borderId="0" xfId="0" applyFont="1" applyFill="1" applyAlignment="1">
      <alignment horizontal="right"/>
    </xf>
    <xf numFmtId="4" fontId="31" fillId="4" borderId="0" xfId="0" applyNumberFormat="1" applyFont="1" applyFill="1"/>
    <xf numFmtId="4" fontId="22" fillId="4" borderId="0" xfId="0" applyNumberFormat="1" applyFont="1" applyFill="1"/>
    <xf numFmtId="4" fontId="14" fillId="0" borderId="1" xfId="0" applyNumberFormat="1" applyFont="1" applyBorder="1"/>
    <xf numFmtId="0" fontId="2" fillId="0" borderId="6" xfId="0" applyFont="1" applyBorder="1"/>
    <xf numFmtId="4" fontId="15" fillId="9" borderId="0" xfId="0" applyNumberFormat="1" applyFont="1" applyFill="1"/>
    <xf numFmtId="4" fontId="2" fillId="9" borderId="0" xfId="0" applyNumberFormat="1" applyFont="1" applyFill="1"/>
    <xf numFmtId="4" fontId="2" fillId="9" borderId="9" xfId="0" applyNumberFormat="1" applyFont="1" applyFill="1" applyBorder="1"/>
    <xf numFmtId="4" fontId="28" fillId="9" borderId="0" xfId="0" applyNumberFormat="1" applyFont="1" applyFill="1"/>
    <xf numFmtId="0" fontId="2" fillId="9" borderId="0" xfId="0" applyFont="1" applyFill="1"/>
    <xf numFmtId="4" fontId="29" fillId="4" borderId="0" xfId="0" applyNumberFormat="1" applyFont="1" applyFill="1"/>
    <xf numFmtId="4" fontId="15" fillId="4" borderId="0" xfId="1" applyNumberFormat="1" applyFont="1" applyFill="1"/>
    <xf numFmtId="0" fontId="5" fillId="0" borderId="9" xfId="0" applyFont="1" applyBorder="1"/>
    <xf numFmtId="0" fontId="0" fillId="0" borderId="1" xfId="0" applyBorder="1"/>
    <xf numFmtId="0" fontId="2" fillId="0" borderId="0" xfId="0" applyFont="1" applyAlignment="1">
      <alignment horizontal="right"/>
    </xf>
    <xf numFmtId="4" fontId="2" fillId="10" borderId="1" xfId="1" applyNumberFormat="1" applyFont="1" applyFill="1" applyBorder="1"/>
    <xf numFmtId="4" fontId="3" fillId="11" borderId="0" xfId="0" applyNumberFormat="1" applyFont="1" applyFill="1"/>
    <xf numFmtId="4" fontId="15" fillId="9" borderId="0" xfId="1" applyNumberFormat="1" applyFont="1" applyFill="1"/>
    <xf numFmtId="0" fontId="14" fillId="4" borderId="0" xfId="0" applyFont="1" applyFill="1"/>
    <xf numFmtId="4" fontId="15" fillId="11" borderId="0" xfId="0" applyNumberFormat="1" applyFont="1" applyFill="1"/>
    <xf numFmtId="4" fontId="14" fillId="4" borderId="9" xfId="0" applyNumberFormat="1" applyFont="1" applyFill="1" applyBorder="1"/>
    <xf numFmtId="4" fontId="14" fillId="4" borderId="1" xfId="0" applyNumberFormat="1" applyFont="1" applyFill="1" applyBorder="1"/>
    <xf numFmtId="15" fontId="27" fillId="0" borderId="0" xfId="0" applyNumberFormat="1" applyFont="1"/>
    <xf numFmtId="2" fontId="2" fillId="4" borderId="0" xfId="0" applyNumberFormat="1" applyFont="1" applyFill="1"/>
    <xf numFmtId="4" fontId="15" fillId="4" borderId="1" xfId="0" applyNumberFormat="1" applyFont="1" applyFill="1" applyBorder="1"/>
    <xf numFmtId="4" fontId="28" fillId="4" borderId="0" xfId="1" applyNumberFormat="1" applyFont="1" applyFill="1" applyBorder="1"/>
    <xf numFmtId="4" fontId="31" fillId="4" borderId="7" xfId="0" applyNumberFormat="1" applyFont="1" applyFill="1" applyBorder="1"/>
    <xf numFmtId="4" fontId="3" fillId="11" borderId="7" xfId="0" applyNumberFormat="1" applyFont="1" applyFill="1" applyBorder="1"/>
    <xf numFmtId="4" fontId="15" fillId="4" borderId="7" xfId="0" applyNumberFormat="1" applyFont="1" applyFill="1" applyBorder="1"/>
    <xf numFmtId="4" fontId="14" fillId="4" borderId="7" xfId="0" applyNumberFormat="1" applyFont="1" applyFill="1" applyBorder="1"/>
    <xf numFmtId="4" fontId="28" fillId="4" borderId="7" xfId="0" applyNumberFormat="1" applyFont="1" applyFill="1" applyBorder="1"/>
    <xf numFmtId="0" fontId="0" fillId="0" borderId="6" xfId="0" applyBorder="1"/>
    <xf numFmtId="4" fontId="39" fillId="0" borderId="0" xfId="0" applyNumberFormat="1" applyFont="1"/>
    <xf numFmtId="4" fontId="15" fillId="4" borderId="6" xfId="0" applyNumberFormat="1" applyFont="1" applyFill="1" applyBorder="1"/>
    <xf numFmtId="4" fontId="15" fillId="4" borderId="16" xfId="0" applyNumberFormat="1" applyFont="1" applyFill="1" applyBorder="1"/>
    <xf numFmtId="4" fontId="3" fillId="4" borderId="9" xfId="0" applyNumberFormat="1" applyFont="1" applyFill="1" applyBorder="1"/>
    <xf numFmtId="4" fontId="14" fillId="9" borderId="0" xfId="0" applyNumberFormat="1" applyFont="1" applyFill="1"/>
    <xf numFmtId="4" fontId="3" fillId="9" borderId="0" xfId="0" applyNumberFormat="1" applyFont="1" applyFill="1"/>
    <xf numFmtId="4" fontId="15" fillId="9" borderId="0" xfId="1" applyNumberFormat="1" applyFont="1" applyFill="1" applyBorder="1"/>
    <xf numFmtId="4" fontId="2" fillId="9" borderId="1" xfId="0" applyNumberFormat="1" applyFont="1" applyFill="1" applyBorder="1"/>
    <xf numFmtId="4" fontId="2" fillId="9" borderId="1" xfId="1" applyNumberFormat="1" applyFont="1" applyFill="1" applyBorder="1"/>
    <xf numFmtId="0" fontId="33" fillId="0" borderId="0" xfId="0" applyFont="1"/>
    <xf numFmtId="0" fontId="0" fillId="0" borderId="12" xfId="0" applyBorder="1"/>
    <xf numFmtId="0" fontId="3" fillId="4" borderId="13" xfId="0" applyFont="1" applyFill="1" applyBorder="1" applyAlignment="1">
      <alignment horizontal="center"/>
    </xf>
    <xf numFmtId="4" fontId="2" fillId="4" borderId="6" xfId="0" applyNumberFormat="1" applyFont="1" applyFill="1" applyBorder="1" applyAlignment="1">
      <alignment horizontal="right"/>
    </xf>
    <xf numFmtId="4" fontId="31" fillId="0" borderId="0" xfId="0" applyNumberFormat="1" applyFont="1" applyAlignment="1">
      <alignment horizontal="right"/>
    </xf>
    <xf numFmtId="4" fontId="12" fillId="0" borderId="0" xfId="0" applyNumberFormat="1" applyFont="1"/>
    <xf numFmtId="4" fontId="3" fillId="0" borderId="0" xfId="0" applyNumberFormat="1" applyFont="1"/>
    <xf numFmtId="4" fontId="3" fillId="0" borderId="1" xfId="0" applyNumberFormat="1" applyFont="1" applyBorder="1"/>
    <xf numFmtId="4" fontId="5" fillId="0" borderId="0" xfId="0" applyNumberFormat="1" applyFont="1"/>
    <xf numFmtId="4" fontId="6" fillId="0" borderId="0" xfId="0" applyNumberFormat="1" applyFont="1"/>
    <xf numFmtId="4" fontId="5" fillId="0" borderId="9" xfId="0" applyNumberFormat="1" applyFont="1" applyBorder="1"/>
    <xf numFmtId="4" fontId="0" fillId="0" borderId="6" xfId="0" applyNumberFormat="1" applyBorder="1"/>
    <xf numFmtId="0" fontId="0" fillId="0" borderId="2" xfId="0" applyBorder="1"/>
    <xf numFmtId="0" fontId="0" fillId="0" borderId="13" xfId="0" applyBorder="1"/>
    <xf numFmtId="4" fontId="31" fillId="4" borderId="6" xfId="1" applyNumberFormat="1" applyFont="1" applyFill="1" applyBorder="1"/>
    <xf numFmtId="4" fontId="22" fillId="9" borderId="0" xfId="0" applyNumberFormat="1" applyFont="1" applyFill="1"/>
    <xf numFmtId="4" fontId="22" fillId="4" borderId="7" xfId="0" applyNumberFormat="1" applyFont="1" applyFill="1" applyBorder="1"/>
    <xf numFmtId="4" fontId="2" fillId="0" borderId="1" xfId="1" applyNumberFormat="1" applyFont="1" applyBorder="1"/>
    <xf numFmtId="4" fontId="2" fillId="0" borderId="1" xfId="1" applyNumberFormat="1" applyFont="1" applyFill="1" applyBorder="1"/>
    <xf numFmtId="0" fontId="2" fillId="0" borderId="3" xfId="0" applyFont="1" applyBorder="1" applyAlignment="1">
      <alignment horizontal="right"/>
    </xf>
    <xf numFmtId="4" fontId="40" fillId="0" borderId="0" xfId="0" applyNumberFormat="1" applyFont="1"/>
    <xf numFmtId="0" fontId="40" fillId="0" borderId="0" xfId="0" applyFont="1"/>
    <xf numFmtId="4" fontId="3" fillId="0" borderId="0" xfId="1" applyNumberFormat="1" applyFont="1" applyFill="1" applyBorder="1"/>
    <xf numFmtId="4" fontId="15" fillId="0" borderId="3" xfId="0" applyNumberFormat="1" applyFont="1" applyBorder="1"/>
    <xf numFmtId="4" fontId="3" fillId="0" borderId="3" xfId="1" applyNumberFormat="1" applyFont="1" applyFill="1" applyBorder="1"/>
    <xf numFmtId="4" fontId="3" fillId="0" borderId="3" xfId="0" applyNumberFormat="1" applyFont="1" applyBorder="1"/>
    <xf numFmtId="4" fontId="31" fillId="9" borderId="0" xfId="0" applyNumberFormat="1" applyFont="1" applyFill="1"/>
    <xf numFmtId="0" fontId="3" fillId="4" borderId="15" xfId="0" applyFont="1" applyFill="1" applyBorder="1" applyAlignment="1">
      <alignment horizontal="center"/>
    </xf>
    <xf numFmtId="4" fontId="2" fillId="4" borderId="3" xfId="0" applyNumberFormat="1" applyFont="1" applyFill="1" applyBorder="1" applyAlignment="1">
      <alignment horizontal="right"/>
    </xf>
    <xf numFmtId="4" fontId="2" fillId="4" borderId="3" xfId="1" applyNumberFormat="1" applyFont="1" applyFill="1" applyBorder="1" applyAlignment="1">
      <alignment horizontal="right"/>
    </xf>
    <xf numFmtId="4" fontId="3" fillId="4" borderId="3" xfId="0" applyNumberFormat="1" applyFont="1" applyFill="1" applyBorder="1"/>
    <xf numFmtId="4" fontId="3" fillId="4" borderId="4" xfId="0" applyNumberFormat="1" applyFont="1" applyFill="1" applyBorder="1"/>
    <xf numFmtId="4" fontId="31" fillId="0" borderId="3" xfId="0" applyNumberFormat="1" applyFont="1" applyBorder="1" applyAlignment="1">
      <alignment horizontal="right"/>
    </xf>
    <xf numFmtId="4" fontId="12" fillId="0" borderId="3" xfId="0" applyNumberFormat="1" applyFont="1" applyBorder="1"/>
    <xf numFmtId="4" fontId="3" fillId="0" borderId="4" xfId="0" applyNumberFormat="1" applyFont="1" applyBorder="1"/>
    <xf numFmtId="0" fontId="2" fillId="4" borderId="3" xfId="0" applyFont="1" applyFill="1" applyBorder="1" applyAlignment="1">
      <alignment horizontal="right"/>
    </xf>
    <xf numFmtId="4" fontId="4" fillId="0" borderId="9" xfId="0" applyNumberFormat="1" applyFont="1" applyBorder="1"/>
    <xf numFmtId="4" fontId="5" fillId="0" borderId="3" xfId="0" applyNumberFormat="1" applyFont="1" applyBorder="1"/>
    <xf numFmtId="4" fontId="6" fillId="0" borderId="3" xfId="0" applyNumberFormat="1" applyFont="1" applyBorder="1"/>
    <xf numFmtId="4" fontId="5" fillId="0" borderId="10" xfId="0" applyNumberFormat="1" applyFont="1" applyBorder="1"/>
    <xf numFmtId="4" fontId="4" fillId="0" borderId="10" xfId="0" applyNumberFormat="1" applyFont="1" applyBorder="1"/>
    <xf numFmtId="4" fontId="14" fillId="3" borderId="0" xfId="0" applyNumberFormat="1" applyFont="1" applyFill="1"/>
    <xf numFmtId="4" fontId="14" fillId="3" borderId="0" xfId="1" applyNumberFormat="1" applyFont="1" applyFill="1" applyBorder="1"/>
    <xf numFmtId="4" fontId="2" fillId="0" borderId="0" xfId="1" applyNumberFormat="1" applyFont="1" applyFill="1" applyBorder="1"/>
    <xf numFmtId="4" fontId="2" fillId="0" borderId="8" xfId="0" applyNumberFormat="1" applyFont="1" applyBorder="1"/>
    <xf numFmtId="4" fontId="28" fillId="0" borderId="3" xfId="0" applyNumberFormat="1" applyFont="1" applyBorder="1"/>
    <xf numFmtId="4" fontId="41" fillId="0" borderId="3" xfId="0" applyNumberFormat="1" applyFont="1" applyBorder="1" applyAlignment="1">
      <alignment horizontal="right"/>
    </xf>
    <xf numFmtId="4" fontId="28" fillId="0" borderId="0" xfId="1" applyNumberFormat="1" applyFont="1" applyFill="1" applyBorder="1"/>
    <xf numFmtId="4" fontId="42" fillId="0" borderId="3" xfId="0" applyNumberFormat="1" applyFont="1" applyBorder="1" applyAlignment="1">
      <alignment horizontal="right"/>
    </xf>
    <xf numFmtId="165" fontId="17" fillId="0" borderId="0" xfId="1" applyNumberFormat="1" applyFont="1" applyAlignment="1">
      <alignment horizontal="center"/>
    </xf>
    <xf numFmtId="4" fontId="15" fillId="4" borderId="4" xfId="0" applyNumberFormat="1" applyFont="1" applyFill="1" applyBorder="1"/>
    <xf numFmtId="4" fontId="43" fillId="0" borderId="3" xfId="0" applyNumberFormat="1" applyFont="1" applyBorder="1"/>
    <xf numFmtId="4" fontId="26" fillId="0" borderId="4" xfId="0" applyNumberFormat="1" applyFont="1" applyBorder="1"/>
    <xf numFmtId="4" fontId="11" fillId="0" borderId="4" xfId="0" applyNumberFormat="1" applyFont="1" applyBorder="1"/>
    <xf numFmtId="4" fontId="28" fillId="0" borderId="4" xfId="0" applyNumberFormat="1" applyFont="1" applyBorder="1"/>
    <xf numFmtId="4" fontId="11" fillId="0" borderId="0" xfId="0" applyNumberFormat="1" applyFont="1"/>
    <xf numFmtId="0" fontId="2" fillId="0" borderId="0" xfId="0" applyFont="1" applyAlignment="1">
      <alignment vertical="center"/>
    </xf>
    <xf numFmtId="4" fontId="15" fillId="0" borderId="0" xfId="0" applyNumberFormat="1" applyFont="1"/>
    <xf numFmtId="0" fontId="2" fillId="0" borderId="7" xfId="0" applyFont="1" applyBorder="1"/>
    <xf numFmtId="0" fontId="2" fillId="12" borderId="0" xfId="0" applyFont="1" applyFill="1"/>
    <xf numFmtId="165" fontId="2" fillId="12" borderId="0" xfId="1" applyNumberFormat="1" applyFont="1" applyFill="1" applyBorder="1"/>
    <xf numFmtId="4" fontId="14" fillId="12" borderId="0" xfId="0" applyNumberFormat="1" applyFont="1" applyFill="1"/>
    <xf numFmtId="4" fontId="2" fillId="12" borderId="0" xfId="1" applyNumberFormat="1" applyFont="1" applyFill="1" applyBorder="1"/>
    <xf numFmtId="4" fontId="2" fillId="12" borderId="0" xfId="0" applyNumberFormat="1" applyFont="1" applyFill="1"/>
    <xf numFmtId="4" fontId="2" fillId="12" borderId="6" xfId="0" applyNumberFormat="1" applyFont="1" applyFill="1" applyBorder="1"/>
    <xf numFmtId="4" fontId="3" fillId="12" borderId="0" xfId="0" applyNumberFormat="1" applyFont="1" applyFill="1"/>
    <xf numFmtId="4" fontId="2" fillId="12" borderId="3" xfId="0" applyNumberFormat="1" applyFont="1" applyFill="1" applyBorder="1"/>
    <xf numFmtId="0" fontId="2" fillId="0" borderId="7" xfId="0" applyFont="1" applyBorder="1" applyAlignment="1">
      <alignment horizontal="left"/>
    </xf>
    <xf numFmtId="0" fontId="14" fillId="0" borderId="7" xfId="0" applyFont="1" applyBorder="1" applyProtection="1">
      <protection locked="0"/>
    </xf>
    <xf numFmtId="0" fontId="14" fillId="0" borderId="0" xfId="0" applyFont="1" applyProtection="1">
      <protection locked="0"/>
    </xf>
    <xf numFmtId="0" fontId="14" fillId="0" borderId="5" xfId="0" applyFont="1" applyBorder="1" applyProtection="1">
      <protection locked="0"/>
    </xf>
    <xf numFmtId="0" fontId="23" fillId="0" borderId="14" xfId="0" applyFont="1" applyBorder="1" applyAlignment="1" applyProtection="1">
      <alignment horizontal="left"/>
      <protection locked="0"/>
    </xf>
    <xf numFmtId="0" fontId="14" fillId="0" borderId="7" xfId="0" applyFont="1" applyBorder="1" applyAlignment="1" applyProtection="1">
      <alignment horizontal="left"/>
      <protection locked="0"/>
    </xf>
    <xf numFmtId="0" fontId="3" fillId="0" borderId="0" xfId="0" applyFont="1" applyAlignment="1">
      <alignment horizontal="left"/>
    </xf>
    <xf numFmtId="0" fontId="2" fillId="0" borderId="5" xfId="0" applyFont="1" applyBorder="1" applyAlignment="1">
      <alignment horizontal="left"/>
    </xf>
    <xf numFmtId="0" fontId="22" fillId="0" borderId="13" xfId="0" applyFont="1" applyBorder="1"/>
    <xf numFmtId="0" fontId="6" fillId="0" borderId="11" xfId="0" applyFont="1" applyBorder="1" applyAlignment="1">
      <alignment horizontal="left"/>
    </xf>
    <xf numFmtId="0" fontId="6" fillId="0" borderId="7" xfId="0" applyFont="1" applyBorder="1" applyAlignment="1">
      <alignment horizontal="left"/>
    </xf>
    <xf numFmtId="0" fontId="2" fillId="0" borderId="1" xfId="0" applyFont="1" applyBorder="1" applyAlignment="1">
      <alignment horizontal="left"/>
    </xf>
    <xf numFmtId="0" fontId="22" fillId="0" borderId="15" xfId="0" applyFont="1" applyBorder="1" applyAlignment="1">
      <alignment horizontal="left"/>
    </xf>
    <xf numFmtId="0" fontId="2" fillId="0" borderId="5" xfId="0" applyFont="1" applyBorder="1"/>
    <xf numFmtId="4" fontId="3" fillId="4" borderId="12" xfId="0" applyNumberFormat="1" applyFont="1" applyFill="1" applyBorder="1"/>
    <xf numFmtId="4" fontId="4" fillId="0" borderId="7" xfId="0" applyNumberFormat="1" applyFont="1" applyBorder="1"/>
    <xf numFmtId="4" fontId="3" fillId="0" borderId="12" xfId="0" applyNumberFormat="1" applyFont="1" applyBorder="1"/>
    <xf numFmtId="4" fontId="3" fillId="0" borderId="13" xfId="0" applyNumberFormat="1" applyFont="1" applyBorder="1"/>
    <xf numFmtId="4" fontId="3" fillId="0" borderId="15" xfId="0" applyNumberFormat="1" applyFont="1" applyBorder="1"/>
    <xf numFmtId="4" fontId="2" fillId="0" borderId="6" xfId="2" applyNumberFormat="1" applyFont="1" applyBorder="1"/>
    <xf numFmtId="0" fontId="3" fillId="0" borderId="6" xfId="0" applyFont="1" applyBorder="1" applyAlignment="1">
      <alignment horizontal="center"/>
    </xf>
    <xf numFmtId="4" fontId="2" fillId="0" borderId="6" xfId="1" applyNumberFormat="1" applyFont="1" applyBorder="1"/>
    <xf numFmtId="4" fontId="2" fillId="0" borderId="2" xfId="1" applyNumberFormat="1" applyFont="1" applyBorder="1"/>
    <xf numFmtId="4" fontId="3" fillId="0" borderId="6" xfId="1" applyNumberFormat="1" applyFont="1" applyFill="1" applyBorder="1"/>
    <xf numFmtId="4" fontId="2" fillId="0" borderId="6" xfId="1" applyNumberFormat="1" applyFont="1" applyFill="1" applyBorder="1"/>
    <xf numFmtId="4" fontId="4" fillId="0" borderId="8" xfId="1" applyNumberFormat="1" applyFont="1" applyBorder="1"/>
    <xf numFmtId="0" fontId="3" fillId="0" borderId="2" xfId="0" applyFont="1" applyBorder="1" applyAlignment="1">
      <alignment horizontal="centerContinuous"/>
    </xf>
    <xf numFmtId="0" fontId="3" fillId="0" borderId="2" xfId="0" applyFont="1" applyBorder="1" applyAlignment="1">
      <alignment horizontal="center"/>
    </xf>
    <xf numFmtId="4" fontId="26" fillId="4" borderId="6" xfId="0" applyNumberFormat="1" applyFont="1" applyFill="1" applyBorder="1"/>
    <xf numFmtId="4" fontId="26" fillId="4" borderId="6" xfId="1" applyNumberFormat="1" applyFont="1" applyFill="1" applyBorder="1"/>
    <xf numFmtId="4" fontId="2" fillId="12" borderId="6" xfId="1" applyNumberFormat="1" applyFont="1" applyFill="1" applyBorder="1"/>
    <xf numFmtId="4" fontId="4" fillId="4" borderId="8" xfId="1" applyNumberFormat="1" applyFont="1" applyFill="1" applyBorder="1"/>
    <xf numFmtId="4" fontId="2" fillId="0" borderId="9" xfId="0" applyNumberFormat="1" applyFont="1" applyBorder="1"/>
    <xf numFmtId="4" fontId="2" fillId="0" borderId="11" xfId="0" applyNumberFormat="1" applyFont="1" applyBorder="1"/>
    <xf numFmtId="4" fontId="28" fillId="0" borderId="9" xfId="0" applyNumberFormat="1" applyFont="1" applyBorder="1"/>
    <xf numFmtId="4" fontId="3" fillId="0" borderId="2" xfId="0" applyNumberFormat="1" applyFont="1" applyBorder="1"/>
    <xf numFmtId="4" fontId="14" fillId="0" borderId="20" xfId="0" applyNumberFormat="1" applyFont="1" applyBorder="1"/>
    <xf numFmtId="4" fontId="28" fillId="0" borderId="1" xfId="0" applyNumberFormat="1" applyFont="1" applyBorder="1"/>
    <xf numFmtId="4" fontId="3" fillId="0" borderId="14" xfId="0" applyNumberFormat="1" applyFont="1" applyBorder="1"/>
    <xf numFmtId="4" fontId="22" fillId="4" borderId="13" xfId="0" applyNumberFormat="1" applyFont="1" applyFill="1" applyBorder="1"/>
    <xf numFmtId="4" fontId="22" fillId="4" borderId="12" xfId="0" applyNumberFormat="1" applyFont="1" applyFill="1" applyBorder="1"/>
    <xf numFmtId="4" fontId="22" fillId="4" borderId="14" xfId="0" applyNumberFormat="1" applyFont="1" applyFill="1" applyBorder="1"/>
    <xf numFmtId="4" fontId="22" fillId="0" borderId="15" xfId="0" applyNumberFormat="1" applyFont="1" applyBorder="1"/>
    <xf numFmtId="4" fontId="22" fillId="4" borderId="13" xfId="1" applyNumberFormat="1" applyFont="1" applyFill="1" applyBorder="1"/>
    <xf numFmtId="4" fontId="22" fillId="4" borderId="12" xfId="1" applyNumberFormat="1" applyFont="1" applyFill="1" applyBorder="1"/>
    <xf numFmtId="4" fontId="22" fillId="4" borderId="14" xfId="1" applyNumberFormat="1" applyFont="1" applyFill="1" applyBorder="1"/>
    <xf numFmtId="4" fontId="22" fillId="0" borderId="15" xfId="1" applyNumberFormat="1" applyFont="1" applyFill="1" applyBorder="1"/>
    <xf numFmtId="0" fontId="2" fillId="0" borderId="21" xfId="0" applyFont="1" applyBorder="1"/>
    <xf numFmtId="165" fontId="2" fillId="0" borderId="21" xfId="1" applyNumberFormat="1" applyFont="1" applyBorder="1"/>
    <xf numFmtId="165" fontId="2" fillId="4" borderId="21" xfId="1" applyNumberFormat="1" applyFont="1" applyFill="1" applyBorder="1"/>
    <xf numFmtId="4" fontId="14" fillId="0" borderId="21" xfId="0" applyNumberFormat="1" applyFont="1" applyBorder="1"/>
    <xf numFmtId="4" fontId="2" fillId="4" borderId="21" xfId="1" applyNumberFormat="1" applyFont="1" applyFill="1" applyBorder="1"/>
    <xf numFmtId="4" fontId="2" fillId="0" borderId="22" xfId="0" applyNumberFormat="1" applyFont="1" applyBorder="1"/>
    <xf numFmtId="4" fontId="2" fillId="4" borderId="22" xfId="1" applyNumberFormat="1" applyFont="1" applyFill="1" applyBorder="1"/>
    <xf numFmtId="4" fontId="2" fillId="0" borderId="21" xfId="0" applyNumberFormat="1" applyFont="1" applyBorder="1"/>
    <xf numFmtId="4" fontId="3" fillId="4" borderId="21" xfId="0" applyNumberFormat="1" applyFont="1" applyFill="1" applyBorder="1"/>
    <xf numFmtId="4" fontId="2" fillId="4" borderId="21" xfId="0" applyNumberFormat="1" applyFont="1" applyFill="1" applyBorder="1"/>
    <xf numFmtId="4" fontId="2" fillId="4" borderId="22" xfId="0" applyNumberFormat="1" applyFont="1" applyFill="1" applyBorder="1"/>
    <xf numFmtId="4" fontId="2" fillId="9" borderId="21" xfId="0" applyNumberFormat="1" applyFont="1" applyFill="1" applyBorder="1"/>
    <xf numFmtId="4" fontId="2" fillId="0" borderId="23" xfId="0" applyNumberFormat="1" applyFont="1" applyBorder="1"/>
    <xf numFmtId="0" fontId="2" fillId="0" borderId="10" xfId="0" applyFont="1" applyBorder="1"/>
    <xf numFmtId="4" fontId="14" fillId="0" borderId="7" xfId="0" applyNumberFormat="1" applyFont="1" applyBorder="1"/>
    <xf numFmtId="2" fontId="28" fillId="0" borderId="0" xfId="0" applyNumberFormat="1" applyFont="1"/>
    <xf numFmtId="0" fontId="3" fillId="0" borderId="5" xfId="0" applyFont="1" applyBorder="1" applyAlignment="1">
      <alignment horizontal="center"/>
    </xf>
    <xf numFmtId="4" fontId="31" fillId="0" borderId="7" xfId="0" applyNumberFormat="1" applyFont="1" applyBorder="1"/>
    <xf numFmtId="4" fontId="11" fillId="0" borderId="7" xfId="0" applyNumberFormat="1" applyFont="1" applyBorder="1"/>
    <xf numFmtId="4" fontId="2" fillId="12" borderId="7" xfId="0" applyNumberFormat="1" applyFont="1" applyFill="1" applyBorder="1"/>
    <xf numFmtId="4" fontId="3" fillId="0" borderId="5" xfId="0" applyNumberFormat="1" applyFont="1" applyBorder="1"/>
    <xf numFmtId="4" fontId="3" fillId="0" borderId="7" xfId="0" applyNumberFormat="1" applyFont="1" applyBorder="1"/>
    <xf numFmtId="4" fontId="14" fillId="0" borderId="10" xfId="0" applyNumberFormat="1" applyFont="1" applyBorder="1"/>
    <xf numFmtId="4" fontId="28" fillId="3" borderId="0" xfId="0" applyNumberFormat="1" applyFont="1" applyFill="1"/>
    <xf numFmtId="4" fontId="37" fillId="0" borderId="0" xfId="0" applyNumberFormat="1" applyFont="1"/>
    <xf numFmtId="2" fontId="2" fillId="0" borderId="0" xfId="0" applyNumberFormat="1" applyFont="1"/>
    <xf numFmtId="0" fontId="22" fillId="0" borderId="5" xfId="0" applyFont="1" applyBorder="1"/>
    <xf numFmtId="4" fontId="3" fillId="0" borderId="9" xfId="0" applyNumberFormat="1" applyFont="1" applyBorder="1"/>
    <xf numFmtId="0" fontId="9" fillId="12" borderId="0" xfId="0" applyFont="1" applyFill="1"/>
    <xf numFmtId="165" fontId="2" fillId="0" borderId="9" xfId="1" applyNumberFormat="1" applyFont="1" applyBorder="1"/>
    <xf numFmtId="165" fontId="2" fillId="4" borderId="9" xfId="1" applyNumberFormat="1" applyFont="1" applyFill="1" applyBorder="1"/>
    <xf numFmtId="4" fontId="14" fillId="0" borderId="9" xfId="0" applyNumberFormat="1" applyFont="1" applyBorder="1"/>
    <xf numFmtId="0" fontId="22" fillId="0" borderId="0" xfId="0" applyFont="1" applyAlignment="1">
      <alignment horizontal="left"/>
    </xf>
    <xf numFmtId="0" fontId="3" fillId="0" borderId="7" xfId="0" applyFont="1" applyBorder="1" applyAlignment="1">
      <alignment horizontal="left"/>
    </xf>
    <xf numFmtId="0" fontId="22" fillId="0" borderId="7" xfId="0" applyFont="1" applyBorder="1"/>
    <xf numFmtId="0" fontId="2" fillId="0" borderId="11" xfId="0" applyFont="1" applyBorder="1"/>
    <xf numFmtId="0" fontId="2" fillId="0" borderId="8" xfId="0" applyFont="1" applyBorder="1"/>
    <xf numFmtId="4" fontId="14" fillId="13" borderId="10" xfId="0" applyNumberFormat="1" applyFont="1" applyFill="1" applyBorder="1"/>
    <xf numFmtId="4" fontId="16" fillId="0" borderId="0" xfId="1" applyNumberFormat="1" applyFont="1" applyBorder="1"/>
    <xf numFmtId="4" fontId="16" fillId="4" borderId="0" xfId="1" applyNumberFormat="1" applyFont="1" applyFill="1" applyBorder="1"/>
    <xf numFmtId="4" fontId="17" fillId="0" borderId="3" xfId="0" applyNumberFormat="1" applyFont="1" applyBorder="1"/>
    <xf numFmtId="4" fontId="16" fillId="0" borderId="6" xfId="0" applyNumberFormat="1" applyFont="1" applyBorder="1"/>
    <xf numFmtId="4" fontId="16" fillId="4" borderId="6" xfId="1" applyNumberFormat="1" applyFont="1" applyFill="1" applyBorder="1"/>
    <xf numFmtId="4" fontId="16" fillId="0" borderId="3" xfId="0" applyNumberFormat="1" applyFont="1" applyBorder="1"/>
    <xf numFmtId="4" fontId="16" fillId="4" borderId="6" xfId="0" applyNumberFormat="1" applyFont="1" applyFill="1" applyBorder="1"/>
    <xf numFmtId="4" fontId="16" fillId="4" borderId="0" xfId="0" applyNumberFormat="1" applyFont="1" applyFill="1"/>
    <xf numFmtId="4" fontId="16" fillId="4" borderId="7" xfId="0" applyNumberFormat="1" applyFont="1" applyFill="1" applyBorder="1"/>
    <xf numFmtId="4" fontId="16" fillId="0" borderId="7" xfId="0" applyNumberFormat="1" applyFont="1" applyBorder="1"/>
    <xf numFmtId="4" fontId="22" fillId="0" borderId="0" xfId="1" applyNumberFormat="1" applyFont="1" applyBorder="1"/>
    <xf numFmtId="4" fontId="22" fillId="4" borderId="7" xfId="1" applyNumberFormat="1" applyFont="1" applyFill="1" applyBorder="1"/>
    <xf numFmtId="4" fontId="22" fillId="4" borderId="6" xfId="1" applyNumberFormat="1" applyFont="1" applyFill="1" applyBorder="1"/>
    <xf numFmtId="4" fontId="22" fillId="0" borderId="6" xfId="0" applyNumberFormat="1" applyFont="1" applyBorder="1"/>
    <xf numFmtId="0" fontId="22" fillId="0" borderId="1" xfId="0" applyFont="1" applyBorder="1"/>
    <xf numFmtId="165" fontId="3" fillId="0" borderId="1" xfId="1" applyNumberFormat="1" applyFont="1" applyBorder="1"/>
    <xf numFmtId="165" fontId="3" fillId="4" borderId="1" xfId="1" applyNumberFormat="1" applyFont="1" applyFill="1" applyBorder="1"/>
    <xf numFmtId="4" fontId="15" fillId="0" borderId="4" xfId="0" applyNumberFormat="1" applyFont="1" applyBorder="1"/>
    <xf numFmtId="4" fontId="3" fillId="4" borderId="2" xfId="1" applyNumberFormat="1" applyFont="1" applyFill="1" applyBorder="1"/>
    <xf numFmtId="0" fontId="23" fillId="0" borderId="14" xfId="0" applyFont="1" applyBorder="1"/>
    <xf numFmtId="4" fontId="3" fillId="4" borderId="12" xfId="1" applyNumberFormat="1" applyFont="1" applyFill="1" applyBorder="1"/>
    <xf numFmtId="4" fontId="3" fillId="4" borderId="13" xfId="1" applyNumberFormat="1" applyFont="1" applyFill="1" applyBorder="1"/>
    <xf numFmtId="4" fontId="3" fillId="4" borderId="13" xfId="0" applyNumberFormat="1" applyFont="1" applyFill="1" applyBorder="1"/>
    <xf numFmtId="4" fontId="3" fillId="9" borderId="12" xfId="0" applyNumberFormat="1" applyFont="1" applyFill="1" applyBorder="1"/>
    <xf numFmtId="0" fontId="22" fillId="0" borderId="17" xfId="0" applyFont="1" applyBorder="1" applyAlignment="1">
      <alignment horizontal="left"/>
    </xf>
    <xf numFmtId="165" fontId="16" fillId="0" borderId="0" xfId="1" applyNumberFormat="1" applyFont="1" applyBorder="1"/>
    <xf numFmtId="165" fontId="16" fillId="4" borderId="0" xfId="1" applyNumberFormat="1" applyFont="1" applyFill="1" applyBorder="1"/>
    <xf numFmtId="4" fontId="17" fillId="0" borderId="0" xfId="0" applyNumberFormat="1" applyFont="1"/>
    <xf numFmtId="4" fontId="16" fillId="0" borderId="0" xfId="0" applyNumberFormat="1" applyFont="1"/>
    <xf numFmtId="4" fontId="16" fillId="9" borderId="0" xfId="0" applyNumberFormat="1" applyFont="1" applyFill="1"/>
    <xf numFmtId="4" fontId="22" fillId="0" borderId="18" xfId="0" applyNumberFormat="1" applyFont="1" applyBorder="1"/>
    <xf numFmtId="4" fontId="23" fillId="0" borderId="19" xfId="0" applyNumberFormat="1" applyFont="1" applyBorder="1"/>
    <xf numFmtId="4" fontId="23" fillId="0" borderId="24" xfId="0" applyNumberFormat="1" applyFont="1" applyBorder="1"/>
    <xf numFmtId="4" fontId="22" fillId="0" borderId="10" xfId="0" applyNumberFormat="1" applyFont="1" applyBorder="1"/>
    <xf numFmtId="4" fontId="2" fillId="13" borderId="0" xfId="0" applyNumberFormat="1" applyFont="1" applyFill="1"/>
    <xf numFmtId="165" fontId="3" fillId="4" borderId="0" xfId="1" applyNumberFormat="1" applyFont="1" applyFill="1"/>
    <xf numFmtId="165" fontId="3" fillId="0" borderId="0" xfId="1" applyNumberFormat="1" applyFont="1"/>
    <xf numFmtId="4" fontId="14" fillId="4" borderId="8" xfId="0" applyNumberFormat="1" applyFont="1" applyFill="1" applyBorder="1"/>
    <xf numFmtId="4" fontId="15" fillId="14" borderId="0" xfId="0" applyNumberFormat="1" applyFont="1" applyFill="1"/>
    <xf numFmtId="4" fontId="3" fillId="14" borderId="0" xfId="0" applyNumberFormat="1" applyFont="1" applyFill="1"/>
    <xf numFmtId="0" fontId="2" fillId="4" borderId="1" xfId="0" applyFont="1" applyFill="1" applyBorder="1"/>
    <xf numFmtId="4" fontId="14" fillId="4" borderId="6" xfId="0" applyNumberFormat="1" applyFont="1" applyFill="1" applyBorder="1"/>
    <xf numFmtId="4" fontId="28" fillId="4" borderId="2" xfId="0" applyNumberFormat="1" applyFont="1" applyFill="1" applyBorder="1"/>
    <xf numFmtId="4" fontId="14" fillId="4" borderId="2" xfId="0" applyNumberFormat="1" applyFont="1" applyFill="1" applyBorder="1"/>
    <xf numFmtId="0" fontId="2" fillId="4" borderId="9" xfId="0" applyFont="1" applyFill="1" applyBorder="1"/>
    <xf numFmtId="0" fontId="2" fillId="4" borderId="22" xfId="0" applyFont="1" applyFill="1" applyBorder="1"/>
    <xf numFmtId="4" fontId="3" fillId="4" borderId="8" xfId="0" applyNumberFormat="1" applyFont="1" applyFill="1" applyBorder="1"/>
    <xf numFmtId="0" fontId="2" fillId="4" borderId="6" xfId="0" applyFont="1" applyFill="1" applyBorder="1"/>
    <xf numFmtId="2" fontId="28" fillId="0" borderId="9" xfId="0" applyNumberFormat="1" applyFont="1" applyBorder="1"/>
    <xf numFmtId="166" fontId="28" fillId="0" borderId="0" xfId="0" applyNumberFormat="1" applyFont="1"/>
    <xf numFmtId="4" fontId="48" fillId="0" borderId="0" xfId="0" applyNumberFormat="1" applyFont="1"/>
    <xf numFmtId="4" fontId="49" fillId="0" borderId="6" xfId="0" applyNumberFormat="1" applyFont="1" applyBorder="1"/>
    <xf numFmtId="4" fontId="14" fillId="13" borderId="0" xfId="0" applyNumberFormat="1" applyFont="1" applyFill="1"/>
    <xf numFmtId="4" fontId="40" fillId="4" borderId="0" xfId="0" applyNumberFormat="1" applyFont="1" applyFill="1"/>
    <xf numFmtId="4" fontId="48" fillId="4" borderId="0" xfId="0" applyNumberFormat="1" applyFont="1" applyFill="1"/>
    <xf numFmtId="0" fontId="2" fillId="4" borderId="21" xfId="0" applyFont="1" applyFill="1" applyBorder="1"/>
    <xf numFmtId="4" fontId="3" fillId="14" borderId="1" xfId="0" applyNumberFormat="1" applyFont="1" applyFill="1" applyBorder="1"/>
    <xf numFmtId="4" fontId="15" fillId="4" borderId="9" xfId="0" applyNumberFormat="1" applyFont="1" applyFill="1" applyBorder="1"/>
    <xf numFmtId="4" fontId="22" fillId="4" borderId="18" xfId="0" applyNumberFormat="1" applyFont="1" applyFill="1" applyBorder="1"/>
    <xf numFmtId="4" fontId="28" fillId="4" borderId="1" xfId="0" applyNumberFormat="1" applyFont="1" applyFill="1" applyBorder="1"/>
    <xf numFmtId="4" fontId="15" fillId="4" borderId="8" xfId="0" applyNumberFormat="1" applyFont="1" applyFill="1" applyBorder="1"/>
    <xf numFmtId="4" fontId="26" fillId="15" borderId="2" xfId="0" applyNumberFormat="1" applyFont="1" applyFill="1" applyBorder="1"/>
    <xf numFmtId="4" fontId="22" fillId="4" borderId="17" xfId="0" applyNumberFormat="1" applyFont="1" applyFill="1" applyBorder="1"/>
    <xf numFmtId="4" fontId="37" fillId="4" borderId="0" xfId="0" applyNumberFormat="1" applyFont="1" applyFill="1"/>
    <xf numFmtId="4" fontId="3" fillId="9" borderId="1" xfId="0" applyNumberFormat="1" applyFont="1" applyFill="1" applyBorder="1"/>
    <xf numFmtId="4" fontId="14" fillId="9" borderId="9" xfId="0" applyNumberFormat="1" applyFont="1" applyFill="1" applyBorder="1"/>
    <xf numFmtId="0" fontId="2" fillId="9" borderId="1" xfId="0" applyFont="1" applyFill="1" applyBorder="1"/>
    <xf numFmtId="4" fontId="15" fillId="9" borderId="9" xfId="0" applyNumberFormat="1" applyFont="1" applyFill="1" applyBorder="1"/>
    <xf numFmtId="4" fontId="22" fillId="9" borderId="18" xfId="0" applyNumberFormat="1" applyFont="1" applyFill="1" applyBorder="1"/>
    <xf numFmtId="0" fontId="28" fillId="4" borderId="0" xfId="0" applyFont="1" applyFill="1"/>
    <xf numFmtId="4" fontId="2" fillId="14" borderId="0" xfId="0" applyNumberFormat="1" applyFont="1" applyFill="1"/>
    <xf numFmtId="0" fontId="16" fillId="0" borderId="0" xfId="0" quotePrefix="1" applyFont="1"/>
    <xf numFmtId="0" fontId="2" fillId="0" borderId="3" xfId="0" applyFont="1" applyBorder="1"/>
    <xf numFmtId="4" fontId="50" fillId="4" borderId="0" xfId="0" applyNumberFormat="1" applyFont="1" applyFill="1"/>
    <xf numFmtId="4" fontId="15" fillId="14" borderId="1" xfId="0" applyNumberFormat="1" applyFont="1" applyFill="1" applyBorder="1"/>
    <xf numFmtId="0" fontId="40" fillId="4" borderId="0" xfId="0" applyFont="1" applyFill="1"/>
    <xf numFmtId="0" fontId="14" fillId="4" borderId="1" xfId="0" applyFont="1" applyFill="1" applyBorder="1"/>
    <xf numFmtId="0" fontId="14" fillId="4" borderId="9" xfId="0" applyFont="1" applyFill="1" applyBorder="1"/>
    <xf numFmtId="4" fontId="51" fillId="4" borderId="1" xfId="0" applyNumberFormat="1" applyFont="1" applyFill="1" applyBorder="1"/>
    <xf numFmtId="4" fontId="15" fillId="0" borderId="1" xfId="0" applyNumberFormat="1" applyFont="1" applyBorder="1"/>
    <xf numFmtId="0" fontId="53" fillId="0" borderId="0" xfId="0" applyFont="1"/>
    <xf numFmtId="0" fontId="53" fillId="0" borderId="6" xfId="0" applyFont="1" applyBorder="1"/>
    <xf numFmtId="0" fontId="53" fillId="0" borderId="7" xfId="0" applyFont="1" applyBorder="1"/>
    <xf numFmtId="0" fontId="54" fillId="0" borderId="1" xfId="0" applyFont="1" applyBorder="1" applyAlignment="1">
      <alignment horizontal="centerContinuous"/>
    </xf>
    <xf numFmtId="0" fontId="53" fillId="0" borderId="1" xfId="0" applyFont="1" applyBorder="1" applyAlignment="1">
      <alignment horizontal="centerContinuous"/>
    </xf>
    <xf numFmtId="0" fontId="54" fillId="0" borderId="2" xfId="0" applyFont="1" applyBorder="1" applyAlignment="1">
      <alignment horizontal="centerContinuous"/>
    </xf>
    <xf numFmtId="0" fontId="54" fillId="0" borderId="0" xfId="0" applyFont="1" applyAlignment="1">
      <alignment horizontal="centerContinuous"/>
    </xf>
    <xf numFmtId="0" fontId="54" fillId="8" borderId="0" xfId="0" applyFont="1" applyFill="1" applyAlignment="1">
      <alignment horizontal="centerContinuous"/>
    </xf>
    <xf numFmtId="0" fontId="54" fillId="0" borderId="1" xfId="0" applyFont="1" applyBorder="1"/>
    <xf numFmtId="0" fontId="54" fillId="4" borderId="1" xfId="0" applyFont="1" applyFill="1" applyBorder="1" applyAlignment="1">
      <alignment horizontal="center"/>
    </xf>
    <xf numFmtId="0" fontId="55" fillId="0" borderId="4" xfId="0" applyFont="1" applyBorder="1" applyAlignment="1">
      <alignment horizontal="center"/>
    </xf>
    <xf numFmtId="0" fontId="54" fillId="0" borderId="1" xfId="0" applyFont="1" applyBorder="1" applyAlignment="1">
      <alignment horizontal="center"/>
    </xf>
    <xf numFmtId="0" fontId="55" fillId="0" borderId="1" xfId="0" applyFont="1" applyBorder="1" applyAlignment="1">
      <alignment horizontal="center"/>
    </xf>
    <xf numFmtId="0" fontId="54" fillId="0" borderId="6" xfId="0" applyFont="1" applyBorder="1" applyAlignment="1">
      <alignment horizontal="center"/>
    </xf>
    <xf numFmtId="0" fontId="54" fillId="0" borderId="2" xfId="0" applyFont="1" applyBorder="1" applyAlignment="1">
      <alignment horizontal="center"/>
    </xf>
    <xf numFmtId="0" fontId="54" fillId="0" borderId="4" xfId="0" applyFont="1" applyBorder="1" applyAlignment="1">
      <alignment horizontal="center"/>
    </xf>
    <xf numFmtId="0" fontId="54" fillId="0" borderId="12" xfId="0" applyFont="1" applyBorder="1" applyAlignment="1">
      <alignment horizontal="center"/>
    </xf>
    <xf numFmtId="0" fontId="54" fillId="0" borderId="9" xfId="0" applyFont="1" applyBorder="1" applyAlignment="1">
      <alignment horizontal="center"/>
    </xf>
    <xf numFmtId="0" fontId="54" fillId="0" borderId="13" xfId="0" applyFont="1" applyBorder="1" applyAlignment="1">
      <alignment horizontal="center"/>
    </xf>
    <xf numFmtId="0" fontId="54" fillId="0" borderId="14" xfId="0" applyFont="1" applyBorder="1" applyAlignment="1">
      <alignment horizontal="center"/>
    </xf>
    <xf numFmtId="0" fontId="56" fillId="0" borderId="1" xfId="0" applyFont="1" applyBorder="1" applyAlignment="1">
      <alignment horizontal="center"/>
    </xf>
    <xf numFmtId="165" fontId="53" fillId="4" borderId="1" xfId="1" applyNumberFormat="1" applyFont="1" applyFill="1" applyBorder="1"/>
    <xf numFmtId="165" fontId="53" fillId="0" borderId="1" xfId="1" applyNumberFormat="1" applyFont="1" applyBorder="1"/>
    <xf numFmtId="165" fontId="57" fillId="0" borderId="4" xfId="1" applyNumberFormat="1" applyFont="1" applyBorder="1"/>
    <xf numFmtId="4" fontId="54" fillId="4" borderId="1" xfId="0" applyNumberFormat="1" applyFont="1" applyFill="1" applyBorder="1"/>
    <xf numFmtId="4" fontId="54" fillId="0" borderId="2" xfId="0" applyNumberFormat="1" applyFont="1" applyBorder="1"/>
    <xf numFmtId="4" fontId="54" fillId="0" borderId="4" xfId="0" applyNumberFormat="1" applyFont="1" applyBorder="1"/>
    <xf numFmtId="3" fontId="54" fillId="4" borderId="1" xfId="0" applyNumberFormat="1" applyFont="1" applyFill="1" applyBorder="1"/>
    <xf numFmtId="3" fontId="54" fillId="9" borderId="1" xfId="0" applyNumberFormat="1" applyFont="1" applyFill="1" applyBorder="1"/>
    <xf numFmtId="3" fontId="54" fillId="0" borderId="4" xfId="0" applyNumberFormat="1" applyFont="1" applyBorder="1"/>
    <xf numFmtId="0" fontId="53" fillId="0" borderId="1" xfId="0" applyFont="1" applyBorder="1"/>
    <xf numFmtId="0" fontId="54" fillId="0" borderId="0" xfId="0" applyFont="1"/>
    <xf numFmtId="165" fontId="53" fillId="4" borderId="0" xfId="1" applyNumberFormat="1" applyFont="1" applyFill="1"/>
    <xf numFmtId="165" fontId="53" fillId="0" borderId="0" xfId="1" applyNumberFormat="1" applyFont="1"/>
    <xf numFmtId="165" fontId="57" fillId="0" borderId="3" xfId="1" applyNumberFormat="1" applyFont="1" applyBorder="1"/>
    <xf numFmtId="4" fontId="53" fillId="4" borderId="0" xfId="0" applyNumberFormat="1" applyFont="1" applyFill="1"/>
    <xf numFmtId="4" fontId="57" fillId="4" borderId="0" xfId="0" applyNumberFormat="1" applyFont="1" applyFill="1"/>
    <xf numFmtId="4" fontId="53" fillId="0" borderId="6" xfId="0" applyNumberFormat="1" applyFont="1" applyBorder="1"/>
    <xf numFmtId="4" fontId="53" fillId="4" borderId="6" xfId="0" applyNumberFormat="1" applyFont="1" applyFill="1" applyBorder="1"/>
    <xf numFmtId="4" fontId="53" fillId="0" borderId="3" xfId="0" applyNumberFormat="1" applyFont="1" applyBorder="1"/>
    <xf numFmtId="4" fontId="53" fillId="4" borderId="7" xfId="0" applyNumberFormat="1" applyFont="1" applyFill="1" applyBorder="1"/>
    <xf numFmtId="4" fontId="58" fillId="4" borderId="6" xfId="0" applyNumberFormat="1" applyFont="1" applyFill="1" applyBorder="1"/>
    <xf numFmtId="4" fontId="58" fillId="4" borderId="0" xfId="0" applyNumberFormat="1" applyFont="1" applyFill="1"/>
    <xf numFmtId="4" fontId="58" fillId="9" borderId="0" xfId="0" applyNumberFormat="1" applyFont="1" applyFill="1"/>
    <xf numFmtId="4" fontId="58" fillId="4" borderId="7" xfId="0" applyNumberFormat="1" applyFont="1" applyFill="1" applyBorder="1"/>
    <xf numFmtId="3" fontId="53" fillId="4" borderId="0" xfId="0" applyNumberFormat="1" applyFont="1" applyFill="1"/>
    <xf numFmtId="3" fontId="53" fillId="9" borderId="0" xfId="0" applyNumberFormat="1" applyFont="1" applyFill="1"/>
    <xf numFmtId="3" fontId="53" fillId="0" borderId="0" xfId="0" applyNumberFormat="1" applyFont="1"/>
    <xf numFmtId="3" fontId="53" fillId="0" borderId="3" xfId="0" applyNumberFormat="1" applyFont="1" applyBorder="1"/>
    <xf numFmtId="4" fontId="57" fillId="0" borderId="6" xfId="1" applyNumberFormat="1" applyFont="1" applyBorder="1"/>
    <xf numFmtId="4" fontId="54" fillId="4" borderId="6" xfId="0" applyNumberFormat="1" applyFont="1" applyFill="1" applyBorder="1" applyAlignment="1">
      <alignment horizontal="right"/>
    </xf>
    <xf numFmtId="4" fontId="57" fillId="0" borderId="3" xfId="1" applyNumberFormat="1" applyFont="1" applyBorder="1"/>
    <xf numFmtId="4" fontId="54" fillId="4" borderId="0" xfId="0" applyNumberFormat="1" applyFont="1" applyFill="1"/>
    <xf numFmtId="3" fontId="58" fillId="4" borderId="0" xfId="0" applyNumberFormat="1" applyFont="1" applyFill="1"/>
    <xf numFmtId="3" fontId="54" fillId="4" borderId="0" xfId="0" applyNumberFormat="1" applyFont="1" applyFill="1"/>
    <xf numFmtId="3" fontId="58" fillId="9" borderId="0" xfId="0" applyNumberFormat="1" applyFont="1" applyFill="1"/>
    <xf numFmtId="3" fontId="58" fillId="0" borderId="0" xfId="0" applyNumberFormat="1" applyFont="1"/>
    <xf numFmtId="2" fontId="58" fillId="0" borderId="0" xfId="0" applyNumberFormat="1" applyFont="1"/>
    <xf numFmtId="165" fontId="53" fillId="4" borderId="0" xfId="1" applyNumberFormat="1" applyFont="1" applyFill="1" applyBorder="1"/>
    <xf numFmtId="4" fontId="57" fillId="4" borderId="0" xfId="1" applyNumberFormat="1" applyFont="1" applyFill="1" applyBorder="1"/>
    <xf numFmtId="4" fontId="55" fillId="4" borderId="0" xfId="1" applyNumberFormat="1" applyFont="1" applyFill="1" applyBorder="1"/>
    <xf numFmtId="0" fontId="53" fillId="4" borderId="0" xfId="0" applyFont="1" applyFill="1"/>
    <xf numFmtId="4" fontId="55" fillId="4" borderId="0" xfId="0" applyNumberFormat="1" applyFont="1" applyFill="1"/>
    <xf numFmtId="0" fontId="53" fillId="9" borderId="0" xfId="0" applyFont="1" applyFill="1"/>
    <xf numFmtId="3" fontId="55" fillId="4" borderId="0" xfId="0" applyNumberFormat="1" applyFont="1" applyFill="1"/>
    <xf numFmtId="3" fontId="55" fillId="14" borderId="0" xfId="0" applyNumberFormat="1" applyFont="1" applyFill="1"/>
    <xf numFmtId="4" fontId="58" fillId="0" borderId="0" xfId="0" applyNumberFormat="1" applyFont="1"/>
    <xf numFmtId="4" fontId="54" fillId="4" borderId="6" xfId="0" applyNumberFormat="1" applyFont="1" applyFill="1" applyBorder="1"/>
    <xf numFmtId="4" fontId="55" fillId="4" borderId="6" xfId="0" applyNumberFormat="1" applyFont="1" applyFill="1" applyBorder="1"/>
    <xf numFmtId="4" fontId="54" fillId="11" borderId="0" xfId="0" applyNumberFormat="1" applyFont="1" applyFill="1"/>
    <xf numFmtId="4" fontId="55" fillId="11" borderId="0" xfId="0" applyNumberFormat="1" applyFont="1" applyFill="1"/>
    <xf numFmtId="3" fontId="55" fillId="11" borderId="0" xfId="0" applyNumberFormat="1" applyFont="1" applyFill="1"/>
    <xf numFmtId="0" fontId="58" fillId="0" borderId="0" xfId="0" applyFont="1"/>
    <xf numFmtId="0" fontId="57" fillId="4" borderId="0" xfId="0" applyFont="1" applyFill="1"/>
    <xf numFmtId="4" fontId="59" fillId="4" borderId="0" xfId="0" applyNumberFormat="1" applyFont="1" applyFill="1"/>
    <xf numFmtId="4" fontId="55" fillId="4" borderId="7" xfId="0" applyNumberFormat="1" applyFont="1" applyFill="1" applyBorder="1"/>
    <xf numFmtId="4" fontId="55" fillId="9" borderId="0" xfId="0" applyNumberFormat="1" applyFont="1" applyFill="1"/>
    <xf numFmtId="4" fontId="54" fillId="7" borderId="0" xfId="0" applyNumberFormat="1" applyFont="1" applyFill="1"/>
    <xf numFmtId="4" fontId="54" fillId="3" borderId="0" xfId="0" applyNumberFormat="1" applyFont="1" applyFill="1"/>
    <xf numFmtId="4" fontId="57" fillId="4" borderId="7" xfId="0" applyNumberFormat="1" applyFont="1" applyFill="1" applyBorder="1"/>
    <xf numFmtId="0" fontId="54" fillId="4" borderId="0" xfId="0" applyFont="1" applyFill="1"/>
    <xf numFmtId="2" fontId="54" fillId="4" borderId="0" xfId="0" applyNumberFormat="1" applyFont="1" applyFill="1"/>
    <xf numFmtId="2" fontId="53" fillId="4" borderId="0" xfId="0" applyNumberFormat="1" applyFont="1" applyFill="1"/>
    <xf numFmtId="3" fontId="57" fillId="4" borderId="0" xfId="0" applyNumberFormat="1" applyFont="1" applyFill="1"/>
    <xf numFmtId="4" fontId="54" fillId="6" borderId="0" xfId="0" applyNumberFormat="1" applyFont="1" applyFill="1"/>
    <xf numFmtId="4" fontId="54" fillId="5" borderId="0" xfId="0" applyNumberFormat="1" applyFont="1" applyFill="1"/>
    <xf numFmtId="4" fontId="60" fillId="4" borderId="0" xfId="0" applyNumberFormat="1" applyFont="1" applyFill="1"/>
    <xf numFmtId="3" fontId="60" fillId="0" borderId="0" xfId="0" applyNumberFormat="1" applyFont="1"/>
    <xf numFmtId="4" fontId="54" fillId="9" borderId="0" xfId="0" applyNumberFormat="1" applyFont="1" applyFill="1"/>
    <xf numFmtId="4" fontId="55" fillId="3" borderId="0" xfId="0" applyNumberFormat="1" applyFont="1" applyFill="1"/>
    <xf numFmtId="3" fontId="58" fillId="3" borderId="0" xfId="0" applyNumberFormat="1" applyFont="1" applyFill="1"/>
    <xf numFmtId="3" fontId="57" fillId="3" borderId="0" xfId="0" applyNumberFormat="1" applyFont="1" applyFill="1"/>
    <xf numFmtId="3" fontId="57" fillId="0" borderId="0" xfId="0" applyNumberFormat="1" applyFont="1"/>
    <xf numFmtId="4" fontId="54" fillId="4" borderId="7" xfId="0" applyNumberFormat="1" applyFont="1" applyFill="1" applyBorder="1"/>
    <xf numFmtId="4" fontId="53" fillId="4" borderId="0" xfId="0" applyNumberFormat="1" applyFont="1" applyFill="1" applyAlignment="1">
      <alignment horizontal="center"/>
    </xf>
    <xf numFmtId="4" fontId="57" fillId="0" borderId="0" xfId="0" applyNumberFormat="1" applyFont="1"/>
    <xf numFmtId="4" fontId="53" fillId="9" borderId="0" xfId="0" applyNumberFormat="1" applyFont="1" applyFill="1"/>
    <xf numFmtId="4" fontId="54" fillId="11" borderId="7" xfId="0" applyNumberFormat="1" applyFont="1" applyFill="1" applyBorder="1"/>
    <xf numFmtId="4" fontId="61" fillId="4" borderId="0" xfId="0" applyNumberFormat="1" applyFont="1" applyFill="1"/>
    <xf numFmtId="165" fontId="53" fillId="0" borderId="0" xfId="1" applyNumberFormat="1" applyFont="1" applyBorder="1"/>
    <xf numFmtId="165" fontId="57" fillId="0" borderId="0" xfId="1" applyNumberFormat="1" applyFont="1" applyBorder="1"/>
    <xf numFmtId="4" fontId="57" fillId="0" borderId="0" xfId="1" applyNumberFormat="1" applyFont="1" applyBorder="1"/>
    <xf numFmtId="4" fontId="53" fillId="0" borderId="0" xfId="0" applyNumberFormat="1" applyFont="1"/>
    <xf numFmtId="3" fontId="54" fillId="14" borderId="0" xfId="0" applyNumberFormat="1" applyFont="1" applyFill="1"/>
    <xf numFmtId="3" fontId="55" fillId="0" borderId="0" xfId="0" applyNumberFormat="1" applyFont="1"/>
    <xf numFmtId="4" fontId="54" fillId="0" borderId="1" xfId="0" applyNumberFormat="1" applyFont="1" applyBorder="1" applyAlignment="1">
      <alignment horizontal="center"/>
    </xf>
    <xf numFmtId="3" fontId="54" fillId="0" borderId="1" xfId="0" applyNumberFormat="1" applyFont="1" applyBorder="1" applyAlignment="1">
      <alignment horizontal="center"/>
    </xf>
    <xf numFmtId="3" fontId="54" fillId="0" borderId="4" xfId="0" applyNumberFormat="1" applyFont="1" applyBorder="1" applyAlignment="1">
      <alignment horizontal="center"/>
    </xf>
    <xf numFmtId="4" fontId="54" fillId="0" borderId="4" xfId="0" applyNumberFormat="1" applyFont="1" applyBorder="1" applyAlignment="1">
      <alignment horizontal="center"/>
    </xf>
    <xf numFmtId="0" fontId="57" fillId="0" borderId="0" xfId="0" applyFont="1"/>
    <xf numFmtId="4" fontId="55" fillId="15" borderId="0" xfId="0" applyNumberFormat="1" applyFont="1" applyFill="1"/>
    <xf numFmtId="0" fontId="63" fillId="0" borderId="0" xfId="0" applyFont="1"/>
    <xf numFmtId="0" fontId="63" fillId="0" borderId="6" xfId="0" applyFont="1" applyBorder="1"/>
    <xf numFmtId="3" fontId="63" fillId="0" borderId="7" xfId="0" applyNumberFormat="1" applyFont="1" applyBorder="1"/>
    <xf numFmtId="4" fontId="63" fillId="0" borderId="7" xfId="0" applyNumberFormat="1" applyFont="1" applyBorder="1"/>
    <xf numFmtId="14" fontId="53" fillId="0" borderId="6" xfId="0" applyNumberFormat="1" applyFont="1" applyBorder="1"/>
    <xf numFmtId="4" fontId="57" fillId="0" borderId="3" xfId="0" applyNumberFormat="1" applyFont="1" applyBorder="1"/>
    <xf numFmtId="14" fontId="53" fillId="0" borderId="0" xfId="0" applyNumberFormat="1" applyFont="1"/>
    <xf numFmtId="0" fontId="54" fillId="0" borderId="0" xfId="0" applyFont="1" applyAlignment="1">
      <alignment horizontal="center"/>
    </xf>
    <xf numFmtId="0" fontId="56" fillId="0" borderId="0" xfId="0" applyFont="1"/>
    <xf numFmtId="0" fontId="57" fillId="0" borderId="3" xfId="0" applyFont="1" applyBorder="1"/>
    <xf numFmtId="3" fontId="54" fillId="4" borderId="2" xfId="0" applyNumberFormat="1" applyFont="1" applyFill="1" applyBorder="1"/>
    <xf numFmtId="3" fontId="54" fillId="0" borderId="13" xfId="0" applyNumberFormat="1" applyFont="1" applyBorder="1"/>
    <xf numFmtId="3" fontId="54" fillId="0" borderId="15" xfId="0" applyNumberFormat="1" applyFont="1" applyBorder="1"/>
    <xf numFmtId="3" fontId="54" fillId="0" borderId="1" xfId="0" applyNumberFormat="1" applyFont="1" applyBorder="1"/>
    <xf numFmtId="3" fontId="53" fillId="0" borderId="6" xfId="1" applyNumberFormat="1" applyFont="1" applyBorder="1"/>
    <xf numFmtId="3" fontId="53" fillId="4" borderId="6" xfId="0" applyNumberFormat="1" applyFont="1" applyFill="1" applyBorder="1"/>
    <xf numFmtId="3" fontId="53" fillId="0" borderId="3" xfId="1" applyNumberFormat="1" applyFont="1" applyBorder="1"/>
    <xf numFmtId="3" fontId="53" fillId="4" borderId="7" xfId="0" applyNumberFormat="1" applyFont="1" applyFill="1" applyBorder="1"/>
    <xf numFmtId="3" fontId="55" fillId="4" borderId="6" xfId="0" applyNumberFormat="1" applyFont="1" applyFill="1" applyBorder="1"/>
    <xf numFmtId="3" fontId="64" fillId="0" borderId="0" xfId="0" applyNumberFormat="1" applyFont="1"/>
    <xf numFmtId="4" fontId="62" fillId="0" borderId="0" xfId="0" applyNumberFormat="1" applyFont="1"/>
    <xf numFmtId="4" fontId="64" fillId="0" borderId="0" xfId="0" applyNumberFormat="1" applyFont="1"/>
    <xf numFmtId="3" fontId="54" fillId="4" borderId="6" xfId="0" applyNumberFormat="1" applyFont="1" applyFill="1" applyBorder="1"/>
    <xf numFmtId="3" fontId="58" fillId="4" borderId="6" xfId="0" applyNumberFormat="1" applyFont="1" applyFill="1" applyBorder="1"/>
    <xf numFmtId="3" fontId="55" fillId="9" borderId="0" xfId="0" applyNumberFormat="1" applyFont="1" applyFill="1"/>
    <xf numFmtId="3" fontId="61" fillId="4" borderId="0" xfId="0" applyNumberFormat="1" applyFont="1" applyFill="1"/>
    <xf numFmtId="3" fontId="62" fillId="4" borderId="0" xfId="0" applyNumberFormat="1" applyFont="1" applyFill="1"/>
    <xf numFmtId="3" fontId="58" fillId="4" borderId="7" xfId="0" applyNumberFormat="1" applyFont="1" applyFill="1" applyBorder="1"/>
    <xf numFmtId="3" fontId="64" fillId="4" borderId="0" xfId="0" applyNumberFormat="1" applyFont="1" applyFill="1"/>
    <xf numFmtId="3" fontId="61" fillId="4" borderId="6" xfId="0" applyNumberFormat="1" applyFont="1" applyFill="1" applyBorder="1"/>
    <xf numFmtId="3" fontId="55" fillId="5" borderId="0" xfId="0" applyNumberFormat="1" applyFont="1" applyFill="1"/>
    <xf numFmtId="3" fontId="55" fillId="6" borderId="0" xfId="0" applyNumberFormat="1" applyFont="1" applyFill="1"/>
    <xf numFmtId="3" fontId="54" fillId="4" borderId="0" xfId="1" applyNumberFormat="1" applyFont="1" applyFill="1" applyBorder="1"/>
    <xf numFmtId="3" fontId="53" fillId="4" borderId="0" xfId="1" applyNumberFormat="1" applyFont="1" applyFill="1" applyBorder="1"/>
    <xf numFmtId="3" fontId="61" fillId="4" borderId="6" xfId="1" applyNumberFormat="1" applyFont="1" applyFill="1" applyBorder="1"/>
    <xf numFmtId="3" fontId="61" fillId="4" borderId="0" xfId="1" applyNumberFormat="1" applyFont="1" applyFill="1" applyBorder="1"/>
    <xf numFmtId="3" fontId="55" fillId="4" borderId="0" xfId="1" applyNumberFormat="1" applyFont="1" applyFill="1" applyBorder="1"/>
    <xf numFmtId="3" fontId="62" fillId="4" borderId="0" xfId="1" applyNumberFormat="1" applyFont="1" applyFill="1" applyBorder="1"/>
    <xf numFmtId="3" fontId="55" fillId="9" borderId="0" xfId="1" applyNumberFormat="1" applyFont="1" applyFill="1" applyBorder="1"/>
    <xf numFmtId="3" fontId="55" fillId="4" borderId="0" xfId="1" applyNumberFormat="1" applyFont="1" applyFill="1" applyBorder="1" applyAlignment="1"/>
    <xf numFmtId="3" fontId="55" fillId="4" borderId="0" xfId="1" applyNumberFormat="1" applyFont="1" applyFill="1"/>
    <xf numFmtId="3" fontId="55" fillId="9" borderId="0" xfId="1" applyNumberFormat="1" applyFont="1" applyFill="1"/>
    <xf numFmtId="3" fontId="62" fillId="0" borderId="0" xfId="0" applyNumberFormat="1" applyFont="1"/>
    <xf numFmtId="3" fontId="57" fillId="4" borderId="0" xfId="1" applyNumberFormat="1" applyFont="1" applyFill="1" applyBorder="1" applyAlignment="1"/>
    <xf numFmtId="3" fontId="55" fillId="5" borderId="0" xfId="1" applyNumberFormat="1" applyFont="1" applyFill="1" applyBorder="1" applyAlignment="1"/>
    <xf numFmtId="0" fontId="53" fillId="0" borderId="0" xfId="0" applyFont="1" applyAlignment="1">
      <alignment vertical="center"/>
    </xf>
    <xf numFmtId="3" fontId="57" fillId="4" borderId="0" xfId="1" applyNumberFormat="1" applyFont="1" applyFill="1" applyBorder="1"/>
    <xf numFmtId="3" fontId="65" fillId="4" borderId="6" xfId="0" applyNumberFormat="1" applyFont="1" applyFill="1" applyBorder="1"/>
    <xf numFmtId="3" fontId="65" fillId="4" borderId="0" xfId="0" applyNumberFormat="1" applyFont="1" applyFill="1"/>
    <xf numFmtId="3" fontId="55" fillId="6" borderId="0" xfId="1" applyNumberFormat="1" applyFont="1" applyFill="1" applyBorder="1"/>
    <xf numFmtId="3" fontId="55" fillId="5" borderId="0" xfId="1" applyNumberFormat="1" applyFont="1" applyFill="1" applyBorder="1"/>
    <xf numFmtId="3" fontId="55" fillId="3" borderId="0" xfId="1" applyNumberFormat="1" applyFont="1" applyFill="1" applyBorder="1"/>
    <xf numFmtId="3" fontId="58" fillId="4" borderId="0" xfId="1" applyNumberFormat="1" applyFont="1" applyFill="1" applyBorder="1"/>
    <xf numFmtId="3" fontId="54" fillId="9" borderId="0" xfId="0" applyNumberFormat="1" applyFont="1" applyFill="1"/>
    <xf numFmtId="3" fontId="53" fillId="0" borderId="0" xfId="1" applyNumberFormat="1" applyFont="1" applyBorder="1"/>
    <xf numFmtId="0" fontId="54" fillId="0" borderId="5" xfId="0" applyFont="1" applyBorder="1" applyAlignment="1">
      <alignment horizontal="center"/>
    </xf>
    <xf numFmtId="4" fontId="53" fillId="4" borderId="0" xfId="1" applyNumberFormat="1" applyFont="1" applyFill="1" applyBorder="1"/>
    <xf numFmtId="4" fontId="53" fillId="4" borderId="6" xfId="1" applyNumberFormat="1" applyFont="1" applyFill="1" applyBorder="1"/>
    <xf numFmtId="4" fontId="53" fillId="0" borderId="7" xfId="0" applyNumberFormat="1" applyFont="1" applyBorder="1"/>
    <xf numFmtId="0" fontId="66" fillId="12" borderId="0" xfId="0" applyFont="1" applyFill="1"/>
    <xf numFmtId="165" fontId="53" fillId="12" borderId="0" xfId="1" applyNumberFormat="1" applyFont="1" applyFill="1" applyBorder="1"/>
    <xf numFmtId="4" fontId="57" fillId="12" borderId="0" xfId="0" applyNumberFormat="1" applyFont="1" applyFill="1"/>
    <xf numFmtId="4" fontId="53" fillId="12" borderId="0" xfId="1" applyNumberFormat="1" applyFont="1" applyFill="1" applyBorder="1"/>
    <xf numFmtId="4" fontId="53" fillId="12" borderId="6" xfId="0" applyNumberFormat="1" applyFont="1" applyFill="1" applyBorder="1"/>
    <xf numFmtId="4" fontId="53" fillId="12" borderId="6" xfId="1" applyNumberFormat="1" applyFont="1" applyFill="1" applyBorder="1"/>
    <xf numFmtId="4" fontId="53" fillId="12" borderId="0" xfId="0" applyNumberFormat="1" applyFont="1" applyFill="1"/>
    <xf numFmtId="4" fontId="54" fillId="12" borderId="0" xfId="0" applyNumberFormat="1" applyFont="1" applyFill="1"/>
    <xf numFmtId="0" fontId="53" fillId="12" borderId="0" xfId="0" applyFont="1" applyFill="1"/>
    <xf numFmtId="4" fontId="53" fillId="12" borderId="3" xfId="0" applyNumberFormat="1" applyFont="1" applyFill="1" applyBorder="1"/>
    <xf numFmtId="4" fontId="53" fillId="12" borderId="7" xfId="0" applyNumberFormat="1" applyFont="1" applyFill="1" applyBorder="1"/>
    <xf numFmtId="0" fontId="54" fillId="0" borderId="7" xfId="0" applyFont="1" applyBorder="1" applyAlignment="1">
      <alignment horizontal="left"/>
    </xf>
    <xf numFmtId="0" fontId="53" fillId="4" borderId="6" xfId="0" applyFont="1" applyFill="1" applyBorder="1"/>
    <xf numFmtId="0" fontId="53" fillId="4" borderId="1" xfId="0" applyFont="1" applyFill="1" applyBorder="1"/>
    <xf numFmtId="4" fontId="53" fillId="0" borderId="4" xfId="0" applyNumberFormat="1" applyFont="1" applyBorder="1"/>
    <xf numFmtId="0" fontId="53" fillId="0" borderId="9" xfId="0" applyFont="1" applyBorder="1"/>
    <xf numFmtId="4" fontId="53" fillId="4" borderId="9" xfId="1" applyNumberFormat="1" applyFont="1" applyFill="1" applyBorder="1"/>
    <xf numFmtId="4" fontId="53" fillId="0" borderId="8" xfId="0" applyNumberFormat="1" applyFont="1" applyBorder="1"/>
    <xf numFmtId="4" fontId="53" fillId="4" borderId="8" xfId="1" applyNumberFormat="1" applyFont="1" applyFill="1" applyBorder="1"/>
    <xf numFmtId="4" fontId="53" fillId="0" borderId="9" xfId="0" applyNumberFormat="1" applyFont="1" applyBorder="1"/>
    <xf numFmtId="4" fontId="54" fillId="4" borderId="9" xfId="0" applyNumberFormat="1" applyFont="1" applyFill="1" applyBorder="1"/>
    <xf numFmtId="4" fontId="53" fillId="4" borderId="9" xfId="0" applyNumberFormat="1" applyFont="1" applyFill="1" applyBorder="1"/>
    <xf numFmtId="4" fontId="53" fillId="4" borderId="8" xfId="0" applyNumberFormat="1" applyFont="1" applyFill="1" applyBorder="1"/>
    <xf numFmtId="4" fontId="53" fillId="9" borderId="9" xfId="0" applyNumberFormat="1" applyFont="1" applyFill="1" applyBorder="1"/>
    <xf numFmtId="4" fontId="53" fillId="0" borderId="10" xfId="0" applyNumberFormat="1" applyFont="1" applyBorder="1"/>
    <xf numFmtId="4" fontId="57" fillId="4" borderId="8" xfId="0" applyNumberFormat="1" applyFont="1" applyFill="1" applyBorder="1"/>
    <xf numFmtId="4" fontId="57" fillId="4" borderId="9" xfId="0" applyNumberFormat="1" applyFont="1" applyFill="1" applyBorder="1"/>
    <xf numFmtId="4" fontId="57" fillId="9" borderId="9" xfId="0" applyNumberFormat="1" applyFont="1" applyFill="1" applyBorder="1"/>
    <xf numFmtId="0" fontId="53" fillId="4" borderId="9" xfId="0" applyFont="1" applyFill="1" applyBorder="1"/>
    <xf numFmtId="4" fontId="55" fillId="4" borderId="9" xfId="0" applyNumberFormat="1" applyFont="1" applyFill="1" applyBorder="1"/>
    <xf numFmtId="0" fontId="53" fillId="4" borderId="11" xfId="0" applyFont="1" applyFill="1" applyBorder="1"/>
    <xf numFmtId="4" fontId="57" fillId="0" borderId="9" xfId="0" applyNumberFormat="1" applyFont="1" applyBorder="1"/>
    <xf numFmtId="4" fontId="57" fillId="4" borderId="6" xfId="0" applyNumberFormat="1" applyFont="1" applyFill="1" applyBorder="1"/>
    <xf numFmtId="4" fontId="57" fillId="9" borderId="0" xfId="0" applyNumberFormat="1" applyFont="1" applyFill="1"/>
    <xf numFmtId="0" fontId="53" fillId="4" borderId="7" xfId="0" applyFont="1" applyFill="1" applyBorder="1"/>
    <xf numFmtId="0" fontId="53" fillId="0" borderId="1" xfId="0" applyFont="1" applyBorder="1" applyAlignment="1">
      <alignment horizontal="left"/>
    </xf>
    <xf numFmtId="4" fontId="53" fillId="4" borderId="1" xfId="1" applyNumberFormat="1" applyFont="1" applyFill="1" applyBorder="1"/>
    <xf numFmtId="4" fontId="53" fillId="0" borderId="2" xfId="0" applyNumberFormat="1" applyFont="1" applyBorder="1"/>
    <xf numFmtId="4" fontId="53" fillId="4" borderId="2" xfId="1" applyNumberFormat="1" applyFont="1" applyFill="1" applyBorder="1"/>
    <xf numFmtId="4" fontId="53" fillId="0" borderId="1" xfId="0" applyNumberFormat="1" applyFont="1" applyBorder="1"/>
    <xf numFmtId="4" fontId="53" fillId="4" borderId="1" xfId="0" applyNumberFormat="1" applyFont="1" applyFill="1" applyBorder="1"/>
    <xf numFmtId="4" fontId="53" fillId="4" borderId="2" xfId="0" applyNumberFormat="1" applyFont="1" applyFill="1" applyBorder="1"/>
    <xf numFmtId="4" fontId="53" fillId="9" borderId="1" xfId="0" applyNumberFormat="1" applyFont="1" applyFill="1" applyBorder="1"/>
    <xf numFmtId="4" fontId="54" fillId="4" borderId="2" xfId="0" applyNumberFormat="1" applyFont="1" applyFill="1" applyBorder="1"/>
    <xf numFmtId="0" fontId="53" fillId="9" borderId="1" xfId="0" applyFont="1" applyFill="1" applyBorder="1"/>
    <xf numFmtId="0" fontId="53" fillId="4" borderId="5" xfId="0" applyFont="1" applyFill="1" applyBorder="1"/>
    <xf numFmtId="0" fontId="53" fillId="0" borderId="5" xfId="0" applyFont="1" applyBorder="1"/>
    <xf numFmtId="0" fontId="67" fillId="0" borderId="5" xfId="0" applyFont="1" applyBorder="1"/>
    <xf numFmtId="165" fontId="54" fillId="0" borderId="0" xfId="1" applyNumberFormat="1" applyFont="1"/>
    <xf numFmtId="165" fontId="54" fillId="4" borderId="0" xfId="1" applyNumberFormat="1" applyFont="1" applyFill="1"/>
    <xf numFmtId="4" fontId="55" fillId="0" borderId="0" xfId="0" applyNumberFormat="1" applyFont="1"/>
    <xf numFmtId="4" fontId="54" fillId="4" borderId="12" xfId="1" applyNumberFormat="1" applyFont="1" applyFill="1" applyBorder="1"/>
    <xf numFmtId="4" fontId="54" fillId="0" borderId="13" xfId="0" applyNumberFormat="1" applyFont="1" applyBorder="1"/>
    <xf numFmtId="4" fontId="54" fillId="4" borderId="13" xfId="1" applyNumberFormat="1" applyFont="1" applyFill="1" applyBorder="1"/>
    <xf numFmtId="4" fontId="54" fillId="0" borderId="12" xfId="0" applyNumberFormat="1" applyFont="1" applyBorder="1"/>
    <xf numFmtId="4" fontId="54" fillId="4" borderId="12" xfId="0" applyNumberFormat="1" applyFont="1" applyFill="1" applyBorder="1"/>
    <xf numFmtId="4" fontId="54" fillId="4" borderId="13" xfId="0" applyNumberFormat="1" applyFont="1" applyFill="1" applyBorder="1"/>
    <xf numFmtId="4" fontId="54" fillId="9" borderId="12" xfId="0" applyNumberFormat="1" applyFont="1" applyFill="1" applyBorder="1"/>
    <xf numFmtId="4" fontId="54" fillId="0" borderId="15" xfId="0" applyNumberFormat="1" applyFont="1" applyBorder="1"/>
    <xf numFmtId="4" fontId="54" fillId="0" borderId="5" xfId="0" applyNumberFormat="1" applyFont="1" applyBorder="1"/>
    <xf numFmtId="0" fontId="67" fillId="0" borderId="7" xfId="0" applyFont="1" applyBorder="1"/>
    <xf numFmtId="4" fontId="53" fillId="4" borderId="0" xfId="1" applyNumberFormat="1" applyFont="1" applyFill="1"/>
    <xf numFmtId="4" fontId="57" fillId="0" borderId="1" xfId="0" applyNumberFormat="1" applyFont="1" applyBorder="1"/>
    <xf numFmtId="4" fontId="53" fillId="0" borderId="11" xfId="0" applyNumberFormat="1" applyFont="1" applyBorder="1"/>
    <xf numFmtId="4" fontId="55" fillId="9" borderId="9" xfId="0" applyNumberFormat="1" applyFont="1" applyFill="1" applyBorder="1"/>
    <xf numFmtId="4" fontId="57" fillId="0" borderId="10" xfId="0" applyNumberFormat="1" applyFont="1" applyBorder="1"/>
    <xf numFmtId="4" fontId="55" fillId="14" borderId="0" xfId="0" applyNumberFormat="1" applyFont="1" applyFill="1"/>
    <xf numFmtId="4" fontId="54" fillId="14" borderId="0" xfId="0" applyNumberFormat="1" applyFont="1" applyFill="1"/>
    <xf numFmtId="4" fontId="53" fillId="14" borderId="0" xfId="0" applyNumberFormat="1" applyFont="1" applyFill="1"/>
    <xf numFmtId="0" fontId="53" fillId="0" borderId="0" xfId="0" applyFont="1" applyAlignment="1">
      <alignment horizontal="left"/>
    </xf>
    <xf numFmtId="4" fontId="53" fillId="0" borderId="5" xfId="0" applyNumberFormat="1" applyFont="1" applyBorder="1"/>
    <xf numFmtId="4" fontId="55" fillId="4" borderId="1" xfId="0" applyNumberFormat="1" applyFont="1" applyFill="1" applyBorder="1"/>
    <xf numFmtId="4" fontId="57" fillId="4" borderId="1" xfId="0" applyNumberFormat="1" applyFont="1" applyFill="1" applyBorder="1"/>
    <xf numFmtId="4" fontId="54" fillId="14" borderId="1" xfId="0" applyNumberFormat="1" applyFont="1" applyFill="1" applyBorder="1"/>
    <xf numFmtId="0" fontId="68" fillId="0" borderId="14" xfId="0" applyFont="1" applyBorder="1"/>
    <xf numFmtId="165" fontId="53" fillId="0" borderId="9" xfId="1" applyNumberFormat="1" applyFont="1" applyBorder="1"/>
    <xf numFmtId="165" fontId="53" fillId="4" borderId="9" xfId="1" applyNumberFormat="1" applyFont="1" applyFill="1" applyBorder="1"/>
    <xf numFmtId="4" fontId="54" fillId="0" borderId="7" xfId="0" applyNumberFormat="1" applyFont="1" applyBorder="1"/>
    <xf numFmtId="0" fontId="67" fillId="0" borderId="0" xfId="0" applyFont="1"/>
    <xf numFmtId="4" fontId="54" fillId="0" borderId="0" xfId="0" applyNumberFormat="1" applyFont="1"/>
    <xf numFmtId="4" fontId="54" fillId="0" borderId="9" xfId="0" applyNumberFormat="1" applyFont="1" applyBorder="1"/>
    <xf numFmtId="0" fontId="54" fillId="0" borderId="1" xfId="0" applyFont="1" applyBorder="1" applyAlignment="1">
      <alignment horizontal="left"/>
    </xf>
    <xf numFmtId="4" fontId="53" fillId="4" borderId="25" xfId="0" applyNumberFormat="1" applyFont="1" applyFill="1" applyBorder="1"/>
    <xf numFmtId="4" fontId="53" fillId="0" borderId="26" xfId="0" applyNumberFormat="1" applyFont="1" applyBorder="1"/>
    <xf numFmtId="4" fontId="53" fillId="4" borderId="16" xfId="0" applyNumberFormat="1" applyFont="1" applyFill="1" applyBorder="1"/>
    <xf numFmtId="0" fontId="53" fillId="0" borderId="27" xfId="0" applyFont="1" applyBorder="1"/>
    <xf numFmtId="4" fontId="53" fillId="0" borderId="25" xfId="0" applyNumberFormat="1" applyFont="1" applyBorder="1"/>
    <xf numFmtId="0" fontId="53" fillId="4" borderId="3" xfId="0" applyFont="1" applyFill="1" applyBorder="1"/>
    <xf numFmtId="4" fontId="53" fillId="0" borderId="16" xfId="0" applyNumberFormat="1" applyFont="1" applyBorder="1"/>
    <xf numFmtId="0" fontId="57" fillId="0" borderId="0" xfId="0" applyFont="1" applyProtection="1">
      <protection locked="0"/>
    </xf>
    <xf numFmtId="4" fontId="55" fillId="4" borderId="16" xfId="0" applyNumberFormat="1" applyFont="1" applyFill="1" applyBorder="1"/>
    <xf numFmtId="0" fontId="57" fillId="0" borderId="7" xfId="0" applyFont="1" applyBorder="1" applyProtection="1">
      <protection locked="0"/>
    </xf>
    <xf numFmtId="0" fontId="57" fillId="0" borderId="5" xfId="0" applyFont="1" applyBorder="1" applyProtection="1">
      <protection locked="0"/>
    </xf>
    <xf numFmtId="4" fontId="61" fillId="4" borderId="2" xfId="0" applyNumberFormat="1" applyFont="1" applyFill="1" applyBorder="1"/>
    <xf numFmtId="0" fontId="68" fillId="0" borderId="14" xfId="0" applyFont="1" applyBorder="1" applyAlignment="1" applyProtection="1">
      <alignment horizontal="left"/>
      <protection locked="0"/>
    </xf>
    <xf numFmtId="0" fontId="72" fillId="0" borderId="0" xfId="0" applyFont="1" applyAlignment="1">
      <alignment horizontal="right"/>
    </xf>
    <xf numFmtId="4" fontId="72" fillId="0" borderId="3" xfId="0" applyNumberFormat="1" applyFont="1" applyBorder="1"/>
    <xf numFmtId="4" fontId="62" fillId="0" borderId="7" xfId="0" applyNumberFormat="1" applyFont="1" applyBorder="1"/>
    <xf numFmtId="4" fontId="57" fillId="0" borderId="4" xfId="0" applyNumberFormat="1" applyFont="1" applyBorder="1"/>
    <xf numFmtId="4" fontId="53" fillId="4" borderId="5" xfId="0" applyNumberFormat="1" applyFont="1" applyFill="1" applyBorder="1"/>
    <xf numFmtId="4" fontId="55" fillId="14" borderId="9" xfId="0" applyNumberFormat="1" applyFont="1" applyFill="1" applyBorder="1"/>
    <xf numFmtId="4" fontId="55" fillId="14" borderId="1" xfId="0" applyNumberFormat="1" applyFont="1" applyFill="1" applyBorder="1"/>
    <xf numFmtId="0" fontId="67" fillId="0" borderId="1" xfId="0" applyFont="1" applyBorder="1"/>
    <xf numFmtId="165" fontId="54" fillId="0" borderId="1" xfId="1" applyNumberFormat="1" applyFont="1" applyBorder="1"/>
    <xf numFmtId="165" fontId="54" fillId="4" borderId="1" xfId="1" applyNumberFormat="1" applyFont="1" applyFill="1" applyBorder="1"/>
    <xf numFmtId="4" fontId="55" fillId="0" borderId="4" xfId="0" applyNumberFormat="1" applyFont="1" applyBorder="1"/>
    <xf numFmtId="4" fontId="54" fillId="4" borderId="1" xfId="1" applyNumberFormat="1" applyFont="1" applyFill="1" applyBorder="1"/>
    <xf numFmtId="4" fontId="54" fillId="4" borderId="2" xfId="1" applyNumberFormat="1" applyFont="1" applyFill="1" applyBorder="1"/>
    <xf numFmtId="0" fontId="62" fillId="0" borderId="0" xfId="0" applyFont="1" applyAlignment="1">
      <alignment horizontal="right"/>
    </xf>
    <xf numFmtId="4" fontId="62" fillId="0" borderId="3" xfId="0" applyNumberFormat="1" applyFont="1" applyBorder="1"/>
    <xf numFmtId="0" fontId="54" fillId="0" borderId="0" xfId="0" applyFont="1" applyAlignment="1">
      <alignment horizontal="left"/>
    </xf>
    <xf numFmtId="0" fontId="53" fillId="0" borderId="7" xfId="0" applyFont="1" applyBorder="1" applyAlignment="1">
      <alignment horizontal="left"/>
    </xf>
    <xf numFmtId="0" fontId="53" fillId="0" borderId="3" xfId="0" applyFont="1" applyBorder="1"/>
    <xf numFmtId="4" fontId="57" fillId="13" borderId="0" xfId="0" applyNumberFormat="1" applyFont="1" applyFill="1"/>
    <xf numFmtId="0" fontId="73" fillId="0" borderId="0" xfId="0" applyFont="1" applyAlignment="1">
      <alignment vertical="center"/>
    </xf>
    <xf numFmtId="0" fontId="74" fillId="0" borderId="0" xfId="0" applyFont="1" applyAlignment="1">
      <alignment vertical="center"/>
    </xf>
    <xf numFmtId="0" fontId="62" fillId="0" borderId="0" xfId="0" applyFont="1"/>
    <xf numFmtId="0" fontId="68" fillId="0" borderId="0" xfId="0" applyFont="1" applyAlignment="1">
      <alignment vertical="center"/>
    </xf>
    <xf numFmtId="0" fontId="55" fillId="0" borderId="0" xfId="0" applyFont="1"/>
    <xf numFmtId="4" fontId="53" fillId="6" borderId="0" xfId="0" applyNumberFormat="1" applyFont="1" applyFill="1"/>
    <xf numFmtId="0" fontId="53" fillId="3" borderId="0" xfId="0" applyFont="1" applyFill="1"/>
    <xf numFmtId="0" fontId="57" fillId="3" borderId="0" xfId="0" applyFont="1" applyFill="1"/>
    <xf numFmtId="0" fontId="54" fillId="0" borderId="0" xfId="0" applyFont="1" applyAlignment="1">
      <alignment horizontal="right"/>
    </xf>
    <xf numFmtId="0" fontId="54" fillId="0" borderId="3" xfId="0" applyFont="1" applyBorder="1" applyAlignment="1">
      <alignment horizontal="center"/>
    </xf>
    <xf numFmtId="0" fontId="53" fillId="0" borderId="0" xfId="0" applyFont="1" applyAlignment="1">
      <alignment horizontal="right"/>
    </xf>
    <xf numFmtId="0" fontId="75" fillId="0" borderId="0" xfId="0" applyFont="1" applyAlignment="1">
      <alignment horizontal="right"/>
    </xf>
    <xf numFmtId="3" fontId="75" fillId="0" borderId="0" xfId="0" applyNumberFormat="1" applyFont="1"/>
    <xf numFmtId="3" fontId="75" fillId="0" borderId="3" xfId="0" applyNumberFormat="1" applyFont="1" applyBorder="1"/>
    <xf numFmtId="0" fontId="75" fillId="0" borderId="0" xfId="0" applyFont="1"/>
    <xf numFmtId="0" fontId="75" fillId="0" borderId="1" xfId="0" applyFont="1" applyBorder="1" applyAlignment="1">
      <alignment horizontal="right"/>
    </xf>
    <xf numFmtId="3" fontId="75" fillId="0" borderId="1" xfId="0" applyNumberFormat="1" applyFont="1" applyBorder="1"/>
    <xf numFmtId="3" fontId="66" fillId="0" borderId="4" xfId="0" applyNumberFormat="1" applyFont="1" applyBorder="1"/>
    <xf numFmtId="3" fontId="54" fillId="0" borderId="0" xfId="0" applyNumberFormat="1" applyFont="1"/>
    <xf numFmtId="3" fontId="54" fillId="0" borderId="3" xfId="0" applyNumberFormat="1" applyFont="1" applyBorder="1"/>
    <xf numFmtId="3" fontId="62" fillId="0" borderId="3" xfId="0" applyNumberFormat="1" applyFont="1" applyBorder="1"/>
    <xf numFmtId="0" fontId="53" fillId="0" borderId="9" xfId="0" applyFont="1" applyBorder="1" applyAlignment="1">
      <alignment horizontal="right"/>
    </xf>
    <xf numFmtId="3" fontId="53" fillId="4" borderId="9" xfId="0" applyNumberFormat="1" applyFont="1" applyFill="1" applyBorder="1"/>
    <xf numFmtId="0" fontId="53" fillId="0" borderId="1" xfId="0" applyFont="1" applyBorder="1" applyAlignment="1">
      <alignment horizontal="right"/>
    </xf>
    <xf numFmtId="3" fontId="53" fillId="4" borderId="1" xfId="0" applyNumberFormat="1" applyFont="1" applyFill="1" applyBorder="1"/>
    <xf numFmtId="0" fontId="54" fillId="0" borderId="1" xfId="0" applyFont="1" applyBorder="1" applyAlignment="1">
      <alignment horizontal="right"/>
    </xf>
    <xf numFmtId="3" fontId="53" fillId="0" borderId="4" xfId="0" applyNumberFormat="1" applyFont="1" applyBorder="1"/>
    <xf numFmtId="3" fontId="61" fillId="0" borderId="1" xfId="0" applyNumberFormat="1" applyFont="1" applyBorder="1"/>
    <xf numFmtId="1" fontId="53" fillId="0" borderId="0" xfId="0" applyNumberFormat="1" applyFont="1"/>
    <xf numFmtId="3" fontId="53" fillId="0" borderId="1" xfId="0" applyNumberFormat="1" applyFont="1" applyBorder="1"/>
    <xf numFmtId="3" fontId="58" fillId="15" borderId="28" xfId="0" applyNumberFormat="1" applyFont="1" applyFill="1" applyBorder="1"/>
    <xf numFmtId="3" fontId="57" fillId="9" borderId="0" xfId="0" applyNumberFormat="1" applyFont="1" applyFill="1"/>
    <xf numFmtId="4" fontId="55" fillId="9" borderId="1" xfId="0" applyNumberFormat="1" applyFont="1" applyFill="1" applyBorder="1"/>
    <xf numFmtId="4" fontId="54" fillId="9" borderId="1" xfId="0" applyNumberFormat="1" applyFont="1" applyFill="1" applyBorder="1"/>
    <xf numFmtId="0" fontId="53" fillId="9" borderId="8" xfId="0" applyFont="1" applyFill="1" applyBorder="1"/>
    <xf numFmtId="4" fontId="54" fillId="9" borderId="13" xfId="0" applyNumberFormat="1" applyFont="1" applyFill="1" applyBorder="1"/>
    <xf numFmtId="0" fontId="53" fillId="9" borderId="6" xfId="0" applyFont="1" applyFill="1" applyBorder="1"/>
    <xf numFmtId="4" fontId="54" fillId="9" borderId="8" xfId="0" applyNumberFormat="1" applyFont="1" applyFill="1" applyBorder="1"/>
    <xf numFmtId="4" fontId="54" fillId="9" borderId="6" xfId="0" applyNumberFormat="1" applyFont="1" applyFill="1" applyBorder="1"/>
    <xf numFmtId="4" fontId="54" fillId="0" borderId="10" xfId="0" applyNumberFormat="1" applyFont="1" applyBorder="1"/>
    <xf numFmtId="4" fontId="54" fillId="0" borderId="3" xfId="0" applyNumberFormat="1" applyFont="1" applyBorder="1"/>
    <xf numFmtId="0" fontId="54" fillId="9" borderId="0" xfId="0" applyFont="1" applyFill="1"/>
    <xf numFmtId="1" fontId="54" fillId="4" borderId="0" xfId="0" applyNumberFormat="1" applyFont="1" applyFill="1"/>
    <xf numFmtId="3" fontId="76" fillId="0" borderId="0" xfId="0" applyNumberFormat="1" applyFont="1"/>
    <xf numFmtId="3" fontId="15" fillId="4" borderId="0" xfId="0" applyNumberFormat="1" applyFont="1" applyFill="1"/>
    <xf numFmtId="3" fontId="64" fillId="9" borderId="0" xfId="0" applyNumberFormat="1" applyFont="1" applyFill="1"/>
    <xf numFmtId="0" fontId="53" fillId="9" borderId="9" xfId="0" applyFont="1" applyFill="1" applyBorder="1"/>
    <xf numFmtId="17" fontId="53" fillId="0" borderId="0" xfId="0" applyNumberFormat="1" applyFont="1"/>
    <xf numFmtId="17" fontId="53" fillId="0" borderId="0" xfId="0" applyNumberFormat="1" applyFont="1" applyAlignment="1">
      <alignment horizontal="right"/>
    </xf>
    <xf numFmtId="3" fontId="55" fillId="0" borderId="1" xfId="0" applyNumberFormat="1" applyFont="1" applyBorder="1"/>
    <xf numFmtId="3" fontId="66" fillId="0" borderId="3" xfId="0" applyNumberFormat="1" applyFont="1" applyBorder="1"/>
    <xf numFmtId="0" fontId="55" fillId="4" borderId="0" xfId="0" applyFont="1" applyFill="1"/>
    <xf numFmtId="2" fontId="16" fillId="0" borderId="0" xfId="0" applyNumberFormat="1" applyFont="1"/>
    <xf numFmtId="167" fontId="16" fillId="0" borderId="0" xfId="0" applyNumberFormat="1" applyFont="1"/>
    <xf numFmtId="4" fontId="77" fillId="4" borderId="0" xfId="0" applyNumberFormat="1" applyFont="1" applyFill="1"/>
    <xf numFmtId="1" fontId="55" fillId="4" borderId="0" xfId="0" applyNumberFormat="1" applyFont="1" applyFill="1"/>
    <xf numFmtId="17" fontId="58" fillId="0" borderId="0" xfId="0" applyNumberFormat="1" applyFont="1" applyAlignment="1">
      <alignment horizontal="right"/>
    </xf>
    <xf numFmtId="0" fontId="53" fillId="0" borderId="29" xfId="0" applyFont="1" applyBorder="1"/>
    <xf numFmtId="165" fontId="53" fillId="4" borderId="29" xfId="1" applyNumberFormat="1" applyFont="1" applyFill="1" applyBorder="1"/>
    <xf numFmtId="165" fontId="57" fillId="0" borderId="30" xfId="1" applyNumberFormat="1" applyFont="1" applyBorder="1"/>
    <xf numFmtId="3" fontId="54" fillId="4" borderId="29" xfId="0" applyNumberFormat="1" applyFont="1" applyFill="1" applyBorder="1"/>
    <xf numFmtId="3" fontId="55" fillId="4" borderId="29" xfId="0" applyNumberFormat="1" applyFont="1" applyFill="1" applyBorder="1"/>
    <xf numFmtId="3" fontId="53" fillId="4" borderId="29" xfId="0" applyNumberFormat="1" applyFont="1" applyFill="1" applyBorder="1"/>
    <xf numFmtId="3" fontId="53" fillId="0" borderId="31" xfId="1" applyNumberFormat="1" applyFont="1" applyBorder="1"/>
    <xf numFmtId="3" fontId="61" fillId="4" borderId="31" xfId="0" applyNumberFormat="1" applyFont="1" applyFill="1" applyBorder="1"/>
    <xf numFmtId="3" fontId="61" fillId="4" borderId="29" xfId="0" applyNumberFormat="1" applyFont="1" applyFill="1" applyBorder="1"/>
    <xf numFmtId="3" fontId="53" fillId="0" borderId="30" xfId="1" applyNumberFormat="1" applyFont="1" applyBorder="1"/>
    <xf numFmtId="3" fontId="62" fillId="4" borderId="29" xfId="0" applyNumberFormat="1" applyFont="1" applyFill="1" applyBorder="1"/>
    <xf numFmtId="3" fontId="58" fillId="4" borderId="29" xfId="0" applyNumberFormat="1" applyFont="1" applyFill="1" applyBorder="1"/>
    <xf numFmtId="3" fontId="53" fillId="0" borderId="30" xfId="0" applyNumberFormat="1" applyFont="1" applyBorder="1"/>
    <xf numFmtId="3" fontId="58" fillId="4" borderId="31" xfId="0" applyNumberFormat="1" applyFont="1" applyFill="1" applyBorder="1"/>
    <xf numFmtId="3" fontId="58" fillId="9" borderId="29" xfId="0" applyNumberFormat="1" applyFont="1" applyFill="1" applyBorder="1"/>
    <xf numFmtId="3" fontId="53" fillId="4" borderId="32" xfId="0" applyNumberFormat="1" applyFont="1" applyFill="1" applyBorder="1"/>
    <xf numFmtId="3" fontId="53" fillId="9" borderId="29" xfId="0" applyNumberFormat="1" applyFont="1" applyFill="1" applyBorder="1"/>
    <xf numFmtId="3" fontId="57" fillId="4" borderId="29" xfId="0" applyNumberFormat="1" applyFont="1" applyFill="1" applyBorder="1"/>
    <xf numFmtId="3" fontId="64" fillId="4" borderId="29" xfId="0" applyNumberFormat="1" applyFont="1" applyFill="1" applyBorder="1"/>
    <xf numFmtId="3" fontId="55" fillId="9" borderId="29" xfId="0" applyNumberFormat="1" applyFont="1" applyFill="1" applyBorder="1"/>
    <xf numFmtId="4" fontId="77" fillId="4" borderId="29" xfId="0" applyNumberFormat="1" applyFont="1" applyFill="1" applyBorder="1"/>
    <xf numFmtId="4" fontId="64" fillId="0" borderId="29" xfId="0" applyNumberFormat="1" applyFont="1" applyBorder="1"/>
    <xf numFmtId="4" fontId="53" fillId="0" borderId="30" xfId="0" applyNumberFormat="1" applyFont="1" applyBorder="1"/>
    <xf numFmtId="0" fontId="57" fillId="0" borderId="29" xfId="0" applyFont="1" applyBorder="1"/>
    <xf numFmtId="4" fontId="55" fillId="4" borderId="29" xfId="0" applyNumberFormat="1" applyFont="1" applyFill="1" applyBorder="1"/>
    <xf numFmtId="0" fontId="22" fillId="0" borderId="0" xfId="0" applyFont="1" applyAlignment="1">
      <alignment horizontal="right"/>
    </xf>
    <xf numFmtId="3" fontId="55" fillId="15" borderId="28" xfId="0" applyNumberFormat="1" applyFont="1" applyFill="1" applyBorder="1"/>
    <xf numFmtId="4" fontId="64" fillId="4" borderId="0" xfId="0" applyNumberFormat="1" applyFont="1" applyFill="1"/>
    <xf numFmtId="4" fontId="57" fillId="4" borderId="29" xfId="0" applyNumberFormat="1" applyFont="1" applyFill="1" applyBorder="1"/>
    <xf numFmtId="4" fontId="78" fillId="4" borderId="0" xfId="0" applyNumberFormat="1" applyFont="1" applyFill="1"/>
    <xf numFmtId="3" fontId="76" fillId="4" borderId="0" xfId="0" applyNumberFormat="1" applyFont="1" applyFill="1"/>
    <xf numFmtId="0" fontId="54" fillId="4" borderId="1" xfId="0" applyFont="1" applyFill="1" applyBorder="1"/>
    <xf numFmtId="1" fontId="58" fillId="0" borderId="0" xfId="0" applyNumberFormat="1" applyFont="1"/>
    <xf numFmtId="3" fontId="60" fillId="4" borderId="0" xfId="0" applyNumberFormat="1" applyFont="1" applyFill="1"/>
    <xf numFmtId="0" fontId="53" fillId="0" borderId="2" xfId="0" applyFont="1" applyBorder="1"/>
    <xf numFmtId="3" fontId="53" fillId="0" borderId="7" xfId="0" applyNumberFormat="1" applyFont="1" applyBorder="1"/>
    <xf numFmtId="168" fontId="58" fillId="0" borderId="0" xfId="0" applyNumberFormat="1" applyFont="1"/>
    <xf numFmtId="4" fontId="78" fillId="4" borderId="29" xfId="0" applyNumberFormat="1" applyFont="1" applyFill="1" applyBorder="1"/>
    <xf numFmtId="3" fontId="55" fillId="4" borderId="31" xfId="0" applyNumberFormat="1" applyFont="1" applyFill="1" applyBorder="1"/>
    <xf numFmtId="0" fontId="53" fillId="4" borderId="29" xfId="0" applyFont="1" applyFill="1" applyBorder="1"/>
    <xf numFmtId="3" fontId="76" fillId="4" borderId="29" xfId="0" applyNumberFormat="1" applyFont="1" applyFill="1" applyBorder="1"/>
    <xf numFmtId="2" fontId="55" fillId="9" borderId="0" xfId="0" applyNumberFormat="1" applyFont="1" applyFill="1"/>
    <xf numFmtId="4" fontId="58" fillId="4" borderId="1" xfId="0" applyNumberFormat="1" applyFont="1" applyFill="1" applyBorder="1"/>
    <xf numFmtId="4" fontId="58" fillId="9" borderId="1" xfId="0" applyNumberFormat="1" applyFont="1" applyFill="1" applyBorder="1"/>
    <xf numFmtId="0" fontId="53" fillId="0" borderId="12" xfId="0" applyFont="1" applyBorder="1"/>
    <xf numFmtId="165" fontId="53" fillId="0" borderId="12" xfId="1" applyNumberFormat="1" applyFont="1" applyBorder="1"/>
    <xf numFmtId="165" fontId="53" fillId="4" borderId="12" xfId="1" applyNumberFormat="1" applyFont="1" applyFill="1" applyBorder="1"/>
    <xf numFmtId="4" fontId="57" fillId="0" borderId="12" xfId="0" applyNumberFormat="1" applyFont="1" applyBorder="1"/>
    <xf numFmtId="4" fontId="53" fillId="4" borderId="12" xfId="1" applyNumberFormat="1" applyFont="1" applyFill="1" applyBorder="1"/>
    <xf numFmtId="4" fontId="53" fillId="0" borderId="13" xfId="0" applyNumberFormat="1" applyFont="1" applyBorder="1"/>
    <xf numFmtId="4" fontId="53" fillId="4" borderId="13" xfId="1" applyNumberFormat="1" applyFont="1" applyFill="1" applyBorder="1"/>
    <xf numFmtId="4" fontId="53" fillId="0" borderId="12" xfId="0" applyNumberFormat="1" applyFont="1" applyBorder="1"/>
    <xf numFmtId="4" fontId="53" fillId="4" borderId="12" xfId="0" applyNumberFormat="1" applyFont="1" applyFill="1" applyBorder="1"/>
    <xf numFmtId="4" fontId="53" fillId="4" borderId="13" xfId="0" applyNumberFormat="1" applyFont="1" applyFill="1" applyBorder="1"/>
    <xf numFmtId="4" fontId="53" fillId="9" borderId="12" xfId="0" applyNumberFormat="1" applyFont="1" applyFill="1" applyBorder="1"/>
    <xf numFmtId="4" fontId="53" fillId="0" borderId="15" xfId="0" applyNumberFormat="1" applyFont="1" applyBorder="1"/>
    <xf numFmtId="6" fontId="53" fillId="0" borderId="0" xfId="0" applyNumberFormat="1" applyFont="1"/>
    <xf numFmtId="8" fontId="53" fillId="0" borderId="0" xfId="0" applyNumberFormat="1" applyFont="1"/>
    <xf numFmtId="4" fontId="57" fillId="0" borderId="0" xfId="0" applyNumberFormat="1" applyFont="1" applyAlignment="1">
      <alignment horizontal="right"/>
    </xf>
    <xf numFmtId="0" fontId="58" fillId="4" borderId="0" xfId="0" applyFont="1" applyFill="1"/>
    <xf numFmtId="4" fontId="62" fillId="4" borderId="0" xfId="0" applyNumberFormat="1" applyFont="1" applyFill="1"/>
    <xf numFmtId="4" fontId="62" fillId="4" borderId="29" xfId="0" applyNumberFormat="1" applyFont="1" applyFill="1" applyBorder="1"/>
    <xf numFmtId="0" fontId="53" fillId="4" borderId="2" xfId="0" applyFont="1" applyFill="1" applyBorder="1"/>
    <xf numFmtId="2" fontId="58" fillId="4" borderId="0" xfId="0" applyNumberFormat="1" applyFont="1" applyFill="1"/>
    <xf numFmtId="1" fontId="57" fillId="0" borderId="0" xfId="0" applyNumberFormat="1" applyFont="1"/>
    <xf numFmtId="3" fontId="82" fillId="0" borderId="0" xfId="0" applyNumberFormat="1" applyFont="1"/>
    <xf numFmtId="3" fontId="64" fillId="9" borderId="29" xfId="0" applyNumberFormat="1" applyFont="1" applyFill="1" applyBorder="1"/>
    <xf numFmtId="3" fontId="53" fillId="0" borderId="29" xfId="0" applyNumberFormat="1" applyFont="1" applyBorder="1"/>
    <xf numFmtId="3" fontId="57" fillId="0" borderId="29" xfId="0" applyNumberFormat="1" applyFont="1" applyBorder="1"/>
    <xf numFmtId="3" fontId="53" fillId="0" borderId="10" xfId="0" applyNumberFormat="1" applyFont="1" applyBorder="1"/>
    <xf numFmtId="3" fontId="57" fillId="4" borderId="9" xfId="0" applyNumberFormat="1" applyFont="1" applyFill="1" applyBorder="1"/>
    <xf numFmtId="3" fontId="57" fillId="0" borderId="9" xfId="0" applyNumberFormat="1" applyFont="1" applyBorder="1"/>
    <xf numFmtId="3" fontId="53" fillId="0" borderId="6" xfId="0" applyNumberFormat="1" applyFont="1" applyBorder="1"/>
    <xf numFmtId="3" fontId="54" fillId="4" borderId="13" xfId="0" applyNumberFormat="1" applyFont="1" applyFill="1" applyBorder="1"/>
    <xf numFmtId="3" fontId="54" fillId="0" borderId="12" xfId="0" applyNumberFormat="1" applyFont="1" applyBorder="1"/>
    <xf numFmtId="3" fontId="53" fillId="4" borderId="8" xfId="0" applyNumberFormat="1" applyFont="1" applyFill="1" applyBorder="1"/>
    <xf numFmtId="3" fontId="53" fillId="0" borderId="9" xfId="0" applyNumberFormat="1" applyFont="1" applyBorder="1"/>
    <xf numFmtId="3" fontId="54" fillId="0" borderId="10" xfId="0" applyNumberFormat="1" applyFont="1" applyBorder="1"/>
    <xf numFmtId="3" fontId="53" fillId="15" borderId="0" xfId="0" applyNumberFormat="1" applyFont="1" applyFill="1"/>
    <xf numFmtId="3" fontId="53" fillId="0" borderId="5" xfId="0" applyNumberFormat="1" applyFont="1" applyBorder="1"/>
    <xf numFmtId="3" fontId="54" fillId="4" borderId="12" xfId="0" applyNumberFormat="1" applyFont="1" applyFill="1" applyBorder="1"/>
    <xf numFmtId="3" fontId="72" fillId="0" borderId="3" xfId="0" applyNumberFormat="1" applyFont="1" applyBorder="1"/>
    <xf numFmtId="3" fontId="62" fillId="0" borderId="7" xfId="0" applyNumberFormat="1" applyFont="1" applyBorder="1"/>
    <xf numFmtId="3" fontId="53" fillId="12" borderId="0" xfId="0" applyNumberFormat="1" applyFont="1" applyFill="1"/>
    <xf numFmtId="3" fontId="53" fillId="12" borderId="3" xfId="0" applyNumberFormat="1" applyFont="1" applyFill="1" applyBorder="1"/>
    <xf numFmtId="3" fontId="54" fillId="4" borderId="29" xfId="1" applyNumberFormat="1" applyFont="1" applyFill="1" applyBorder="1"/>
    <xf numFmtId="3" fontId="54" fillId="4" borderId="31" xfId="0" applyNumberFormat="1" applyFont="1" applyFill="1" applyBorder="1"/>
    <xf numFmtId="3" fontId="55" fillId="4" borderId="29" xfId="1" applyNumberFormat="1" applyFont="1" applyFill="1" applyBorder="1" applyAlignment="1"/>
    <xf numFmtId="3" fontId="61" fillId="4" borderId="29" xfId="1" applyNumberFormat="1" applyFont="1" applyFill="1" applyBorder="1"/>
    <xf numFmtId="3" fontId="62" fillId="4" borderId="29" xfId="1" applyNumberFormat="1" applyFont="1" applyFill="1" applyBorder="1"/>
    <xf numFmtId="3" fontId="57" fillId="4" borderId="29" xfId="1" applyNumberFormat="1" applyFont="1" applyFill="1" applyBorder="1" applyAlignment="1"/>
    <xf numFmtId="3" fontId="64" fillId="0" borderId="29" xfId="0" applyNumberFormat="1" applyFont="1" applyBorder="1"/>
    <xf numFmtId="0" fontId="53" fillId="0" borderId="18" xfId="0" applyFont="1" applyBorder="1"/>
    <xf numFmtId="0" fontId="57" fillId="0" borderId="18" xfId="0" applyFont="1" applyBorder="1"/>
    <xf numFmtId="165" fontId="53" fillId="4" borderId="18" xfId="1" applyNumberFormat="1" applyFont="1" applyFill="1" applyBorder="1"/>
    <xf numFmtId="165" fontId="57" fillId="0" borderId="33" xfId="1" applyNumberFormat="1" applyFont="1" applyBorder="1"/>
    <xf numFmtId="3" fontId="54" fillId="4" borderId="18" xfId="0" applyNumberFormat="1" applyFont="1" applyFill="1" applyBorder="1"/>
    <xf numFmtId="3" fontId="55" fillId="4" borderId="18" xfId="0" applyNumberFormat="1" applyFont="1" applyFill="1" applyBorder="1"/>
    <xf numFmtId="3" fontId="53" fillId="4" borderId="18" xfId="0" applyNumberFormat="1" applyFont="1" applyFill="1" applyBorder="1"/>
    <xf numFmtId="3" fontId="53" fillId="0" borderId="34" xfId="1" applyNumberFormat="1" applyFont="1" applyBorder="1"/>
    <xf numFmtId="3" fontId="61" fillId="4" borderId="34" xfId="0" applyNumberFormat="1" applyFont="1" applyFill="1" applyBorder="1"/>
    <xf numFmtId="3" fontId="61" fillId="4" borderId="18" xfId="0" applyNumberFormat="1" applyFont="1" applyFill="1" applyBorder="1"/>
    <xf numFmtId="3" fontId="53" fillId="0" borderId="33" xfId="1" applyNumberFormat="1" applyFont="1" applyBorder="1"/>
    <xf numFmtId="3" fontId="62" fillId="4" borderId="18" xfId="0" applyNumberFormat="1" applyFont="1" applyFill="1" applyBorder="1"/>
    <xf numFmtId="3" fontId="58" fillId="4" borderId="18" xfId="0" applyNumberFormat="1" applyFont="1" applyFill="1" applyBorder="1"/>
    <xf numFmtId="3" fontId="57" fillId="4" borderId="18" xfId="0" applyNumberFormat="1" applyFont="1" applyFill="1" applyBorder="1"/>
    <xf numFmtId="3" fontId="53" fillId="0" borderId="33" xfId="0" applyNumberFormat="1" applyFont="1" applyBorder="1"/>
    <xf numFmtId="3" fontId="58" fillId="9" borderId="18" xfId="0" applyNumberFormat="1" applyFont="1" applyFill="1" applyBorder="1"/>
    <xf numFmtId="3" fontId="58" fillId="4" borderId="34" xfId="0" applyNumberFormat="1" applyFont="1" applyFill="1" applyBorder="1"/>
    <xf numFmtId="3" fontId="55" fillId="9" borderId="18" xfId="0" applyNumberFormat="1" applyFont="1" applyFill="1" applyBorder="1"/>
    <xf numFmtId="3" fontId="53" fillId="4" borderId="35" xfId="0" applyNumberFormat="1" applyFont="1" applyFill="1" applyBorder="1"/>
    <xf numFmtId="3" fontId="64" fillId="4" borderId="18" xfId="0" applyNumberFormat="1" applyFont="1" applyFill="1" applyBorder="1"/>
    <xf numFmtId="3" fontId="53" fillId="9" borderId="18" xfId="0" applyNumberFormat="1" applyFont="1" applyFill="1" applyBorder="1"/>
    <xf numFmtId="3" fontId="53" fillId="0" borderId="18" xfId="0" applyNumberFormat="1" applyFont="1" applyBorder="1"/>
    <xf numFmtId="3" fontId="64" fillId="0" borderId="18" xfId="0" applyNumberFormat="1" applyFont="1" applyBorder="1"/>
    <xf numFmtId="4" fontId="53" fillId="0" borderId="33" xfId="0" applyNumberFormat="1" applyFont="1" applyBorder="1"/>
    <xf numFmtId="3" fontId="54" fillId="4" borderId="34" xfId="0" applyNumberFormat="1" applyFont="1" applyFill="1" applyBorder="1"/>
    <xf numFmtId="3" fontId="61" fillId="15" borderId="0" xfId="0" applyNumberFormat="1" applyFont="1" applyFill="1"/>
    <xf numFmtId="3" fontId="57" fillId="15" borderId="0" xfId="0" applyNumberFormat="1" applyFont="1" applyFill="1"/>
    <xf numFmtId="3" fontId="58" fillId="4" borderId="1" xfId="0" applyNumberFormat="1" applyFont="1" applyFill="1" applyBorder="1"/>
    <xf numFmtId="0" fontId="53" fillId="4" borderId="18" xfId="0" applyFont="1" applyFill="1" applyBorder="1"/>
    <xf numFmtId="4" fontId="62" fillId="4" borderId="18" xfId="0" applyNumberFormat="1" applyFont="1" applyFill="1" applyBorder="1"/>
    <xf numFmtId="3" fontId="54" fillId="4" borderId="18" xfId="1" applyNumberFormat="1" applyFont="1" applyFill="1" applyBorder="1"/>
    <xf numFmtId="3" fontId="55" fillId="4" borderId="18" xfId="1" applyNumberFormat="1" applyFont="1" applyFill="1" applyBorder="1" applyAlignment="1"/>
    <xf numFmtId="3" fontId="61" fillId="4" borderId="18" xfId="1" applyNumberFormat="1" applyFont="1" applyFill="1" applyBorder="1"/>
    <xf numFmtId="3" fontId="62" fillId="4" borderId="18" xfId="1" applyNumberFormat="1" applyFont="1" applyFill="1" applyBorder="1"/>
    <xf numFmtId="3" fontId="57" fillId="4" borderId="18" xfId="1" applyNumberFormat="1" applyFont="1" applyFill="1" applyBorder="1" applyAlignment="1"/>
    <xf numFmtId="165" fontId="57" fillId="0" borderId="29" xfId="1" applyNumberFormat="1" applyFont="1" applyBorder="1"/>
    <xf numFmtId="3" fontId="53" fillId="0" borderId="29" xfId="1" applyNumberFormat="1" applyFont="1" applyBorder="1"/>
    <xf numFmtId="4" fontId="53" fillId="0" borderId="29" xfId="0" applyNumberFormat="1" applyFont="1" applyBorder="1"/>
    <xf numFmtId="165" fontId="57" fillId="0" borderId="18" xfId="1" applyNumberFormat="1" applyFont="1" applyBorder="1"/>
    <xf numFmtId="3" fontId="53" fillId="0" borderId="18" xfId="1" applyNumberFormat="1" applyFont="1" applyBorder="1"/>
    <xf numFmtId="4" fontId="53" fillId="0" borderId="18" xfId="0" applyNumberFormat="1" applyFont="1" applyBorder="1"/>
    <xf numFmtId="3" fontId="55" fillId="4" borderId="9" xfId="0" applyNumberFormat="1" applyFont="1" applyFill="1" applyBorder="1"/>
    <xf numFmtId="4" fontId="55" fillId="4" borderId="18" xfId="0" applyNumberFormat="1" applyFont="1" applyFill="1" applyBorder="1"/>
    <xf numFmtId="4" fontId="64" fillId="4" borderId="29" xfId="0" applyNumberFormat="1" applyFont="1" applyFill="1" applyBorder="1"/>
    <xf numFmtId="1" fontId="58" fillId="4" borderId="0" xfId="0" applyNumberFormat="1" applyFont="1" applyFill="1"/>
    <xf numFmtId="3" fontId="58" fillId="4" borderId="32" xfId="0" applyNumberFormat="1" applyFont="1" applyFill="1" applyBorder="1"/>
    <xf numFmtId="3" fontId="53" fillId="0" borderId="36" xfId="0" applyNumberFormat="1" applyFont="1" applyBorder="1"/>
    <xf numFmtId="0" fontId="53" fillId="0" borderId="36" xfId="0" applyFont="1" applyBorder="1"/>
    <xf numFmtId="1" fontId="53" fillId="4" borderId="0" xfId="0" applyNumberFormat="1" applyFont="1" applyFill="1"/>
    <xf numFmtId="3" fontId="58" fillId="11" borderId="0" xfId="0" applyNumberFormat="1" applyFont="1" applyFill="1"/>
    <xf numFmtId="1" fontId="57" fillId="4" borderId="0" xfId="0" applyNumberFormat="1" applyFont="1" applyFill="1"/>
    <xf numFmtId="165" fontId="23" fillId="0" borderId="0" xfId="0" applyNumberFormat="1" applyFont="1"/>
    <xf numFmtId="0" fontId="84" fillId="0" borderId="0" xfId="0" applyFont="1"/>
    <xf numFmtId="3" fontId="54" fillId="14" borderId="18" xfId="0" applyNumberFormat="1" applyFont="1" applyFill="1" applyBorder="1"/>
    <xf numFmtId="1" fontId="55" fillId="0" borderId="0" xfId="0" applyNumberFormat="1" applyFont="1"/>
    <xf numFmtId="1" fontId="54" fillId="4" borderId="0" xfId="0" applyNumberFormat="1" applyFont="1" applyFill="1" applyAlignment="1">
      <alignment horizontal="right"/>
    </xf>
    <xf numFmtId="3" fontId="63" fillId="15" borderId="0" xfId="0" applyNumberFormat="1" applyFont="1" applyFill="1"/>
    <xf numFmtId="0" fontId="54" fillId="0" borderId="0" xfId="0" applyFont="1" applyAlignment="1">
      <alignment horizontal="center"/>
    </xf>
    <xf numFmtId="0" fontId="54" fillId="8" borderId="1" xfId="0" applyFont="1" applyFill="1" applyBorder="1" applyAlignment="1">
      <alignment horizontal="center"/>
    </xf>
    <xf numFmtId="0" fontId="3" fillId="0" borderId="0" xfId="0" applyFont="1" applyAlignment="1">
      <alignment horizontal="center"/>
    </xf>
    <xf numFmtId="0" fontId="3" fillId="8" borderId="1" xfId="0" applyFont="1" applyFill="1" applyBorder="1" applyAlignment="1">
      <alignment horizontal="center"/>
    </xf>
    <xf numFmtId="0" fontId="54" fillId="8" borderId="5" xfId="0" applyFont="1" applyFill="1" applyBorder="1" applyAlignment="1">
      <alignment horizontal="center"/>
    </xf>
  </cellXfs>
  <cellStyles count="16">
    <cellStyle name="Hipervínculo" xfId="3" builtinId="8"/>
    <cellStyle name="Millares" xfId="1" builtinId="3"/>
    <cellStyle name="Millares 2" xfId="5" xr:uid="{A5FF8DB8-6D6C-4E96-AFDF-044D78CDDFC6}"/>
    <cellStyle name="Millares 2 2" xfId="7" xr:uid="{1F630281-41CC-436D-BB3B-C8AFB70B1DF9}"/>
    <cellStyle name="Millares 2 2 2" xfId="11" xr:uid="{C2A2EFA1-0233-4D8E-9493-E6A5B38C7F16}"/>
    <cellStyle name="Millares 2 2 3" xfId="15" xr:uid="{DAC1F35B-CEA8-4BD3-9A1F-9E0BB8760DDA}"/>
    <cellStyle name="Millares 2 3" xfId="9" xr:uid="{FF81F314-765A-479E-9CFC-890458AC7684}"/>
    <cellStyle name="Millares 2 4" xfId="13" xr:uid="{C36ED2E1-D516-45FD-BE1F-E1239D492E25}"/>
    <cellStyle name="Millares 3" xfId="6" xr:uid="{ED82DACB-D741-4B98-AADA-CD4E4E80CF4D}"/>
    <cellStyle name="Millares 3 2" xfId="10" xr:uid="{21533DAB-9D98-4652-B9C8-CF8174B45318}"/>
    <cellStyle name="Millares 3 3" xfId="14" xr:uid="{14BB2AE3-751E-46B0-A9A7-EEDD745EA12E}"/>
    <cellStyle name="Millares 4" xfId="4" xr:uid="{DD9772D4-52CB-4671-9FC6-A6116E1D7977}"/>
    <cellStyle name="Millares 5" xfId="8" xr:uid="{AC27E2DD-95B6-4DD2-804F-E7A5C8F0803A}"/>
    <cellStyle name="Millares 6" xfId="12" xr:uid="{DFD978C1-B67C-4485-A17C-C72C4DCA5ECA}"/>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styles" Target="styles.xml"/><Relationship Id="rId27"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14288</xdr:colOff>
      <xdr:row>38</xdr:row>
      <xdr:rowOff>142873</xdr:rowOff>
    </xdr:from>
    <xdr:to>
      <xdr:col>13</xdr:col>
      <xdr:colOff>500063</xdr:colOff>
      <xdr:row>73</xdr:row>
      <xdr:rowOff>138112</xdr:rowOff>
    </xdr:to>
    <xdr:sp macro="" textlink="">
      <xdr:nvSpPr>
        <xdr:cNvPr id="2" name="CuadroTexto 1">
          <a:extLst>
            <a:ext uri="{FF2B5EF4-FFF2-40B4-BE49-F238E27FC236}">
              <a16:creationId xmlns:a16="http://schemas.microsoft.com/office/drawing/2014/main" id="{075D4F24-D8AB-43B8-B78C-0ECA2D779B5A}"/>
            </a:ext>
          </a:extLst>
        </xdr:cNvPr>
        <xdr:cNvSpPr txBox="1"/>
      </xdr:nvSpPr>
      <xdr:spPr>
        <a:xfrm>
          <a:off x="5681663" y="7005636"/>
          <a:ext cx="6000750" cy="64960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u="sng">
              <a:latin typeface="Proxima Nova Rg" panose="02000506030000020004" pitchFamily="50" charset="0"/>
            </a:rPr>
            <a:t>Seguimiento Proposals</a:t>
          </a:r>
        </a:p>
        <a:p>
          <a:endParaRPr lang="es-ES" sz="1100" u="sng">
            <a:latin typeface="Proxima Nova Rg" panose="02000506030000020004" pitchFamily="50" charset="0"/>
          </a:endParaRPr>
        </a:p>
        <a:p>
          <a:r>
            <a:rPr lang="es-ES" sz="1100" u="sng">
              <a:latin typeface="Proxima Nova Rg" panose="02000506030000020004" pitchFamily="50" charset="0"/>
            </a:rPr>
            <a:t>Kurana</a:t>
          </a:r>
          <a:r>
            <a:rPr lang="es-ES" sz="1100">
              <a:latin typeface="Proxima Nova Rg" panose="02000506030000020004" pitchFamily="50" charset="0"/>
            </a:rPr>
            <a:t> - finalmente</a:t>
          </a:r>
          <a:r>
            <a:rPr lang="es-ES" sz="1100" baseline="0">
              <a:latin typeface="Proxima Nova Rg" panose="02000506030000020004" pitchFamily="50" charset="0"/>
            </a:rPr>
            <a:t> contratan con FC Stone.  </a:t>
          </a:r>
          <a:r>
            <a:rPr lang="es-ES" sz="1100" b="1" i="1" baseline="0">
              <a:latin typeface="Proxima Nova Rg" panose="02000506030000020004" pitchFamily="50" charset="0"/>
            </a:rPr>
            <a:t>Darles un toque en Q3 2018 </a:t>
          </a:r>
          <a:r>
            <a:rPr lang="es-ES" sz="1100" baseline="0">
              <a:latin typeface="Proxima Nova Rg" panose="02000506030000020004" pitchFamily="50" charset="0"/>
            </a:rPr>
            <a:t>pues en enero 19 debe finalizar la anualidad con FC Stone.</a:t>
          </a:r>
          <a:endParaRPr lang="es-ES" sz="1100">
            <a:latin typeface="Proxima Nova Rg" panose="02000506030000020004" pitchFamily="50" charset="0"/>
          </a:endParaRPr>
        </a:p>
        <a:p>
          <a:endParaRPr lang="es-ES" sz="1100" u="sng">
            <a:latin typeface="Proxima Nova Rg" panose="02000506030000020004" pitchFamily="50" charset="0"/>
          </a:endParaRPr>
        </a:p>
        <a:p>
          <a:r>
            <a:rPr lang="es-ES" sz="1100" u="sng">
              <a:latin typeface="Proxima Nova Rg" panose="02000506030000020004" pitchFamily="50" charset="0"/>
            </a:rPr>
            <a:t>Cepsa</a:t>
          </a:r>
          <a:r>
            <a:rPr lang="es-ES" sz="1100">
              <a:latin typeface="Proxima Nova Rg" panose="02000506030000020004" pitchFamily="50" charset="0"/>
            </a:rPr>
            <a:t> - finalmente contratan con Argus en Feb 18 y no tiene presupuesto para un segundo.  Volver a atacar</a:t>
          </a:r>
          <a:r>
            <a:rPr lang="es-ES" sz="1100" baseline="0">
              <a:latin typeface="Proxima Nova Rg" panose="02000506030000020004" pitchFamily="50" charset="0"/>
            </a:rPr>
            <a:t> si tenemos tema Biodiesel resuelto.</a:t>
          </a:r>
        </a:p>
        <a:p>
          <a:endParaRPr lang="es-ES" sz="1100">
            <a:latin typeface="Proxima Nova Rg" panose="02000506030000020004" pitchFamily="50" charset="0"/>
          </a:endParaRPr>
        </a:p>
        <a:p>
          <a:r>
            <a:rPr lang="es-ES" sz="1100" u="sng">
              <a:latin typeface="Proxima Nova Rg" panose="02000506030000020004" pitchFamily="50" charset="0"/>
            </a:rPr>
            <a:t>Snetor</a:t>
          </a:r>
          <a:r>
            <a:rPr lang="es-ES" sz="1100">
              <a:latin typeface="Proxima Nova Rg" panose="02000506030000020004" pitchFamily="50" charset="0"/>
            </a:rPr>
            <a:t> - ponen</a:t>
          </a:r>
          <a:r>
            <a:rPr lang="es-ES" sz="1100" baseline="0">
              <a:latin typeface="Proxima Nova Rg" panose="02000506030000020004" pitchFamily="50" charset="0"/>
            </a:rPr>
            <a:t> on hold el projecto de Fuel Ethanol y no contratan.  Nos avisan cuando aprueben las inversiones. 5 marzo.</a:t>
          </a:r>
        </a:p>
        <a:p>
          <a:endParaRPr lang="es-ES" sz="1100" baseline="0">
            <a:latin typeface="Proxima Nova Rg" panose="02000506030000020004" pitchFamily="50" charset="0"/>
          </a:endParaRPr>
        </a:p>
        <a:p>
          <a:r>
            <a:rPr lang="es-ES" sz="1100" u="sng" baseline="0">
              <a:latin typeface="Proxima Nova Rg" panose="02000506030000020004" pitchFamily="50" charset="0"/>
            </a:rPr>
            <a:t>Varo</a:t>
          </a:r>
          <a:r>
            <a:rPr lang="es-ES" sz="1100" baseline="0">
              <a:latin typeface="Proxima Nova Rg" panose="02000506030000020004" pitchFamily="50" charset="0"/>
            </a:rPr>
            <a:t> - Me dice que no tienen tiempo para leerlo y que no se apuntan.  8-Marzo-18</a:t>
          </a:r>
        </a:p>
        <a:p>
          <a:endParaRPr lang="es-ES" sz="1100" baseline="0">
            <a:latin typeface="Proxima Nova Rg" panose="02000506030000020004" pitchFamily="50" charset="0"/>
          </a:endParaRPr>
        </a:p>
        <a:p>
          <a:r>
            <a:rPr lang="es-ES" sz="1100" u="sng" baseline="0">
              <a:latin typeface="Proxima Nova Rg" panose="02000506030000020004" pitchFamily="50" charset="0"/>
            </a:rPr>
            <a:t>Mitusi</a:t>
          </a:r>
          <a:r>
            <a:rPr lang="es-ES" sz="1100" baseline="0">
              <a:latin typeface="Proxima Nova Rg" panose="02000506030000020004" pitchFamily="50" charset="0"/>
            </a:rPr>
            <a:t> - Peter Jones.  Me dice que de momento no van a añadir nada más a su research. 15-abr-18</a:t>
          </a:r>
        </a:p>
        <a:p>
          <a:endParaRPr lang="es-ES" sz="1100" baseline="0">
            <a:latin typeface="Proxima Nova Rg" panose="02000506030000020004" pitchFamily="50" charset="0"/>
          </a:endParaRPr>
        </a:p>
        <a:p>
          <a:r>
            <a:rPr lang="es-ES" sz="1100" u="sng" baseline="0">
              <a:latin typeface="Proxima Nova Rg" panose="02000506030000020004" pitchFamily="50" charset="0"/>
            </a:rPr>
            <a:t>Coper</a:t>
          </a:r>
          <a:r>
            <a:rPr lang="es-ES" sz="1100" baseline="0">
              <a:latin typeface="Proxima Nova Rg" panose="02000506030000020004" pitchFamily="50" charset="0"/>
            </a:rPr>
            <a:t> - 17-may-19: </a:t>
          </a:r>
          <a:r>
            <a:rPr lang="pt-BR" sz="1100">
              <a:solidFill>
                <a:schemeClr val="dk1"/>
              </a:solidFill>
              <a:effectLst/>
              <a:latin typeface="Proxima Nova Rg" panose="02000506030000020004" pitchFamily="50" charset="0"/>
              <a:ea typeface="+mn-ea"/>
              <a:cs typeface="+mn-cs"/>
            </a:rPr>
            <a:t>Neste momento, não temos interesse em assinar este relatório, pois já temos a maior parte das informações de outras formas (internos e/ou outras consultorias que já assinamos). </a:t>
          </a:r>
          <a:r>
            <a:rPr lang="es-ES" sz="1100" baseline="0">
              <a:solidFill>
                <a:schemeClr val="dk1"/>
              </a:solidFill>
              <a:effectLst/>
              <a:latin typeface="Proxima Nova Rg" panose="02000506030000020004" pitchFamily="50" charset="0"/>
              <a:ea typeface="+mn-ea"/>
              <a:cs typeface="+mn-cs"/>
            </a:rPr>
            <a:t>  </a:t>
          </a:r>
          <a:r>
            <a:rPr lang="pt-BR" sz="1100">
              <a:solidFill>
                <a:schemeClr val="dk1"/>
              </a:solidFill>
              <a:effectLst/>
              <a:latin typeface="Proxima Nova Rg" panose="02000506030000020004" pitchFamily="50" charset="0"/>
              <a:ea typeface="+mn-ea"/>
              <a:cs typeface="+mn-cs"/>
            </a:rPr>
            <a:t>Se este cenário mudar, certamente lhe procuraremos novamente. Pedro Paranhos.</a:t>
          </a:r>
          <a:endParaRPr lang="es-ES" sz="1100">
            <a:solidFill>
              <a:schemeClr val="dk1"/>
            </a:solidFill>
            <a:effectLst/>
            <a:latin typeface="Proxima Nova Rg" panose="02000506030000020004" pitchFamily="50" charset="0"/>
            <a:ea typeface="+mn-ea"/>
            <a:cs typeface="+mn-cs"/>
          </a:endParaRPr>
        </a:p>
        <a:p>
          <a:endParaRPr lang="es-ES" sz="1100" baseline="0">
            <a:latin typeface="Proxima Nova Rg" panose="02000506030000020004" pitchFamily="50" charset="0"/>
          </a:endParaRPr>
        </a:p>
        <a:p>
          <a:r>
            <a:rPr lang="es-ES" sz="1100" u="sng" baseline="0">
              <a:latin typeface="Proxima Nova Rg" panose="02000506030000020004" pitchFamily="50" charset="0"/>
            </a:rPr>
            <a:t>COFCO</a:t>
          </a:r>
          <a:r>
            <a:rPr lang="es-ES" sz="1100" baseline="0">
              <a:latin typeface="Proxima Nova Rg" panose="02000506030000020004" pitchFamily="50" charset="0"/>
            </a:rPr>
            <a:t> - 10-ago-18: el desk de etanol es muy pequeño y no les compensa el coste.  Les digo que me puedo adaptar en coste si ven valor en algo del reporte pero me torea.  Suscriben Platts y otro, y aunque les he mencionado a Logan, no me lo ha nombrado.   Me parece que es Ryan quien me dice que es está 8h al dia y que no necesita un report de 30k foot view.  Se me olvida decirle que todas las tablas que están detrás están disponibles.  Trabajar a Bernardo en sugar week LDN y a Ryan/Aaron en RFA en USA.</a:t>
          </a:r>
        </a:p>
        <a:p>
          <a:endParaRPr lang="es-ES" sz="1100" baseline="0">
            <a:latin typeface="Proxima Nova Rg" panose="02000506030000020004" pitchFamily="50" charset="0"/>
          </a:endParaRPr>
        </a:p>
        <a:p>
          <a:r>
            <a:rPr lang="es-ES" sz="1100" u="sng" baseline="0">
              <a:latin typeface="Proxima Nova Rg" panose="02000506030000020004" pitchFamily="50" charset="0"/>
            </a:rPr>
            <a:t>Sao Martinho</a:t>
          </a:r>
          <a:r>
            <a:rPr lang="es-ES" sz="1100" u="none" baseline="0">
              <a:latin typeface="Proxima Nova Rg" panose="02000506030000020004" pitchFamily="50" charset="0"/>
            </a:rPr>
            <a:t> </a:t>
          </a:r>
          <a:r>
            <a:rPr lang="es-ES" sz="1100" baseline="0">
              <a:latin typeface="Proxima Nova Rg" panose="02000506030000020004" pitchFamily="50" charset="0"/>
            </a:rPr>
            <a:t>- 10-ago-18:  Me dice Felipe que de momento no y que lo pueden ver de nuevo cuando hagan el ppto en Diciembre.  La decisión que ha quedado con Joao, jefe de Felipe y que no es muy amigo de comprar reports.  Tienen Datagro y Arnaldo porque los tienen enganchado de arriba.  Igual es bueno intentar ver a Mauricio Ometo en Londres a ver si me echa una mano.  Van a Londres (Helder) y a Bruselas (Helder y Joao).</a:t>
          </a:r>
        </a:p>
        <a:p>
          <a:endParaRPr lang="es-ES" sz="1100" baseline="0">
            <a:latin typeface="Proxima Nova Rg" panose="02000506030000020004" pitchFamily="50" charset="0"/>
          </a:endParaRPr>
        </a:p>
        <a:p>
          <a:r>
            <a:rPr lang="es-ES" sz="1100" u="sng" baseline="0">
              <a:latin typeface="Proxima Nova Rg" panose="02000506030000020004" pitchFamily="50" charset="0"/>
            </a:rPr>
            <a:t>Adeco Agro</a:t>
          </a:r>
          <a:r>
            <a:rPr lang="es-ES" sz="1100" u="none" baseline="0">
              <a:latin typeface="Proxima Nova Rg" panose="02000506030000020004" pitchFamily="50" charset="0"/>
            </a:rPr>
            <a:t> </a:t>
          </a:r>
          <a:r>
            <a:rPr lang="es-ES" sz="1100" baseline="0">
              <a:latin typeface="Proxima Nova Rg" panose="02000506030000020004" pitchFamily="50" charset="0"/>
            </a:rPr>
            <a:t>- De momento no quieren los servicios. Me dice que les vaya enviando emails una vez por mes para estar ahi.</a:t>
          </a:r>
        </a:p>
        <a:p>
          <a:endParaRPr lang="es-ES" sz="1100" baseline="0">
            <a:latin typeface="Proxima Nova Rg" panose="02000506030000020004" pitchFamily="50" charset="0"/>
          </a:endParaRPr>
        </a:p>
        <a:p>
          <a:endParaRPr lang="es-ES" sz="1100">
            <a:latin typeface="Proxima Nova Rg" panose="02000506030000020004" pitchFamily="50" charset="0"/>
          </a:endParaRPr>
        </a:p>
      </xdr:txBody>
    </xdr:sp>
    <xdr:clientData/>
  </xdr:twoCellAnchor>
  <xdr:twoCellAnchor>
    <xdr:from>
      <xdr:col>7</xdr:col>
      <xdr:colOff>23813</xdr:colOff>
      <xdr:row>74</xdr:row>
      <xdr:rowOff>142874</xdr:rowOff>
    </xdr:from>
    <xdr:to>
      <xdr:col>13</xdr:col>
      <xdr:colOff>519113</xdr:colOff>
      <xdr:row>109</xdr:row>
      <xdr:rowOff>133349</xdr:rowOff>
    </xdr:to>
    <xdr:sp macro="" textlink="">
      <xdr:nvSpPr>
        <xdr:cNvPr id="3" name="CuadroTexto 2">
          <a:extLst>
            <a:ext uri="{FF2B5EF4-FFF2-40B4-BE49-F238E27FC236}">
              <a16:creationId xmlns:a16="http://schemas.microsoft.com/office/drawing/2014/main" id="{97FBFE41-9B1E-4E94-9B4C-A391AFABD123}"/>
            </a:ext>
          </a:extLst>
        </xdr:cNvPr>
        <xdr:cNvSpPr txBox="1"/>
      </xdr:nvSpPr>
      <xdr:spPr>
        <a:xfrm>
          <a:off x="5691188" y="13692187"/>
          <a:ext cx="6010275" cy="64912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u="sng">
              <a:latin typeface="Proxima Nova Rg" panose="02000506030000020004" pitchFamily="50" charset="0"/>
            </a:rPr>
            <a:t>Ideas Sugar week LDN</a:t>
          </a:r>
          <a:r>
            <a:rPr lang="es-ES" sz="1100" u="sng">
              <a:latin typeface="Proxima Nova Rg" panose="02000506030000020004" pitchFamily="50" charset="0"/>
            </a:rPr>
            <a:t>:</a:t>
          </a:r>
        </a:p>
        <a:p>
          <a:r>
            <a:rPr lang="es-ES" sz="1100">
              <a:latin typeface="Proxima Nova Rg" panose="02000506030000020004" pitchFamily="50" charset="0"/>
            </a:rPr>
            <a:t>SM - Conseguir email</a:t>
          </a:r>
          <a:r>
            <a:rPr lang="es-ES" sz="1100" baseline="0">
              <a:latin typeface="Proxima Nova Rg" panose="02000506030000020004" pitchFamily="50" charset="0"/>
            </a:rPr>
            <a:t> de Mauricio Ometo (Jeremy) y pedir permiso a Helder para que vo vea que le puenteo.</a:t>
          </a:r>
        </a:p>
        <a:p>
          <a:endParaRPr lang="es-ES" sz="1100" baseline="0">
            <a:latin typeface="Proxima Nova Rg" panose="02000506030000020004" pitchFamily="50" charset="0"/>
          </a:endParaRPr>
        </a:p>
        <a:p>
          <a:r>
            <a:rPr lang="es-ES" sz="1100" baseline="0">
              <a:latin typeface="Proxima Nova Rg" panose="02000506030000020004" pitchFamily="50" charset="0"/>
            </a:rPr>
            <a:t>Alta Mogiana - Luiz Gustavo nunca me respondió.  Buscarle en Londres</a:t>
          </a:r>
        </a:p>
        <a:p>
          <a:endParaRPr lang="es-ES" sz="1100">
            <a:latin typeface="Proxima Nova Rg" panose="02000506030000020004" pitchFamily="50" charset="0"/>
          </a:endParaRPr>
        </a:p>
        <a:p>
          <a:r>
            <a:rPr lang="es-ES" sz="1100">
              <a:latin typeface="Proxima Nova Rg" panose="02000506030000020004" pitchFamily="50" charset="0"/>
            </a:rPr>
            <a:t>Colombo - tiene sentido. Preguntar</a:t>
          </a:r>
          <a:r>
            <a:rPr lang="es-ES" sz="1100" baseline="0">
              <a:latin typeface="Proxima Nova Rg" panose="02000506030000020004" pitchFamily="50" charset="0"/>
            </a:rPr>
            <a:t> a Taisa en Londres</a:t>
          </a:r>
        </a:p>
        <a:p>
          <a:endParaRPr lang="es-ES" sz="1100" baseline="0">
            <a:latin typeface="Proxima Nova Rg" panose="02000506030000020004" pitchFamily="50" charset="0"/>
          </a:endParaRPr>
        </a:p>
        <a:p>
          <a:r>
            <a:rPr lang="es-ES" sz="1100" baseline="0">
              <a:latin typeface="Proxima Nova Rg" panose="02000506030000020004" pitchFamily="50" charset="0"/>
            </a:rPr>
            <a:t>Bunge?</a:t>
          </a:r>
        </a:p>
        <a:p>
          <a:endParaRPr lang="es-ES" sz="1100" baseline="0">
            <a:latin typeface="Proxima Nova Rg" panose="02000506030000020004" pitchFamily="50" charset="0"/>
          </a:endParaRPr>
        </a:p>
        <a:p>
          <a:r>
            <a:rPr lang="es-ES" sz="1100" baseline="0">
              <a:latin typeface="Proxima Nova Rg" panose="02000506030000020004" pitchFamily="50" charset="0"/>
            </a:rPr>
            <a:t>AdecoAgro - pensar como volver a atacar</a:t>
          </a:r>
        </a:p>
        <a:p>
          <a:endParaRPr lang="es-ES" sz="1100" baseline="0">
            <a:latin typeface="Proxima Nova Rg" panose="02000506030000020004" pitchFamily="50" charset="0"/>
          </a:endParaRPr>
        </a:p>
        <a:p>
          <a:r>
            <a:rPr lang="es-ES" sz="1100" b="1" u="sng" baseline="0">
              <a:latin typeface="Proxima Nova Rg" panose="02000506030000020004" pitchFamily="50" charset="0"/>
            </a:rPr>
            <a:t>Argus</a:t>
          </a:r>
          <a:r>
            <a:rPr lang="es-ES" sz="1100" baseline="0">
              <a:latin typeface="Proxima Nova Rg" panose="02000506030000020004" pitchFamily="50" charset="0"/>
            </a:rPr>
            <a:t>:</a:t>
          </a:r>
        </a:p>
        <a:p>
          <a:r>
            <a:rPr lang="es-ES" sz="1100" baseline="0">
              <a:latin typeface="Proxima Nova Rg" panose="02000506030000020004" pitchFamily="50" charset="0"/>
            </a:rPr>
            <a:t>Kurana - volve a atacar</a:t>
          </a:r>
        </a:p>
        <a:p>
          <a:endParaRPr lang="es-ES" sz="1100" baseline="0">
            <a:latin typeface="Proxima Nova Rg" panose="02000506030000020004" pitchFamily="50" charset="0"/>
          </a:endParaRPr>
        </a:p>
        <a:p>
          <a:r>
            <a:rPr lang="es-ES" sz="1100" baseline="0">
              <a:latin typeface="Proxima Nova Rg" panose="02000506030000020004" pitchFamily="50" charset="0"/>
            </a:rPr>
            <a:t>Vivergo - intentar rematar</a:t>
          </a:r>
        </a:p>
        <a:p>
          <a:endParaRPr lang="es-ES" sz="1100" baseline="0">
            <a:latin typeface="Proxima Nova Rg" panose="02000506030000020004" pitchFamily="50" charset="0"/>
          </a:endParaRPr>
        </a:p>
        <a:p>
          <a:r>
            <a:rPr lang="es-ES" sz="1100" baseline="0">
              <a:latin typeface="Proxima Nova Rg" panose="02000506030000020004" pitchFamily="50" charset="0"/>
            </a:rPr>
            <a:t>Green - hacerle presentacion. Pico y pala.</a:t>
          </a:r>
        </a:p>
        <a:p>
          <a:endParaRPr lang="es-ES" sz="1100" baseline="0">
            <a:latin typeface="Proxima Nova Rg" panose="02000506030000020004" pitchFamily="50" charset="0"/>
          </a:endParaRPr>
        </a:p>
        <a:p>
          <a:r>
            <a:rPr lang="es-ES" sz="1100" baseline="0">
              <a:latin typeface="Proxima Nova Rg" panose="02000506030000020004" pitchFamily="50" charset="0"/>
            </a:rPr>
            <a:t>BP - hacerle presantacion.</a:t>
          </a:r>
        </a:p>
        <a:p>
          <a:endParaRPr lang="es-ES" sz="1100" baseline="0">
            <a:latin typeface="Proxima Nova Rg" panose="02000506030000020004" pitchFamily="50" charset="0"/>
          </a:endParaRPr>
        </a:p>
        <a:p>
          <a:r>
            <a:rPr lang="es-ES" sz="1100" baseline="0">
              <a:latin typeface="Proxima Nova Rg" panose="02000506030000020004" pitchFamily="50" charset="0"/>
            </a:rPr>
            <a:t>Valero - ya contactado con Dirceu</a:t>
          </a:r>
        </a:p>
        <a:p>
          <a:endParaRPr lang="es-ES" sz="1100" baseline="0">
            <a:latin typeface="Proxima Nova Rg" panose="02000506030000020004" pitchFamily="50" charset="0"/>
          </a:endParaRPr>
        </a:p>
        <a:p>
          <a:endParaRPr lang="es-ES" sz="1100" baseline="0">
            <a:latin typeface="Proxima Nova Rg" panose="02000506030000020004" pitchFamily="50" charset="0"/>
          </a:endParaRPr>
        </a:p>
        <a:p>
          <a:r>
            <a:rPr lang="es-ES" sz="1100" b="1" u="sng" baseline="0">
              <a:latin typeface="Proxima Nova Rg" panose="02000506030000020004" pitchFamily="50" charset="0"/>
            </a:rPr>
            <a:t>FO Licht</a:t>
          </a:r>
        </a:p>
        <a:p>
          <a:r>
            <a:rPr lang="es-ES" sz="1100" baseline="0">
              <a:latin typeface="Proxima Nova Rg" panose="02000506030000020004" pitchFamily="50" charset="0"/>
            </a:rPr>
            <a:t>Mitsubishi - primer contacto Zach Ferguson</a:t>
          </a:r>
        </a:p>
        <a:p>
          <a:endParaRPr lang="es-ES" sz="1100" baseline="0">
            <a:latin typeface="Proxima Nova Rg" panose="02000506030000020004" pitchFamily="50" charset="0"/>
          </a:endParaRPr>
        </a:p>
        <a:p>
          <a:endParaRPr lang="es-ES" sz="1100" baseline="0">
            <a:latin typeface="Proxima Nova Rg" panose="02000506030000020004" pitchFamily="50" charset="0"/>
          </a:endParaRPr>
        </a:p>
        <a:p>
          <a:endParaRPr lang="es-ES" sz="1100" baseline="0">
            <a:latin typeface="Proxima Nova Rg" panose="02000506030000020004" pitchFamily="50" charset="0"/>
          </a:endParaRPr>
        </a:p>
        <a:p>
          <a:r>
            <a:rPr lang="es-ES" sz="1100" b="1" u="sng" baseline="0">
              <a:latin typeface="Proxima Nova Rg" panose="02000506030000020004" pitchFamily="50" charset="0"/>
            </a:rPr>
            <a:t>RFA</a:t>
          </a:r>
        </a:p>
        <a:p>
          <a:r>
            <a:rPr lang="es-ES" sz="1100" baseline="0">
              <a:latin typeface="Proxima Nova Rg" panose="02000506030000020004" pitchFamily="50" charset="0"/>
            </a:rPr>
            <a:t>Mitsubishi - rematar</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428625</xdr:colOff>
      <xdr:row>43</xdr:row>
      <xdr:rowOff>76200</xdr:rowOff>
    </xdr:from>
    <xdr:to>
      <xdr:col>16</xdr:col>
      <xdr:colOff>914437</xdr:colOff>
      <xdr:row>75</xdr:row>
      <xdr:rowOff>161975</xdr:rowOff>
    </xdr:to>
    <xdr:pic>
      <xdr:nvPicPr>
        <xdr:cNvPr id="2" name="Imagen 2">
          <a:extLst>
            <a:ext uri="{FF2B5EF4-FFF2-40B4-BE49-F238E27FC236}">
              <a16:creationId xmlns:a16="http://schemas.microsoft.com/office/drawing/2014/main" id="{911AE9A2-6E1E-EF0C-533E-32E82BC84EC8}"/>
            </a:ext>
          </a:extLst>
        </xdr:cNvPr>
        <xdr:cNvPicPr>
          <a:picLocks noChangeAspect="1"/>
        </xdr:cNvPicPr>
      </xdr:nvPicPr>
      <xdr:blipFill>
        <a:blip xmlns:r="http://schemas.openxmlformats.org/officeDocument/2006/relationships" r:embed="rId1"/>
        <a:stretch>
          <a:fillRect/>
        </a:stretch>
      </xdr:blipFill>
      <xdr:spPr>
        <a:xfrm>
          <a:off x="10044113" y="8882063"/>
          <a:ext cx="5262600" cy="67913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nixalsl-my.sharepoint.com/personal/alberto_carmona_nixal_es/Documents/Nixal%20(1)/Trade%20Industrial/Trade%20Ind%20-%20cuadro%20de%20gesti&#243;n.xlsx" TargetMode="External"/><Relationship Id="rId1" Type="http://schemas.openxmlformats.org/officeDocument/2006/relationships/externalLinkPath" Target="Trade%20Industrial/Trade%20Ind%20-%20cuadro%20de%20gesti&#243;n.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Molino%20Don%20Zoilo/Cuadros%20de%20gesti&#243;n%20archivados/Cuadros%20de%20gesti&#243;n%20ejercicio%2021-22/2022-07%20Cuadro%20gesti&#243;n%20cierre%20Julio%202022.xlsx" TargetMode="External"/><Relationship Id="rId1" Type="http://schemas.openxmlformats.org/officeDocument/2006/relationships/externalLinkPath" Target="/personal/alberto_carmona_nixal_es/Documents/Molino%20Don%20Zoilo/Cuadros%20de%20gesti&#243;n%20archivados/Cuadros%20de%20gesti&#243;n%20ejercicio%2021-22/2022-07%20Cuadro%20gesti&#243;n%20cierre%20Julio%202022.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https://nixalsl-my.sharepoint.com/personal/alberto_carmona_nixal_es/Documents/Molino%20Don%20Zoilo/Administrativo-financiero/Cuadros%20de%20gesti&#243;n%20archivados/Cuadros%20de%20gesti&#243;n%20ejercicio%2022-23/2023-02%20Cuadro%20gesti&#243;n%20cierre%20Febrero%202023.xlsx%20(2&#186;).xlsx" TargetMode="External"/><Relationship Id="rId2" Type="http://schemas.microsoft.com/office/2019/04/relationships/externalLinkLongPath" Target="/personal/alberto_carmona_nixal_es/Documents/Molino%20Don%20Zoilo/Administrativo-financiero/Cuadros%20de%20gesti&#243;n%20archivados/Cuadros%20de%20gesti&#243;n%20ejercicio%2022-23/2023-02%20Cuadro%20gesti&#243;n%20cierre%20Febrero%202023.xlsx%20(2&#186;).xlsx?CA06B825" TargetMode="External"/><Relationship Id="rId1" Type="http://schemas.openxmlformats.org/officeDocument/2006/relationships/externalLinkPath" Target="file:///\\CA06B825\2023-02%20Cuadro%20gesti&#243;n%20cierre%20Febrero%202023.xlsx%20(2&#186;).xlsx" TargetMode="External"/><Relationship Id="rId4" Type="http://schemas.openxmlformats.org/officeDocument/2006/relationships/externalLinkPath" Target="../Molino%20Don%20Zoilo/Administrativo-financiero/Cuadros%20de%20gesti&#243;n%20archivados/Cuadros%20de%20gesti&#243;n%20ejercicio%2022-23/2023-02%20Cuadro%20gesti&#243;n%20cierre%20Febrero%202023.xlsx%20(2&#186;).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recepci&#243;n\Desktop\Molino%20-%20Cuadro%20gesti&#243;n.xlsx" TargetMode="External"/><Relationship Id="rId1" Type="http://schemas.openxmlformats.org/officeDocument/2006/relationships/externalLinkPath" Target="file:///C:\Users\recepci&#243;n\Desktop\Molino%20-%20Cuadro%20gesti&#243;n.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recepci&#243;n\Desktop\NixAl%20Agri%20-%20Cuadro%20gesti&#243;n.xlsx" TargetMode="External"/><Relationship Id="rId1" Type="http://schemas.openxmlformats.org/officeDocument/2006/relationships/externalLinkPath" Target="file:///C:\Users\recepci&#243;n\Desktop\NixAl%20Agri%20-%20Cuadro%20gesti&#243;n.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programas4\Desktop\NixAl%20Agri%20-%20Cuadro%20gesti&#243;n%2011-12-23.xlsx" TargetMode="External"/><Relationship Id="rId1" Type="http://schemas.openxmlformats.org/officeDocument/2006/relationships/externalLinkPath" Target="file:///C:\Users\programas4\Desktop\NixAl%20Agri%20-%20Cuadro%20gesti&#243;n%2011-12-23.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Molino%20Don%20Zoilo/Las%20Corchas%20-%20Cuadro%20gesti&#243;n.xlsx" TargetMode="External"/><Relationship Id="rId1" Type="http://schemas.openxmlformats.org/officeDocument/2006/relationships/externalLinkPath" Target="/personal/alberto_carmona_nixal_es/Documents/Molino%20Don%20Zoilo/Las%20Corchas%20-%20Cuadro%20gesti&#243;n.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Valle%20las%20Corchas/Las%20Corchas%20-%20Cuadro%20gesti&#243;n.xlsx" TargetMode="External"/><Relationship Id="rId1" Type="http://schemas.openxmlformats.org/officeDocument/2006/relationships/externalLinkPath" Target="/personal/alberto_carmona_nixal_es/Documents/Valle%20las%20Corchas/Las%20Corchas%20-%20Cuadro%20gesti&#243;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ja1"/>
      <sheetName val="Hoja2"/>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sumen"/>
      <sheetName val="Alimento"/>
      <sheetName val="Inventario Vacas"/>
      <sheetName val="Necesidades Alimento"/>
      <sheetName val="Presupuesto Cochinos"/>
      <sheetName val="Ing y gtos"/>
      <sheetName val="Resumen cierre"/>
      <sheetName val="Pluviometria"/>
      <sheetName val="Plan de trabajo Feb20-Feb21"/>
      <sheetName val="Cuadrante trabajo"/>
      <sheetName val="Calculos inseminación"/>
      <sheetName val="Coste siembra"/>
    </sheetNames>
    <sheetDataSet>
      <sheetData sheetId="0"/>
      <sheetData sheetId="1"/>
      <sheetData sheetId="2"/>
      <sheetData sheetId="3"/>
      <sheetData sheetId="4"/>
      <sheetData sheetId="5">
        <row r="184">
          <cell r="AY184"/>
        </row>
        <row r="185">
          <cell r="AQ185">
            <v>47500</v>
          </cell>
        </row>
      </sheetData>
      <sheetData sheetId="6"/>
      <sheetData sheetId="7"/>
      <sheetData sheetId="8"/>
      <sheetData sheetId="9"/>
      <sheetData sheetId="10"/>
      <sheetData sheetId="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Resumen"/>
      <sheetName val="Alimento"/>
      <sheetName val="Inventario Vacas"/>
      <sheetName val="Necesidades Alimento"/>
      <sheetName val="Presupuesto Cochinos"/>
      <sheetName val="Ing y gtos"/>
      <sheetName val="Resumen cierre"/>
      <sheetName val="Pluviometria"/>
      <sheetName val="Plan de trabajo Feb20-Feb21"/>
      <sheetName val="Cuadrante trabajo"/>
      <sheetName val="Calculos inseminación"/>
      <sheetName val="Coste siembra"/>
    </sheetNames>
    <sheetDataSet>
      <sheetData sheetId="0"/>
      <sheetData sheetId="1"/>
      <sheetData sheetId="2"/>
      <sheetData sheetId="3"/>
      <sheetData sheetId="4"/>
      <sheetData sheetId="5">
        <row r="216">
          <cell r="BA216">
            <v>44000</v>
          </cell>
        </row>
      </sheetData>
      <sheetData sheetId="6"/>
      <sheetData sheetId="7"/>
      <sheetData sheetId="8"/>
      <sheetData sheetId="9"/>
      <sheetData sheetId="10"/>
      <sheetData sheetId="1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men"/>
      <sheetName val="Alimento"/>
      <sheetName val="Inventario Vacas"/>
      <sheetName val="Necesidades Alimento"/>
      <sheetName val="Presupuesto Cochinos"/>
      <sheetName val="Ing y gtos"/>
      <sheetName val="Resumen cierre"/>
      <sheetName val="Pluviometria"/>
      <sheetName val="Plan de trabajo Feb20-Feb21"/>
      <sheetName val="Cuadrante trabajo"/>
      <sheetName val="Calculos inseminación"/>
      <sheetName val="Coste siembra"/>
    </sheetNames>
    <sheetDataSet>
      <sheetData sheetId="0"/>
      <sheetData sheetId="1"/>
      <sheetData sheetId="2"/>
      <sheetData sheetId="3"/>
      <sheetData sheetId="4"/>
      <sheetData sheetId="5">
        <row r="218">
          <cell r="BB218">
            <v>19820</v>
          </cell>
          <cell r="BC218">
            <v>56355</v>
          </cell>
          <cell r="BD218">
            <v>18580</v>
          </cell>
          <cell r="BE218">
            <v>19024</v>
          </cell>
          <cell r="BF218">
            <v>9464.5400000000009</v>
          </cell>
        </row>
      </sheetData>
      <sheetData sheetId="6"/>
      <sheetData sheetId="7"/>
      <sheetData sheetId="8"/>
      <sheetData sheetId="9"/>
      <sheetData sheetId="10"/>
      <sheetData sheetId="1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olidado"/>
      <sheetName val="Ing y gtos"/>
      <sheetName val="Calculos"/>
      <sheetName val="Alimento y ventas"/>
      <sheetName val="Alimento y ventas (con pienso)"/>
      <sheetName val="Calculos pienso"/>
      <sheetName val="PyG"/>
    </sheetNames>
    <sheetDataSet>
      <sheetData sheetId="0"/>
      <sheetData sheetId="1">
        <row r="145">
          <cell r="AU145"/>
          <cell r="AV145"/>
          <cell r="AW145"/>
          <cell r="AX145"/>
          <cell r="AY145"/>
          <cell r="AZ145"/>
          <cell r="BA145"/>
          <cell r="BB145"/>
          <cell r="BC145"/>
          <cell r="BD145"/>
          <cell r="BE145"/>
          <cell r="BF145"/>
        </row>
      </sheetData>
      <sheetData sheetId="2"/>
      <sheetData sheetId="3"/>
      <sheetData sheetId="4"/>
      <sheetData sheetId="5"/>
      <sheetData sheetId="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g y gtos"/>
      <sheetName val="Calculos"/>
      <sheetName val="Alimento y ventas"/>
      <sheetName val="Alimento y ventas (con pienso)"/>
      <sheetName val="Calculos pienso"/>
      <sheetName val="PyG"/>
    </sheetNames>
    <sheetDataSet>
      <sheetData sheetId="0">
        <row r="148">
          <cell r="AG148"/>
          <cell r="AH148"/>
          <cell r="AI148"/>
          <cell r="AJ148"/>
          <cell r="AK148">
            <v>-60000</v>
          </cell>
          <cell r="AL148">
            <v>-64500</v>
          </cell>
          <cell r="AM148"/>
          <cell r="AN148"/>
          <cell r="AO148"/>
          <cell r="AP148"/>
        </row>
      </sheetData>
      <sheetData sheetId="1"/>
      <sheetData sheetId="2"/>
      <sheetData sheetId="3"/>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sumen"/>
      <sheetName val="Alimento"/>
      <sheetName val="Inventario Vacas"/>
      <sheetName val="Necesidades Alimento"/>
      <sheetName val="Presupuesto Cochinos"/>
      <sheetName val="Ing y gtos"/>
      <sheetName val="Resumen cierre"/>
      <sheetName val="Pluviometria"/>
      <sheetName val="Plan de trabajo Feb20-Feb21"/>
      <sheetName val="Cuadrante trabajo"/>
      <sheetName val="Calculos inseminación"/>
      <sheetName val="Coste siembra"/>
    </sheetNames>
    <sheetDataSet>
      <sheetData sheetId="0"/>
      <sheetData sheetId="1"/>
      <sheetData sheetId="2"/>
      <sheetData sheetId="3"/>
      <sheetData sheetId="4"/>
      <sheetData sheetId="5">
        <row r="119">
          <cell r="D119">
            <v>4853.46</v>
          </cell>
        </row>
      </sheetData>
      <sheetData sheetId="6"/>
      <sheetData sheetId="7"/>
      <sheetData sheetId="8"/>
      <sheetData sheetId="9"/>
      <sheetData sheetId="10"/>
      <sheetData sheetId="1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sumen"/>
      <sheetName val="Alimento"/>
      <sheetName val="Inventario Vacas"/>
      <sheetName val="Necesidades Alimento"/>
      <sheetName val="Presupuesto Cochinos"/>
      <sheetName val="Ing y gtos"/>
      <sheetName val="Resumen cierre"/>
      <sheetName val="Pluviometria"/>
      <sheetName val="Plan de trabajo Feb20-Feb21"/>
      <sheetName val="Cuadrante trabajo"/>
      <sheetName val="Calculos inseminación"/>
      <sheetName val="Coste siembra"/>
    </sheetNames>
    <sheetDataSet>
      <sheetData sheetId="0"/>
      <sheetData sheetId="1"/>
      <sheetData sheetId="2"/>
      <sheetData sheetId="3"/>
      <sheetData sheetId="4"/>
      <sheetData sheetId="5">
        <row r="119">
          <cell r="E119">
            <v>6200</v>
          </cell>
          <cell r="F119">
            <v>32400</v>
          </cell>
        </row>
      </sheetData>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atja.beitzen@exxonmobil.com" TargetMode="External"/><Relationship Id="rId1" Type="http://schemas.openxmlformats.org/officeDocument/2006/relationships/hyperlink" Target="mailto:michaela.cappannelli@ecofuel.eni.com"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101"/>
  <sheetViews>
    <sheetView showGridLines="0" workbookViewId="0">
      <selection activeCell="A2" sqref="A2"/>
    </sheetView>
  </sheetViews>
  <sheetFormatPr baseColWidth="10" defaultColWidth="10.7109375" defaultRowHeight="15"/>
  <cols>
    <col min="1" max="1" width="3" style="1" customWidth="1"/>
    <col min="2" max="2" width="28.28515625" style="1" bestFit="1" customWidth="1"/>
    <col min="3" max="3" width="13" style="1" bestFit="1" customWidth="1"/>
    <col min="4" max="4" width="5.7109375" style="1" customWidth="1"/>
    <col min="5" max="5" width="12.28515625" style="1" bestFit="1" customWidth="1"/>
    <col min="6" max="6" width="13" style="1" bestFit="1" customWidth="1"/>
    <col min="7" max="7" width="3.28515625" style="1" customWidth="1"/>
    <col min="8" max="8" width="28.28515625" style="1" bestFit="1" customWidth="1"/>
    <col min="9" max="9" width="3.28515625" style="1" customWidth="1"/>
    <col min="10" max="10" width="13.28515625" style="1" bestFit="1" customWidth="1"/>
    <col min="11" max="11" width="4.7109375" style="1" customWidth="1"/>
    <col min="12" max="12" width="13.28515625" style="1" customWidth="1"/>
    <col min="13" max="13" width="13.7109375" style="1" bestFit="1" customWidth="1"/>
    <col min="14" max="16384" width="10.7109375" style="1"/>
  </cols>
  <sheetData>
    <row r="1" spans="2:13" ht="7.5" customHeight="1"/>
    <row r="2" spans="2:13">
      <c r="B2" s="21" t="s">
        <v>0</v>
      </c>
      <c r="C2" s="12"/>
      <c r="D2" s="12"/>
      <c r="E2" s="20"/>
      <c r="F2" s="20">
        <f>F26</f>
        <v>136700</v>
      </c>
      <c r="H2" s="14" t="s">
        <v>1</v>
      </c>
      <c r="I2" s="13"/>
      <c r="J2" s="18">
        <f>SUM(J4,J17,J21)</f>
        <v>22119.098360655738</v>
      </c>
      <c r="L2" s="14" t="s">
        <v>2</v>
      </c>
      <c r="M2" s="18">
        <f>F2-J2</f>
        <v>114580.90163934426</v>
      </c>
    </row>
    <row r="3" spans="2:13" ht="6.4" customHeight="1"/>
    <row r="4" spans="2:13">
      <c r="B4" s="2"/>
      <c r="C4" s="2"/>
      <c r="D4" s="24" t="s">
        <v>3</v>
      </c>
      <c r="E4" s="24"/>
      <c r="F4" s="25" t="s">
        <v>4</v>
      </c>
      <c r="H4" s="15" t="s">
        <v>5</v>
      </c>
      <c r="I4" s="15"/>
      <c r="J4" s="16">
        <f>SUM(J12,J5)</f>
        <v>10545</v>
      </c>
      <c r="L4" s="1" t="s">
        <v>6</v>
      </c>
      <c r="M4" s="4">
        <v>130000</v>
      </c>
    </row>
    <row r="5" spans="2:13">
      <c r="B5" s="3" t="s">
        <v>7</v>
      </c>
      <c r="C5" s="3" t="s">
        <v>8</v>
      </c>
      <c r="D5" s="3" t="s">
        <v>9</v>
      </c>
      <c r="E5" s="3" t="s">
        <v>10</v>
      </c>
      <c r="F5" s="3"/>
      <c r="H5" s="11" t="s">
        <v>11</v>
      </c>
      <c r="J5" s="17">
        <f>SUM(J6:J10)</f>
        <v>6065</v>
      </c>
      <c r="L5" s="8" t="s">
        <v>12</v>
      </c>
      <c r="M5" s="22">
        <f>M2/M4</f>
        <v>0.88139155107187894</v>
      </c>
    </row>
    <row r="6" spans="2:13">
      <c r="B6" s="1" t="s">
        <v>13</v>
      </c>
      <c r="C6" s="4">
        <v>35000</v>
      </c>
      <c r="D6" s="5">
        <v>0.5</v>
      </c>
      <c r="E6" s="4">
        <f>C6*D6</f>
        <v>17500</v>
      </c>
      <c r="F6" s="4">
        <f>C6-E6</f>
        <v>17500</v>
      </c>
      <c r="H6" s="1" t="s">
        <v>14</v>
      </c>
      <c r="J6" s="4">
        <f>850+500+500</f>
        <v>1850</v>
      </c>
      <c r="L6" s="1" t="s">
        <v>15</v>
      </c>
      <c r="M6" s="23">
        <f>M2-M4</f>
        <v>-15419.098360655742</v>
      </c>
    </row>
    <row r="7" spans="2:13">
      <c r="B7" s="1" t="s">
        <v>16</v>
      </c>
      <c r="C7" s="4">
        <v>15000</v>
      </c>
      <c r="D7" s="5">
        <v>0.3</v>
      </c>
      <c r="E7" s="4">
        <f t="shared" ref="E7:E9" si="0">C7*D7</f>
        <v>4500</v>
      </c>
      <c r="F7" s="4">
        <f t="shared" ref="F7:F9" si="1">C7-E7</f>
        <v>10500</v>
      </c>
      <c r="H7" s="1" t="s">
        <v>17</v>
      </c>
      <c r="J7" s="4">
        <v>500</v>
      </c>
      <c r="L7" s="1" t="s">
        <v>18</v>
      </c>
      <c r="M7" s="6">
        <f>F29+F46</f>
        <v>164121.95121951221</v>
      </c>
    </row>
    <row r="8" spans="2:13">
      <c r="B8" s="1" t="s">
        <v>19</v>
      </c>
      <c r="C8" s="4">
        <v>15000</v>
      </c>
      <c r="D8" s="5">
        <v>0.3</v>
      </c>
      <c r="E8" s="4">
        <f t="shared" si="0"/>
        <v>4500</v>
      </c>
      <c r="F8" s="4">
        <f t="shared" si="1"/>
        <v>10500</v>
      </c>
      <c r="H8" s="1" t="s">
        <v>20</v>
      </c>
      <c r="J8" s="4">
        <f>850+500+500</f>
        <v>1850</v>
      </c>
    </row>
    <row r="9" spans="2:13">
      <c r="B9" s="1" t="s">
        <v>21</v>
      </c>
      <c r="C9" s="35">
        <v>30000</v>
      </c>
      <c r="D9" s="5">
        <v>0</v>
      </c>
      <c r="E9" s="4">
        <f t="shared" si="0"/>
        <v>0</v>
      </c>
      <c r="F9" s="4">
        <f t="shared" si="1"/>
        <v>30000</v>
      </c>
      <c r="H9" s="1" t="s">
        <v>22</v>
      </c>
      <c r="J9" s="4">
        <f>250+50+215</f>
        <v>515</v>
      </c>
    </row>
    <row r="10" spans="2:13">
      <c r="B10" s="1" t="s">
        <v>23</v>
      </c>
      <c r="C10" s="4">
        <v>5000</v>
      </c>
      <c r="D10" s="5">
        <v>0.3</v>
      </c>
      <c r="E10" s="4">
        <f t="shared" ref="E10:E12" si="2">C10*D10</f>
        <v>1500</v>
      </c>
      <c r="F10" s="4">
        <f t="shared" ref="F10:F12" si="3">C10-E10</f>
        <v>3500</v>
      </c>
      <c r="H10" s="1" t="s">
        <v>24</v>
      </c>
      <c r="J10" s="4">
        <f>550+550+250</f>
        <v>1350</v>
      </c>
    </row>
    <row r="11" spans="2:13">
      <c r="B11" s="1" t="s">
        <v>25</v>
      </c>
      <c r="C11" s="4">
        <v>15000</v>
      </c>
      <c r="D11" s="5">
        <v>0</v>
      </c>
      <c r="E11" s="4">
        <f t="shared" si="2"/>
        <v>0</v>
      </c>
      <c r="F11" s="4">
        <f t="shared" si="3"/>
        <v>15000</v>
      </c>
      <c r="J11" s="4"/>
    </row>
    <row r="12" spans="2:13">
      <c r="B12" s="1" t="s">
        <v>26</v>
      </c>
      <c r="C12" s="4">
        <v>5000</v>
      </c>
      <c r="D12" s="34">
        <v>0.3</v>
      </c>
      <c r="E12" s="4">
        <f t="shared" si="2"/>
        <v>1500</v>
      </c>
      <c r="F12" s="4">
        <f t="shared" si="3"/>
        <v>3500</v>
      </c>
      <c r="H12" s="11" t="s">
        <v>27</v>
      </c>
      <c r="J12" s="17">
        <f>SUM(J13:J14)</f>
        <v>4480</v>
      </c>
    </row>
    <row r="13" spans="2:13">
      <c r="B13" s="1" t="s">
        <v>28</v>
      </c>
      <c r="C13" s="35">
        <v>7500</v>
      </c>
      <c r="D13" s="34">
        <v>0.3</v>
      </c>
      <c r="E13" s="4">
        <f t="shared" ref="E13:E16" si="4">C13*D13</f>
        <v>2250</v>
      </c>
      <c r="F13" s="4">
        <f t="shared" ref="F13:F16" si="5">C13-E13</f>
        <v>5250</v>
      </c>
      <c r="H13" s="1" t="s">
        <v>29</v>
      </c>
      <c r="J13" s="4">
        <f>(130+100+100)*6</f>
        <v>1980</v>
      </c>
    </row>
    <row r="14" spans="2:13">
      <c r="B14" s="1" t="s">
        <v>30</v>
      </c>
      <c r="C14" s="35">
        <v>18500</v>
      </c>
      <c r="D14" s="34">
        <v>0.3</v>
      </c>
      <c r="E14" s="4">
        <f t="shared" si="4"/>
        <v>5550</v>
      </c>
      <c r="F14" s="4">
        <f t="shared" si="5"/>
        <v>12950</v>
      </c>
      <c r="H14" s="1" t="s">
        <v>31</v>
      </c>
      <c r="J14" s="4">
        <v>2500</v>
      </c>
    </row>
    <row r="15" spans="2:13">
      <c r="B15" s="1" t="s">
        <v>32</v>
      </c>
      <c r="C15" s="35">
        <v>15000</v>
      </c>
      <c r="D15" s="34">
        <v>0.3</v>
      </c>
      <c r="E15" s="4">
        <f t="shared" si="4"/>
        <v>4500</v>
      </c>
      <c r="F15" s="4">
        <f t="shared" si="5"/>
        <v>10500</v>
      </c>
    </row>
    <row r="16" spans="2:13">
      <c r="B16" s="1" t="s">
        <v>33</v>
      </c>
      <c r="C16" s="35">
        <v>15000</v>
      </c>
      <c r="D16" s="34">
        <v>0.3</v>
      </c>
      <c r="E16" s="4">
        <f t="shared" si="4"/>
        <v>4500</v>
      </c>
      <c r="F16" s="4">
        <f t="shared" si="5"/>
        <v>10500</v>
      </c>
    </row>
    <row r="17" spans="2:10">
      <c r="B17" s="1" t="s">
        <v>34</v>
      </c>
      <c r="C17" s="35">
        <v>0</v>
      </c>
      <c r="H17" s="15" t="s">
        <v>35</v>
      </c>
      <c r="I17" s="15"/>
      <c r="J17" s="16">
        <f>SUM(J18:J19)</f>
        <v>3300</v>
      </c>
    </row>
    <row r="18" spans="2:10">
      <c r="B18" s="1" t="s">
        <v>36</v>
      </c>
      <c r="C18" s="4"/>
      <c r="H18" s="1" t="s">
        <v>37</v>
      </c>
      <c r="J18" s="4">
        <f>15000*0+(200*12)</f>
        <v>2400</v>
      </c>
    </row>
    <row r="19" spans="2:10">
      <c r="B19" s="1" t="s">
        <v>38</v>
      </c>
      <c r="C19" s="35">
        <v>15000</v>
      </c>
      <c r="H19" s="1" t="s">
        <v>39</v>
      </c>
      <c r="J19" s="4">
        <f>75*12</f>
        <v>900</v>
      </c>
    </row>
    <row r="20" spans="2:10">
      <c r="B20" s="1" t="s">
        <v>40</v>
      </c>
      <c r="C20" s="4">
        <v>10000</v>
      </c>
      <c r="D20" s="34">
        <v>0.3</v>
      </c>
      <c r="E20" s="4">
        <f t="shared" ref="E20:E21" si="6">C20*D20</f>
        <v>3000</v>
      </c>
      <c r="F20" s="4">
        <f t="shared" ref="F20:F21" si="7">C20-E20</f>
        <v>7000</v>
      </c>
    </row>
    <row r="21" spans="2:10">
      <c r="B21" s="1" t="s">
        <v>41</v>
      </c>
      <c r="C21" s="35">
        <v>0</v>
      </c>
      <c r="D21" s="34">
        <v>0.3</v>
      </c>
      <c r="E21" s="4">
        <f t="shared" si="6"/>
        <v>0</v>
      </c>
      <c r="F21" s="4">
        <f t="shared" si="7"/>
        <v>0</v>
      </c>
      <c r="H21" s="15" t="s">
        <v>42</v>
      </c>
      <c r="I21" s="15"/>
      <c r="J21" s="19">
        <f>SUM(J22:J25)</f>
        <v>8274.0983606557384</v>
      </c>
    </row>
    <row r="22" spans="2:10">
      <c r="B22" s="1" t="s">
        <v>43</v>
      </c>
      <c r="C22" s="4"/>
      <c r="H22" s="1" t="s">
        <v>44</v>
      </c>
      <c r="J22" s="4">
        <f>85*12</f>
        <v>1020</v>
      </c>
    </row>
    <row r="23" spans="2:10">
      <c r="B23" s="1" t="s">
        <v>45</v>
      </c>
      <c r="C23" s="4"/>
      <c r="H23" s="1" t="s">
        <v>46</v>
      </c>
      <c r="J23" s="4">
        <v>1000</v>
      </c>
    </row>
    <row r="24" spans="2:10">
      <c r="B24" s="1" t="s">
        <v>47</v>
      </c>
      <c r="C24" s="35">
        <v>15000</v>
      </c>
      <c r="H24" s="1" t="s">
        <v>48</v>
      </c>
      <c r="J24" s="4">
        <f>280*12/1.22</f>
        <v>2754.0983606557379</v>
      </c>
    </row>
    <row r="25" spans="2:10">
      <c r="B25" s="1" t="s">
        <v>49</v>
      </c>
      <c r="C25" s="35">
        <v>15000</v>
      </c>
      <c r="D25" s="34">
        <v>0.3</v>
      </c>
      <c r="H25" s="1" t="s">
        <v>50</v>
      </c>
      <c r="J25" s="4">
        <v>3500</v>
      </c>
    </row>
    <row r="26" spans="2:10">
      <c r="B26" s="2" t="s">
        <v>51</v>
      </c>
      <c r="C26" s="7">
        <f>SUM(C6:C25)</f>
        <v>231000</v>
      </c>
      <c r="D26" s="2"/>
      <c r="E26" s="7">
        <f>SUM(E6:E25)</f>
        <v>49300</v>
      </c>
      <c r="F26" s="7">
        <f>SUM(F6:F25)</f>
        <v>136700</v>
      </c>
    </row>
    <row r="27" spans="2:10">
      <c r="C27" s="6"/>
    </row>
    <row r="29" spans="2:10">
      <c r="B29" s="9" t="s">
        <v>52</v>
      </c>
      <c r="C29" s="10">
        <f>SUM(C30:C42)</f>
        <v>80121.951219512193</v>
      </c>
      <c r="D29" s="11"/>
      <c r="E29" s="10">
        <f>SUM(E30:E42)</f>
        <v>22500</v>
      </c>
      <c r="F29" s="10">
        <f>SUM(F30:F42)</f>
        <v>57621.951219512193</v>
      </c>
    </row>
    <row r="30" spans="2:10">
      <c r="B30" s="1" t="s">
        <v>53</v>
      </c>
      <c r="C30" s="4">
        <v>0</v>
      </c>
      <c r="D30" s="5">
        <v>0</v>
      </c>
      <c r="E30" s="4">
        <f>C30*D30</f>
        <v>0</v>
      </c>
      <c r="F30" s="4">
        <f>C30-E30</f>
        <v>0</v>
      </c>
    </row>
    <row r="31" spans="2:10">
      <c r="B31" s="1" t="s">
        <v>32</v>
      </c>
      <c r="C31" s="4">
        <v>15000</v>
      </c>
      <c r="D31" s="5">
        <v>0.3</v>
      </c>
      <c r="E31" s="4">
        <f t="shared" ref="E31:E32" si="8">C31*D31</f>
        <v>4500</v>
      </c>
      <c r="F31" s="4">
        <f t="shared" ref="F31:F32" si="9">C31-E31</f>
        <v>10500</v>
      </c>
    </row>
    <row r="32" spans="2:10">
      <c r="B32" s="1" t="s">
        <v>38</v>
      </c>
      <c r="C32" s="4">
        <v>15000</v>
      </c>
      <c r="D32" s="5">
        <v>0.3</v>
      </c>
      <c r="E32" s="4">
        <f t="shared" si="8"/>
        <v>4500</v>
      </c>
      <c r="F32" s="4">
        <f t="shared" si="9"/>
        <v>10500</v>
      </c>
    </row>
    <row r="33" spans="2:6">
      <c r="B33" s="1" t="s">
        <v>40</v>
      </c>
      <c r="C33" s="4"/>
      <c r="D33" s="5">
        <v>0.3</v>
      </c>
      <c r="E33" s="4">
        <f t="shared" ref="E33:E38" si="10">C33*D33</f>
        <v>0</v>
      </c>
      <c r="F33" s="4">
        <f t="shared" ref="F33:F38" si="11">C33-E33</f>
        <v>0</v>
      </c>
    </row>
    <row r="34" spans="2:6">
      <c r="B34" s="1" t="s">
        <v>54</v>
      </c>
      <c r="C34" s="4">
        <v>0</v>
      </c>
      <c r="D34" s="5">
        <v>0.3</v>
      </c>
      <c r="E34" s="4">
        <f t="shared" si="10"/>
        <v>0</v>
      </c>
      <c r="F34" s="4">
        <f t="shared" si="11"/>
        <v>0</v>
      </c>
    </row>
    <row r="35" spans="2:6">
      <c r="B35" s="1" t="s">
        <v>55</v>
      </c>
      <c r="C35" s="4">
        <v>15000</v>
      </c>
      <c r="D35" s="5">
        <v>0.3</v>
      </c>
      <c r="E35" s="4">
        <f t="shared" si="10"/>
        <v>4500</v>
      </c>
      <c r="F35" s="4">
        <f t="shared" si="11"/>
        <v>10500</v>
      </c>
    </row>
    <row r="36" spans="2:6">
      <c r="B36" s="1" t="s">
        <v>56</v>
      </c>
      <c r="C36" s="4">
        <v>0</v>
      </c>
      <c r="D36" s="5">
        <v>0.3</v>
      </c>
      <c r="E36" s="4">
        <f t="shared" si="10"/>
        <v>0</v>
      </c>
      <c r="F36" s="4">
        <f t="shared" si="11"/>
        <v>0</v>
      </c>
    </row>
    <row r="37" spans="2:6">
      <c r="B37" s="1" t="s">
        <v>47</v>
      </c>
      <c r="C37" s="4">
        <v>15000</v>
      </c>
      <c r="D37" s="5">
        <v>0.3</v>
      </c>
      <c r="E37" s="4">
        <f t="shared" si="10"/>
        <v>4500</v>
      </c>
      <c r="F37" s="4">
        <f t="shared" si="11"/>
        <v>10500</v>
      </c>
    </row>
    <row r="38" spans="2:6">
      <c r="C38" s="4"/>
      <c r="D38" s="5">
        <v>0.3</v>
      </c>
      <c r="E38" s="4">
        <f t="shared" si="10"/>
        <v>0</v>
      </c>
      <c r="F38" s="4">
        <f t="shared" si="11"/>
        <v>0</v>
      </c>
    </row>
    <row r="39" spans="2:6">
      <c r="B39" s="1" t="s">
        <v>33</v>
      </c>
      <c r="C39" s="4">
        <v>15000</v>
      </c>
      <c r="D39" s="5">
        <v>0.3</v>
      </c>
      <c r="E39" s="4">
        <f>C39*D39</f>
        <v>4500</v>
      </c>
      <c r="F39" s="4">
        <f>C39-E39</f>
        <v>10500</v>
      </c>
    </row>
    <row r="40" spans="2:6">
      <c r="B40" s="1" t="s">
        <v>45</v>
      </c>
      <c r="C40" s="4">
        <v>0</v>
      </c>
      <c r="D40" s="5">
        <v>0.3</v>
      </c>
      <c r="E40" s="4">
        <f>C40*D40</f>
        <v>0</v>
      </c>
      <c r="F40" s="4">
        <f>C40-E40</f>
        <v>0</v>
      </c>
    </row>
    <row r="41" spans="2:6">
      <c r="B41" s="1" t="s">
        <v>57</v>
      </c>
      <c r="C41" s="4">
        <f>6300/1.23</f>
        <v>5121.9512195121952</v>
      </c>
      <c r="D41" s="5">
        <v>0</v>
      </c>
      <c r="E41" s="4">
        <f>C41*D41</f>
        <v>0</v>
      </c>
      <c r="F41" s="4">
        <f>C41-E41</f>
        <v>5121.9512195121952</v>
      </c>
    </row>
    <row r="42" spans="2:6">
      <c r="B42" s="1" t="s">
        <v>58</v>
      </c>
      <c r="C42" s="4">
        <v>0</v>
      </c>
      <c r="D42" s="5">
        <v>0</v>
      </c>
      <c r="E42" s="4">
        <f>C42*D42</f>
        <v>0</v>
      </c>
      <c r="F42" s="4">
        <f>C42-E42</f>
        <v>0</v>
      </c>
    </row>
    <row r="43" spans="2:6">
      <c r="C43" s="4"/>
      <c r="D43" s="5"/>
      <c r="E43" s="4"/>
      <c r="F43" s="4"/>
    </row>
    <row r="44" spans="2:6">
      <c r="B44" s="15" t="s">
        <v>59</v>
      </c>
      <c r="C44" s="16">
        <f>SUM(C26,C29)</f>
        <v>311121.95121951221</v>
      </c>
      <c r="D44" s="26"/>
      <c r="E44" s="16">
        <f>SUM(E26,E29)</f>
        <v>71800</v>
      </c>
      <c r="F44" s="16">
        <f>SUM(F26,F29)</f>
        <v>194321.95121951221</v>
      </c>
    </row>
    <row r="45" spans="2:6">
      <c r="C45" s="4"/>
      <c r="D45" s="5"/>
      <c r="E45" s="4"/>
      <c r="F45" s="4"/>
    </row>
    <row r="46" spans="2:6">
      <c r="B46" s="9" t="s">
        <v>60</v>
      </c>
      <c r="C46" s="10">
        <f>SUM(C47:C56)</f>
        <v>120000</v>
      </c>
      <c r="D46" s="11"/>
      <c r="E46" s="10">
        <f>SUM(E47:E56)</f>
        <v>13500</v>
      </c>
      <c r="F46" s="10">
        <f>SUM(F47:F56)</f>
        <v>106500</v>
      </c>
    </row>
    <row r="47" spans="2:6">
      <c r="B47" s="1" t="s">
        <v>61</v>
      </c>
      <c r="C47" s="4">
        <v>15000</v>
      </c>
      <c r="D47" s="5">
        <v>0</v>
      </c>
      <c r="E47" s="4">
        <f t="shared" ref="E47" si="12">C47*D47</f>
        <v>0</v>
      </c>
      <c r="F47" s="4">
        <f t="shared" ref="F47" si="13">C47-E47</f>
        <v>15000</v>
      </c>
    </row>
    <row r="48" spans="2:6">
      <c r="B48" s="1" t="s">
        <v>62</v>
      </c>
      <c r="C48" s="4">
        <v>15000</v>
      </c>
      <c r="D48" s="5">
        <v>0</v>
      </c>
      <c r="E48" s="4">
        <f t="shared" ref="E48:E50" si="14">C48*D48</f>
        <v>0</v>
      </c>
      <c r="F48" s="4">
        <f t="shared" ref="F48:F50" si="15">C48-E48</f>
        <v>15000</v>
      </c>
    </row>
    <row r="49" spans="2:6">
      <c r="B49" s="1" t="s">
        <v>63</v>
      </c>
      <c r="C49" s="4">
        <v>15000</v>
      </c>
      <c r="D49" s="5">
        <v>0</v>
      </c>
      <c r="E49" s="4">
        <f t="shared" si="14"/>
        <v>0</v>
      </c>
      <c r="F49" s="4">
        <f t="shared" si="15"/>
        <v>15000</v>
      </c>
    </row>
    <row r="50" spans="2:6">
      <c r="B50" s="1" t="s">
        <v>43</v>
      </c>
      <c r="C50" s="4">
        <v>15000</v>
      </c>
      <c r="D50" s="5">
        <v>0</v>
      </c>
      <c r="E50" s="4">
        <f t="shared" si="14"/>
        <v>0</v>
      </c>
      <c r="F50" s="4">
        <f t="shared" si="15"/>
        <v>15000</v>
      </c>
    </row>
    <row r="51" spans="2:6">
      <c r="B51" s="1" t="s">
        <v>28</v>
      </c>
      <c r="C51" s="4">
        <v>15000</v>
      </c>
      <c r="D51" s="5">
        <v>0.3</v>
      </c>
      <c r="E51" s="4">
        <f t="shared" ref="E51" si="16">C51*D51</f>
        <v>4500</v>
      </c>
      <c r="F51" s="4">
        <f t="shared" ref="F51" si="17">C51-E51</f>
        <v>10500</v>
      </c>
    </row>
    <row r="52" spans="2:6">
      <c r="B52" s="1" t="s">
        <v>64</v>
      </c>
      <c r="C52" s="4">
        <v>15000</v>
      </c>
      <c r="D52" s="5">
        <v>0.3</v>
      </c>
      <c r="E52" s="4">
        <f>C52*D52</f>
        <v>4500</v>
      </c>
      <c r="F52" s="4">
        <f>C52-E52</f>
        <v>10500</v>
      </c>
    </row>
    <row r="53" spans="2:6">
      <c r="B53" s="1" t="s">
        <v>65</v>
      </c>
      <c r="C53" s="4">
        <v>15000</v>
      </c>
      <c r="D53" s="5">
        <v>0.3</v>
      </c>
      <c r="E53" s="4">
        <f t="shared" ref="E53:E54" si="18">C53*D53</f>
        <v>4500</v>
      </c>
      <c r="F53" s="4">
        <f t="shared" ref="F53:F54" si="19">C53-E53</f>
        <v>10500</v>
      </c>
    </row>
    <row r="54" spans="2:6">
      <c r="B54" s="1" t="s">
        <v>66</v>
      </c>
      <c r="C54" s="4">
        <v>15000</v>
      </c>
      <c r="D54" s="5">
        <v>0</v>
      </c>
      <c r="E54" s="4">
        <f t="shared" si="18"/>
        <v>0</v>
      </c>
      <c r="F54" s="4">
        <f t="shared" si="19"/>
        <v>15000</v>
      </c>
    </row>
    <row r="55" spans="2:6">
      <c r="B55" s="1" t="s">
        <v>67</v>
      </c>
    </row>
    <row r="57" spans="2:6">
      <c r="B57" s="15" t="s">
        <v>68</v>
      </c>
      <c r="C57" s="16">
        <f>C44+C46</f>
        <v>431121.95121951221</v>
      </c>
      <c r="D57" s="26"/>
      <c r="E57" s="16">
        <f>E44+E46</f>
        <v>85300</v>
      </c>
      <c r="F57" s="16">
        <f>F44+F46</f>
        <v>300821.95121951221</v>
      </c>
    </row>
    <row r="58" spans="2:6">
      <c r="B58" s="27"/>
      <c r="C58" s="28"/>
      <c r="D58" s="29"/>
      <c r="E58" s="28"/>
      <c r="F58" s="28"/>
    </row>
    <row r="59" spans="2:6">
      <c r="B59" s="27" t="s">
        <v>69</v>
      </c>
      <c r="C59" s="28"/>
      <c r="D59" s="29"/>
      <c r="E59" s="28"/>
      <c r="F59" s="28"/>
    </row>
    <row r="60" spans="2:6">
      <c r="B60" s="11" t="s">
        <v>70</v>
      </c>
      <c r="C60" s="28"/>
      <c r="D60" s="29"/>
      <c r="E60" s="28"/>
    </row>
    <row r="61" spans="2:6">
      <c r="B61" s="1" t="s">
        <v>71</v>
      </c>
      <c r="C61" s="1" t="s">
        <v>72</v>
      </c>
    </row>
    <row r="62" spans="2:6">
      <c r="B62" s="1" t="s">
        <v>73</v>
      </c>
      <c r="C62" s="1" t="s">
        <v>74</v>
      </c>
    </row>
    <row r="63" spans="2:6">
      <c r="B63" s="1" t="s">
        <v>75</v>
      </c>
    </row>
    <row r="64" spans="2:6">
      <c r="B64" s="1" t="s">
        <v>76</v>
      </c>
    </row>
    <row r="65" spans="2:3">
      <c r="B65" s="1" t="s">
        <v>77</v>
      </c>
    </row>
    <row r="66" spans="2:3">
      <c r="B66" s="1" t="s">
        <v>78</v>
      </c>
    </row>
    <row r="67" spans="2:3">
      <c r="B67" s="1" t="s">
        <v>79</v>
      </c>
    </row>
    <row r="68" spans="2:3">
      <c r="B68" s="1" t="s">
        <v>80</v>
      </c>
    </row>
    <row r="69" spans="2:3">
      <c r="B69" s="1" t="s">
        <v>81</v>
      </c>
    </row>
    <row r="70" spans="2:3">
      <c r="B70" s="1" t="s">
        <v>82</v>
      </c>
    </row>
    <row r="71" spans="2:3">
      <c r="B71" s="1" t="s">
        <v>34</v>
      </c>
    </row>
    <row r="72" spans="2:3">
      <c r="B72" s="1" t="s">
        <v>83</v>
      </c>
    </row>
    <row r="73" spans="2:3">
      <c r="B73" s="1" t="s">
        <v>84</v>
      </c>
    </row>
    <row r="75" spans="2:3">
      <c r="B75" s="11" t="s">
        <v>85</v>
      </c>
    </row>
    <row r="76" spans="2:3">
      <c r="B76" s="1" t="s">
        <v>86</v>
      </c>
    </row>
    <row r="77" spans="2:3">
      <c r="B77" s="1" t="s">
        <v>87</v>
      </c>
      <c r="C77" s="1" t="s">
        <v>88</v>
      </c>
    </row>
    <row r="78" spans="2:3">
      <c r="B78" s="1" t="s">
        <v>89</v>
      </c>
    </row>
    <row r="79" spans="2:3">
      <c r="B79" s="1" t="s">
        <v>90</v>
      </c>
    </row>
    <row r="80" spans="2:3">
      <c r="B80" s="1" t="s">
        <v>91</v>
      </c>
    </row>
    <row r="81" spans="2:3">
      <c r="B81" s="1" t="s">
        <v>92</v>
      </c>
    </row>
    <row r="82" spans="2:3">
      <c r="B82" s="1" t="s">
        <v>93</v>
      </c>
    </row>
    <row r="83" spans="2:3">
      <c r="B83" s="1" t="s">
        <v>94</v>
      </c>
    </row>
    <row r="84" spans="2:3">
      <c r="B84" s="1" t="s">
        <v>95</v>
      </c>
    </row>
    <row r="86" spans="2:3">
      <c r="B86" s="11" t="s">
        <v>96</v>
      </c>
    </row>
    <row r="87" spans="2:3">
      <c r="B87" s="1" t="s">
        <v>97</v>
      </c>
      <c r="C87" s="1" t="s">
        <v>98</v>
      </c>
    </row>
    <row r="88" spans="2:3">
      <c r="B88" s="1" t="s">
        <v>99</v>
      </c>
      <c r="C88" s="1" t="s">
        <v>98</v>
      </c>
    </row>
    <row r="89" spans="2:3">
      <c r="B89" s="1" t="s">
        <v>100</v>
      </c>
      <c r="C89" s="1" t="s">
        <v>101</v>
      </c>
    </row>
    <row r="90" spans="2:3">
      <c r="B90" s="1" t="s">
        <v>102</v>
      </c>
      <c r="C90" s="1" t="s">
        <v>103</v>
      </c>
    </row>
    <row r="91" spans="2:3">
      <c r="B91" s="1" t="s">
        <v>104</v>
      </c>
      <c r="C91" s="1" t="s">
        <v>103</v>
      </c>
    </row>
    <row r="92" spans="2:3">
      <c r="B92" s="1" t="s">
        <v>64</v>
      </c>
      <c r="C92" s="1" t="s">
        <v>105</v>
      </c>
    </row>
    <row r="93" spans="2:3">
      <c r="B93" s="1" t="s">
        <v>106</v>
      </c>
      <c r="C93" s="1" t="s">
        <v>107</v>
      </c>
    </row>
    <row r="94" spans="2:3">
      <c r="B94" s="1" t="s">
        <v>108</v>
      </c>
    </row>
    <row r="95" spans="2:3">
      <c r="B95" s="1" t="s">
        <v>36</v>
      </c>
      <c r="C95" s="1" t="s">
        <v>109</v>
      </c>
    </row>
    <row r="96" spans="2:3">
      <c r="B96" s="1" t="s">
        <v>110</v>
      </c>
    </row>
    <row r="97" spans="2:6">
      <c r="B97" s="1" t="s">
        <v>111</v>
      </c>
      <c r="C97" s="33" t="s">
        <v>112</v>
      </c>
      <c r="F97" s="1" t="s">
        <v>113</v>
      </c>
    </row>
    <row r="98" spans="2:6">
      <c r="B98" s="1" t="s">
        <v>114</v>
      </c>
      <c r="C98" s="33" t="s">
        <v>115</v>
      </c>
      <c r="F98" s="1" t="s">
        <v>116</v>
      </c>
    </row>
    <row r="99" spans="2:6">
      <c r="B99" s="1" t="s">
        <v>117</v>
      </c>
    </row>
    <row r="100" spans="2:6">
      <c r="B100" s="1" t="s">
        <v>118</v>
      </c>
    </row>
    <row r="101" spans="2:6">
      <c r="B101" s="1" t="s">
        <v>119</v>
      </c>
      <c r="C101" s="1" t="s">
        <v>120</v>
      </c>
    </row>
  </sheetData>
  <hyperlinks>
    <hyperlink ref="C97" r:id="rId1" xr:uid="{00000000-0004-0000-0000-000000000000}"/>
    <hyperlink ref="C98" r:id="rId2" xr:uid="{00000000-0004-0000-0000-000001000000}"/>
  </hyperlinks>
  <pageMargins left="0.7" right="0.7" top="0.75" bottom="0.75" header="0.3" footer="0.3"/>
  <pageSetup paperSize="9" orientation="portrait" r:id="rId3"/>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K357"/>
  <sheetViews>
    <sheetView showGridLines="0" zoomScaleNormal="100" workbookViewId="0">
      <pane xSplit="14" ySplit="3" topLeftCell="BS295" activePane="bottomRight" state="frozen"/>
      <selection pane="topRight" activeCell="O1" sqref="O1"/>
      <selection pane="bottomLeft" activeCell="A4" sqref="A4"/>
      <selection pane="bottomRight" activeCell="BT305" sqref="BT305"/>
    </sheetView>
  </sheetViews>
  <sheetFormatPr baseColWidth="10" defaultColWidth="10.7109375" defaultRowHeight="15"/>
  <cols>
    <col min="1" max="1" width="2.85546875" style="1" customWidth="1"/>
    <col min="2" max="2" width="38" style="1" bestFit="1" customWidth="1"/>
    <col min="3" max="3" width="14.5703125" style="1" hidden="1" customWidth="1"/>
    <col min="4" max="4" width="13.28515625" style="1" hidden="1" customWidth="1"/>
    <col min="5" max="5" width="14" style="1" hidden="1" customWidth="1"/>
    <col min="6" max="6" width="15" style="1" hidden="1" customWidth="1"/>
    <col min="7" max="7" width="14" style="1" hidden="1" customWidth="1"/>
    <col min="8" max="8" width="14.85546875" style="1" hidden="1" customWidth="1"/>
    <col min="9" max="9" width="14.5703125" style="1" hidden="1" customWidth="1"/>
    <col min="10" max="10" width="15" style="1" hidden="1" customWidth="1"/>
    <col min="11" max="11" width="14.7109375" style="1" hidden="1" customWidth="1"/>
    <col min="12" max="12" width="14.28515625" style="1" hidden="1" customWidth="1"/>
    <col min="13" max="13" width="13.7109375" style="1" hidden="1" customWidth="1"/>
    <col min="14" max="14" width="13.28515625" style="1" hidden="1" customWidth="1"/>
    <col min="15" max="15" width="12.85546875" style="1" hidden="1" customWidth="1"/>
    <col min="16" max="16" width="15" style="1" customWidth="1"/>
    <col min="17" max="17" width="14.7109375" style="1" bestFit="1" customWidth="1"/>
    <col min="18" max="18" width="15.5703125" style="1" bestFit="1" customWidth="1"/>
    <col min="19" max="19" width="15.28515625" style="1" bestFit="1" customWidth="1"/>
    <col min="20" max="20" width="15.5703125" style="1" bestFit="1" customWidth="1"/>
    <col min="21" max="21" width="15" style="1" bestFit="1" customWidth="1"/>
    <col min="22" max="22" width="14.28515625" style="1" bestFit="1" customWidth="1"/>
    <col min="23" max="23" width="14.85546875" style="1" bestFit="1" customWidth="1"/>
    <col min="24" max="24" width="15" style="1" bestFit="1" customWidth="1"/>
    <col min="25" max="25" width="15.7109375" style="1" bestFit="1" customWidth="1"/>
    <col min="26" max="26" width="16.5703125" style="1" bestFit="1" customWidth="1"/>
    <col min="27" max="27" width="15.7109375" style="74" bestFit="1" customWidth="1"/>
    <col min="28" max="28" width="15.28515625" style="211" bestFit="1" customWidth="1"/>
    <col min="29" max="29" width="16.28515625" style="211" bestFit="1" customWidth="1"/>
    <col min="30" max="30" width="15.5703125" style="1" customWidth="1"/>
    <col min="31" max="32" width="16.28515625" style="1" bestFit="1" customWidth="1"/>
    <col min="33" max="33" width="17" style="1" bestFit="1" customWidth="1"/>
    <col min="34" max="34" width="16.85546875" style="1" bestFit="1" customWidth="1"/>
    <col min="35" max="36" width="16.28515625" style="1" bestFit="1" customWidth="1"/>
    <col min="37" max="37" width="15.28515625" style="1" bestFit="1" customWidth="1"/>
    <col min="38" max="38" width="16.5703125" style="1" bestFit="1" customWidth="1"/>
    <col min="39" max="40" width="17" style="1" bestFit="1" customWidth="1"/>
    <col min="41" max="41" width="16.28515625" style="1" bestFit="1" customWidth="1"/>
    <col min="42" max="42" width="17" style="1" bestFit="1" customWidth="1"/>
    <col min="43" max="43" width="16.85546875" style="1" bestFit="1" customWidth="1"/>
    <col min="44" max="44" width="16.5703125" style="1" bestFit="1" customWidth="1"/>
    <col min="45" max="45" width="17" style="1" bestFit="1" customWidth="1"/>
    <col min="46" max="46" width="18.28515625" style="1" customWidth="1"/>
    <col min="47" max="47" width="18" style="1" bestFit="1" customWidth="1"/>
    <col min="48" max="48" width="16.85546875" style="1" bestFit="1" customWidth="1"/>
    <col min="49" max="49" width="17" style="1" bestFit="1" customWidth="1"/>
    <col min="50" max="50" width="16" style="1" bestFit="1" customWidth="1"/>
    <col min="51" max="51" width="17.28515625" style="1" customWidth="1"/>
    <col min="52" max="52" width="16.28515625" style="1" bestFit="1" customWidth="1"/>
    <col min="53" max="53" width="16.7109375" style="1" bestFit="1" customWidth="1"/>
    <col min="54" max="54" width="18" style="1" customWidth="1"/>
    <col min="55" max="55" width="17.85546875" style="1" customWidth="1"/>
    <col min="56" max="56" width="19.5703125" style="1" customWidth="1"/>
    <col min="57" max="57" width="17.7109375" style="1" bestFit="1" customWidth="1"/>
    <col min="58" max="58" width="18.28515625" style="1" customWidth="1"/>
    <col min="59" max="59" width="17" style="1" customWidth="1"/>
    <col min="60" max="60" width="19.5703125" style="1" customWidth="1"/>
    <col min="61" max="61" width="18.28515625" style="1" customWidth="1"/>
    <col min="62" max="62" width="19" style="1" customWidth="1"/>
    <col min="63" max="65" width="18" style="1" customWidth="1"/>
    <col min="66" max="66" width="18.85546875" style="1" customWidth="1"/>
    <col min="67" max="67" width="19.28515625" style="1" customWidth="1"/>
    <col min="68" max="68" width="18.28515625" style="1" bestFit="1" customWidth="1"/>
    <col min="69" max="69" width="18.7109375" style="1" customWidth="1"/>
    <col min="70" max="70" width="18" style="1" bestFit="1" customWidth="1"/>
    <col min="71" max="71" width="20.85546875" style="1" customWidth="1"/>
    <col min="72" max="72" width="18" style="1" customWidth="1"/>
    <col min="73" max="73" width="17.7109375" style="1" customWidth="1"/>
    <col min="74" max="74" width="17.85546875" style="1" customWidth="1"/>
    <col min="75" max="75" width="18.28515625" style="1" bestFit="1" customWidth="1"/>
    <col min="76" max="76" width="19.5703125" style="1" customWidth="1"/>
    <col min="77" max="77" width="18" style="1" customWidth="1"/>
    <col min="78" max="78" width="17.28515625" style="1" customWidth="1"/>
    <col min="79" max="79" width="18.28515625" style="1" bestFit="1" customWidth="1"/>
    <col min="80" max="80" width="18" style="1" customWidth="1"/>
    <col min="81" max="81" width="19.28515625" style="1" customWidth="1"/>
    <col min="82" max="82" width="18" style="1" bestFit="1" customWidth="1"/>
    <col min="83" max="83" width="19.85546875" style="1" customWidth="1"/>
    <col min="84" max="84" width="20.7109375" style="1" customWidth="1"/>
    <col min="85" max="85" width="19.7109375" style="1" customWidth="1"/>
    <col min="86" max="86" width="18" style="1" customWidth="1"/>
    <col min="87" max="87" width="17.85546875" style="1" customWidth="1"/>
    <col min="88" max="88" width="17.28515625" style="1" customWidth="1"/>
    <col min="89" max="89" width="17.85546875" style="306" bestFit="1" customWidth="1"/>
    <col min="90" max="90" width="17.85546875" style="1" customWidth="1"/>
    <col min="91" max="91" width="15.7109375" style="1" bestFit="1" customWidth="1"/>
    <col min="92" max="92" width="15.5703125" style="1" bestFit="1" customWidth="1"/>
    <col min="93" max="93" width="16" style="1" bestFit="1" customWidth="1"/>
    <col min="94" max="94" width="15.7109375" style="1" bestFit="1" customWidth="1"/>
    <col min="95" max="95" width="16.28515625" style="1" bestFit="1" customWidth="1"/>
    <col min="96" max="99" width="16" style="1" bestFit="1" customWidth="1"/>
    <col min="100" max="100" width="15.5703125" style="1" bestFit="1" customWidth="1"/>
    <col min="101" max="101" width="16" style="1" bestFit="1" customWidth="1"/>
    <col min="102" max="102" width="15.7109375" style="1" bestFit="1" customWidth="1"/>
    <col min="103" max="103" width="17.85546875" style="306" bestFit="1" customWidth="1"/>
    <col min="104" max="104" width="11.28515625" style="1" customWidth="1"/>
    <col min="105" max="105" width="12.28515625" style="1" bestFit="1" customWidth="1"/>
    <col min="106" max="106" width="10.7109375" style="1"/>
    <col min="107" max="107" width="13.28515625" style="1" customWidth="1"/>
    <col min="108" max="109" width="10.7109375" style="1"/>
    <col min="110" max="110" width="11.7109375" style="1" customWidth="1"/>
    <col min="111" max="111" width="12" style="1" customWidth="1"/>
    <col min="112" max="115" width="10.7109375" style="1"/>
    <col min="116" max="116" width="17.85546875" style="306" bestFit="1" customWidth="1"/>
    <col min="117" max="16384" width="10.7109375" style="1"/>
  </cols>
  <sheetData>
    <row r="1" spans="2:116" ht="7.5" customHeight="1">
      <c r="AA1" s="1"/>
    </row>
    <row r="2" spans="2:116" ht="15" customHeight="1">
      <c r="C2" s="972">
        <v>2018</v>
      </c>
      <c r="D2" s="972"/>
      <c r="E2" s="972"/>
      <c r="F2" s="972"/>
      <c r="G2" s="972"/>
      <c r="H2" s="972"/>
      <c r="I2" s="972"/>
      <c r="J2" s="972"/>
      <c r="K2" s="972"/>
      <c r="L2" s="972"/>
      <c r="M2" s="972"/>
      <c r="N2" s="972"/>
      <c r="P2" s="12">
        <v>2019</v>
      </c>
      <c r="Q2" s="42"/>
      <c r="R2" s="42"/>
      <c r="S2" s="42"/>
      <c r="T2" s="42"/>
      <c r="U2" s="42"/>
      <c r="V2" s="42"/>
      <c r="W2" s="42"/>
      <c r="X2" s="42"/>
      <c r="Y2" s="42"/>
      <c r="Z2" s="42"/>
      <c r="AA2" s="42"/>
      <c r="AC2" s="341">
        <v>2020</v>
      </c>
      <c r="AD2" s="42"/>
      <c r="AE2" s="42"/>
      <c r="AF2" s="42"/>
      <c r="AG2" s="42"/>
      <c r="AH2" s="42"/>
      <c r="AI2" s="42"/>
      <c r="AJ2" s="42"/>
      <c r="AL2" s="12" t="s">
        <v>121</v>
      </c>
      <c r="AM2" s="42"/>
      <c r="AN2" s="42"/>
      <c r="AO2" s="42"/>
      <c r="AP2" s="105"/>
      <c r="AQ2" s="42"/>
      <c r="AR2" s="42"/>
      <c r="AS2" s="42"/>
      <c r="AT2" s="42"/>
      <c r="AU2" s="42"/>
      <c r="AV2" s="42"/>
      <c r="AW2" s="42"/>
      <c r="AY2" s="105" t="s">
        <v>122</v>
      </c>
      <c r="AZ2" s="105"/>
      <c r="BA2" s="105"/>
      <c r="BB2" s="105"/>
      <c r="BC2" s="105"/>
      <c r="BD2" s="105"/>
      <c r="BE2" s="105"/>
      <c r="BF2" s="105"/>
      <c r="BG2" s="105"/>
      <c r="BH2" s="105"/>
      <c r="BI2" s="105"/>
      <c r="BJ2" s="105"/>
      <c r="BL2" s="191" t="s">
        <v>123</v>
      </c>
      <c r="BM2" s="191"/>
      <c r="BN2" s="191"/>
      <c r="BO2" s="191"/>
      <c r="BP2" s="191"/>
      <c r="BQ2" s="191"/>
      <c r="BR2" s="191"/>
      <c r="BS2" s="191"/>
      <c r="BT2" s="191"/>
      <c r="BU2" s="191"/>
      <c r="BV2" s="191"/>
      <c r="BW2" s="191"/>
      <c r="BY2" s="973" t="s">
        <v>124</v>
      </c>
      <c r="BZ2" s="973"/>
      <c r="CA2" s="973"/>
      <c r="CB2" s="973"/>
      <c r="CC2" s="973"/>
      <c r="CD2" s="973"/>
      <c r="CE2" s="973"/>
      <c r="CF2" s="973"/>
      <c r="CG2" s="973"/>
      <c r="CH2" s="973"/>
      <c r="CI2" s="973"/>
      <c r="CJ2" s="973"/>
      <c r="CL2" s="306"/>
      <c r="CM2" s="973" t="s">
        <v>344</v>
      </c>
      <c r="CN2" s="973"/>
      <c r="CO2" s="973"/>
      <c r="CP2" s="973"/>
      <c r="CQ2" s="973"/>
      <c r="CR2" s="973"/>
      <c r="CS2" s="973"/>
      <c r="CT2" s="973"/>
      <c r="CU2" s="973"/>
      <c r="CV2" s="973"/>
      <c r="CW2" s="973"/>
      <c r="CX2" s="973"/>
      <c r="CZ2" s="973" t="s">
        <v>466</v>
      </c>
      <c r="DA2" s="973"/>
      <c r="DB2" s="973"/>
      <c r="DC2" s="973"/>
      <c r="DD2" s="973"/>
      <c r="DE2" s="973"/>
      <c r="DF2" s="973"/>
      <c r="DG2" s="973"/>
      <c r="DH2" s="973"/>
      <c r="DI2" s="973"/>
      <c r="DJ2" s="973"/>
      <c r="DK2" s="973"/>
    </row>
    <row r="3" spans="2:116">
      <c r="B3" s="14" t="s">
        <v>125</v>
      </c>
      <c r="C3" s="138" t="s">
        <v>126</v>
      </c>
      <c r="D3" s="138" t="s">
        <v>127</v>
      </c>
      <c r="E3" s="138" t="s">
        <v>128</v>
      </c>
      <c r="F3" s="138" t="s">
        <v>129</v>
      </c>
      <c r="G3" s="138" t="s">
        <v>130</v>
      </c>
      <c r="H3" s="138" t="s">
        <v>131</v>
      </c>
      <c r="I3" s="138" t="s">
        <v>132</v>
      </c>
      <c r="J3" s="138" t="s">
        <v>133</v>
      </c>
      <c r="K3" s="138" t="s">
        <v>134</v>
      </c>
      <c r="L3" s="138" t="s">
        <v>135</v>
      </c>
      <c r="M3" s="138" t="s">
        <v>136</v>
      </c>
      <c r="N3" s="138" t="s">
        <v>137</v>
      </c>
      <c r="O3" s="38" t="s">
        <v>138</v>
      </c>
      <c r="P3" s="30" t="s">
        <v>126</v>
      </c>
      <c r="Q3" s="30" t="s">
        <v>127</v>
      </c>
      <c r="R3" s="30" t="s">
        <v>128</v>
      </c>
      <c r="S3" s="30" t="s">
        <v>129</v>
      </c>
      <c r="T3" s="30" t="s">
        <v>130</v>
      </c>
      <c r="U3" s="30" t="s">
        <v>131</v>
      </c>
      <c r="V3" s="30" t="s">
        <v>132</v>
      </c>
      <c r="W3" s="82" t="s">
        <v>133</v>
      </c>
      <c r="X3" s="30" t="s">
        <v>134</v>
      </c>
      <c r="Y3" s="30" t="s">
        <v>135</v>
      </c>
      <c r="Z3" s="30" t="s">
        <v>136</v>
      </c>
      <c r="AA3" s="30" t="s">
        <v>137</v>
      </c>
      <c r="AB3" s="335" t="s">
        <v>138</v>
      </c>
      <c r="AC3" s="342" t="s">
        <v>126</v>
      </c>
      <c r="AD3" s="30" t="s">
        <v>127</v>
      </c>
      <c r="AE3" s="30" t="s">
        <v>128</v>
      </c>
      <c r="AF3" s="30" t="s">
        <v>129</v>
      </c>
      <c r="AG3" s="30" t="s">
        <v>130</v>
      </c>
      <c r="AH3" s="30" t="s">
        <v>131</v>
      </c>
      <c r="AI3" s="30" t="s">
        <v>132</v>
      </c>
      <c r="AJ3" s="30" t="s">
        <v>133</v>
      </c>
      <c r="AK3" s="37" t="s">
        <v>138</v>
      </c>
      <c r="AL3" s="30" t="s">
        <v>134</v>
      </c>
      <c r="AM3" s="30" t="s">
        <v>135</v>
      </c>
      <c r="AN3" s="30" t="s">
        <v>136</v>
      </c>
      <c r="AO3" s="104" t="s">
        <v>137</v>
      </c>
      <c r="AP3" s="106" t="s">
        <v>126</v>
      </c>
      <c r="AQ3" s="30" t="s">
        <v>127</v>
      </c>
      <c r="AR3" s="30" t="s">
        <v>128</v>
      </c>
      <c r="AS3" s="30" t="s">
        <v>129</v>
      </c>
      <c r="AT3" s="30" t="s">
        <v>130</v>
      </c>
      <c r="AU3" s="30" t="s">
        <v>131</v>
      </c>
      <c r="AV3" s="30" t="s">
        <v>132</v>
      </c>
      <c r="AW3" s="30" t="s">
        <v>133</v>
      </c>
      <c r="AX3" s="37" t="s">
        <v>138</v>
      </c>
      <c r="AY3" s="107" t="s">
        <v>134</v>
      </c>
      <c r="AZ3" s="104" t="s">
        <v>135</v>
      </c>
      <c r="BA3" s="104" t="s">
        <v>136</v>
      </c>
      <c r="BB3" s="104" t="s">
        <v>137</v>
      </c>
      <c r="BC3" s="104" t="s">
        <v>126</v>
      </c>
      <c r="BD3" s="104" t="s">
        <v>127</v>
      </c>
      <c r="BE3" s="104" t="s">
        <v>128</v>
      </c>
      <c r="BF3" s="104" t="s">
        <v>129</v>
      </c>
      <c r="BG3" s="104" t="s">
        <v>130</v>
      </c>
      <c r="BH3" s="104" t="s">
        <v>131</v>
      </c>
      <c r="BI3" s="104" t="s">
        <v>132</v>
      </c>
      <c r="BJ3" s="108" t="s">
        <v>133</v>
      </c>
      <c r="BK3" s="37" t="s">
        <v>138</v>
      </c>
      <c r="BL3" s="107" t="s">
        <v>134</v>
      </c>
      <c r="BM3" s="104" t="s">
        <v>135</v>
      </c>
      <c r="BN3" s="104" t="s">
        <v>136</v>
      </c>
      <c r="BO3" s="104" t="s">
        <v>137</v>
      </c>
      <c r="BP3" s="104" t="s">
        <v>126</v>
      </c>
      <c r="BQ3" s="104" t="s">
        <v>127</v>
      </c>
      <c r="BR3" s="104" t="s">
        <v>128</v>
      </c>
      <c r="BS3" s="104" t="s">
        <v>129</v>
      </c>
      <c r="BT3" s="104" t="s">
        <v>130</v>
      </c>
      <c r="BU3" s="104" t="s">
        <v>131</v>
      </c>
      <c r="BV3" s="104" t="s">
        <v>132</v>
      </c>
      <c r="BW3" s="108" t="s">
        <v>133</v>
      </c>
      <c r="BX3" s="37" t="s">
        <v>138</v>
      </c>
      <c r="BY3" s="107" t="s">
        <v>134</v>
      </c>
      <c r="BZ3" s="104" t="s">
        <v>135</v>
      </c>
      <c r="CA3" s="104" t="s">
        <v>136</v>
      </c>
      <c r="CB3" s="104" t="s">
        <v>137</v>
      </c>
      <c r="CC3" s="104" t="s">
        <v>126</v>
      </c>
      <c r="CD3" s="104" t="s">
        <v>127</v>
      </c>
      <c r="CE3" s="104" t="s">
        <v>128</v>
      </c>
      <c r="CF3" s="104" t="s">
        <v>129</v>
      </c>
      <c r="CG3" s="104" t="s">
        <v>130</v>
      </c>
      <c r="CH3" s="104" t="s">
        <v>131</v>
      </c>
      <c r="CI3" s="104" t="s">
        <v>132</v>
      </c>
      <c r="CJ3" s="104" t="s">
        <v>133</v>
      </c>
      <c r="CK3" s="37" t="s">
        <v>138</v>
      </c>
      <c r="CL3" s="378" t="s">
        <v>413</v>
      </c>
      <c r="CM3" s="104" t="s">
        <v>134</v>
      </c>
      <c r="CN3" s="104" t="s">
        <v>135</v>
      </c>
      <c r="CO3" s="104" t="s">
        <v>136</v>
      </c>
      <c r="CP3" s="104" t="s">
        <v>137</v>
      </c>
      <c r="CQ3" s="104" t="s">
        <v>126</v>
      </c>
      <c r="CR3" s="104" t="s">
        <v>127</v>
      </c>
      <c r="CS3" s="104" t="s">
        <v>128</v>
      </c>
      <c r="CT3" s="104" t="s">
        <v>129</v>
      </c>
      <c r="CU3" s="104" t="s">
        <v>130</v>
      </c>
      <c r="CV3" s="104" t="s">
        <v>131</v>
      </c>
      <c r="CW3" s="104" t="s">
        <v>132</v>
      </c>
      <c r="CX3" s="108" t="s">
        <v>133</v>
      </c>
      <c r="CY3" s="37" t="s">
        <v>138</v>
      </c>
      <c r="CZ3" s="104" t="s">
        <v>134</v>
      </c>
      <c r="DA3" s="104" t="s">
        <v>135</v>
      </c>
      <c r="DB3" s="104" t="s">
        <v>136</v>
      </c>
      <c r="DC3" s="104" t="s">
        <v>137</v>
      </c>
      <c r="DD3" s="104" t="s">
        <v>126</v>
      </c>
      <c r="DE3" s="104" t="s">
        <v>127</v>
      </c>
      <c r="DF3" s="104" t="s">
        <v>128</v>
      </c>
      <c r="DG3" s="104" t="s">
        <v>129</v>
      </c>
      <c r="DH3" s="104" t="s">
        <v>130</v>
      </c>
      <c r="DI3" s="104" t="s">
        <v>131</v>
      </c>
      <c r="DJ3" s="104" t="s">
        <v>132</v>
      </c>
      <c r="DK3" s="108" t="s">
        <v>133</v>
      </c>
      <c r="DL3" s="37" t="s">
        <v>138</v>
      </c>
    </row>
    <row r="4" spans="2:116">
      <c r="B4" s="31" t="s">
        <v>139</v>
      </c>
      <c r="C4" s="139"/>
      <c r="D4" s="139"/>
      <c r="E4" s="139"/>
      <c r="F4" s="139"/>
      <c r="G4" s="139"/>
      <c r="H4" s="139"/>
      <c r="I4" s="139"/>
      <c r="J4" s="139"/>
      <c r="K4" s="139"/>
      <c r="L4" s="139"/>
      <c r="M4" s="139"/>
      <c r="N4" s="139"/>
      <c r="O4" s="39"/>
      <c r="P4" s="67"/>
      <c r="Q4" s="67"/>
      <c r="R4" s="67"/>
      <c r="S4" s="67"/>
      <c r="T4" s="67"/>
      <c r="U4" s="67"/>
      <c r="V4" s="67"/>
      <c r="W4" s="68"/>
      <c r="X4" s="69"/>
      <c r="Y4" s="69"/>
      <c r="Z4" s="69"/>
      <c r="AA4" s="69"/>
      <c r="AB4" s="292"/>
      <c r="AC4" s="115"/>
      <c r="AD4" s="69"/>
      <c r="AE4" s="69"/>
      <c r="AF4" s="69"/>
      <c r="AG4" s="69"/>
      <c r="AH4" s="69"/>
      <c r="AI4" s="69"/>
      <c r="AJ4" s="69"/>
      <c r="AK4" s="100"/>
      <c r="AL4" s="69"/>
      <c r="AM4" s="69"/>
      <c r="AN4" s="69"/>
      <c r="AO4" s="69"/>
      <c r="AP4" s="69"/>
      <c r="AQ4" s="69"/>
      <c r="AR4" s="69"/>
      <c r="AS4" s="69"/>
      <c r="AT4" s="69"/>
      <c r="AU4" s="69"/>
      <c r="AV4" s="69"/>
      <c r="AW4" s="69"/>
      <c r="AX4" s="88"/>
      <c r="AY4" s="201"/>
      <c r="AZ4" s="195"/>
      <c r="BA4" s="214"/>
      <c r="BB4" s="195"/>
      <c r="BC4" s="195"/>
      <c r="BD4" s="195"/>
      <c r="BE4" s="195"/>
      <c r="BF4" s="195"/>
      <c r="BG4" s="195"/>
      <c r="BH4" s="195"/>
      <c r="BI4" s="195"/>
      <c r="BJ4" s="199"/>
      <c r="BK4" s="100"/>
      <c r="BL4" s="201"/>
      <c r="BM4" s="195"/>
      <c r="BN4" s="214"/>
      <c r="BO4" s="195"/>
      <c r="BP4" s="195"/>
      <c r="BQ4" s="214"/>
      <c r="BR4" s="195"/>
      <c r="BS4" s="195"/>
      <c r="BT4" s="195"/>
      <c r="BU4" s="195"/>
      <c r="BV4" s="195"/>
      <c r="BW4" s="199"/>
      <c r="BX4" s="100"/>
      <c r="BY4" s="74"/>
      <c r="BZ4" s="74"/>
      <c r="CA4" s="74"/>
      <c r="CB4" s="74"/>
      <c r="CC4" s="74"/>
      <c r="CD4" s="74"/>
      <c r="CK4" s="100"/>
      <c r="CL4" s="130"/>
      <c r="CY4" s="88"/>
      <c r="DL4" s="88"/>
    </row>
    <row r="5" spans="2:116">
      <c r="B5" s="81" t="s">
        <v>140</v>
      </c>
      <c r="C5" s="139"/>
      <c r="D5" s="139"/>
      <c r="E5" s="139"/>
      <c r="F5" s="139"/>
      <c r="G5" s="139"/>
      <c r="H5" s="139"/>
      <c r="I5" s="139"/>
      <c r="J5" s="139"/>
      <c r="K5" s="139"/>
      <c r="L5" s="139"/>
      <c r="M5" s="139"/>
      <c r="N5" s="139"/>
      <c r="O5" s="40"/>
      <c r="P5" s="67"/>
      <c r="Q5" s="67"/>
      <c r="R5" s="67"/>
      <c r="S5" s="67"/>
      <c r="T5" s="67"/>
      <c r="U5" s="67"/>
      <c r="V5" s="67"/>
      <c r="W5" s="68"/>
      <c r="X5" s="69"/>
      <c r="Y5" s="69"/>
      <c r="Z5" s="69"/>
      <c r="AA5" s="69"/>
      <c r="AB5" s="336"/>
      <c r="AC5" s="115"/>
      <c r="AD5" s="69"/>
      <c r="AE5" s="69"/>
      <c r="AF5" s="68"/>
      <c r="AG5" s="69"/>
      <c r="AH5" s="69"/>
      <c r="AI5" s="69"/>
      <c r="AJ5" s="69"/>
      <c r="AK5" s="89">
        <f>SUM(AC5:AJ5)</f>
        <v>0</v>
      </c>
      <c r="AL5" s="69"/>
      <c r="AM5" s="69"/>
      <c r="AN5" s="69"/>
      <c r="AO5" s="69"/>
      <c r="AP5" s="69"/>
      <c r="AQ5" s="69"/>
      <c r="AR5" s="179"/>
      <c r="AS5" s="179"/>
      <c r="AT5" s="179"/>
      <c r="AU5" s="179"/>
      <c r="AV5" s="179"/>
      <c r="AW5" s="179"/>
      <c r="AX5" s="100"/>
      <c r="AY5" s="115"/>
      <c r="AZ5" s="69"/>
      <c r="BA5" s="213"/>
      <c r="BB5" s="69"/>
      <c r="BC5" s="69"/>
      <c r="BD5" s="69"/>
      <c r="BE5" s="69"/>
      <c r="BF5" s="69"/>
      <c r="BG5" s="69"/>
      <c r="BH5" s="69"/>
      <c r="BI5" s="69"/>
      <c r="BJ5" s="197"/>
      <c r="BK5" s="100"/>
      <c r="BL5" s="115"/>
      <c r="BM5" s="69"/>
      <c r="BN5" s="213"/>
      <c r="BO5" s="69"/>
      <c r="BP5" s="69"/>
      <c r="BQ5" s="213"/>
      <c r="BR5" s="69"/>
      <c r="BS5" s="69"/>
      <c r="BT5" s="69"/>
      <c r="BU5" s="69"/>
      <c r="BV5" s="69"/>
      <c r="BW5" s="197"/>
      <c r="BX5" s="100"/>
      <c r="BY5" s="74"/>
      <c r="BZ5" s="74"/>
      <c r="CA5" s="74"/>
      <c r="CB5" s="74"/>
      <c r="CC5" s="74"/>
      <c r="CD5" s="74"/>
      <c r="CK5" s="100"/>
      <c r="CL5" s="130"/>
      <c r="CY5" s="100"/>
      <c r="DL5" s="100"/>
    </row>
    <row r="6" spans="2:116">
      <c r="B6" s="1" t="s">
        <v>141</v>
      </c>
      <c r="C6" s="139">
        <v>15000</v>
      </c>
      <c r="D6" s="139"/>
      <c r="E6" s="139"/>
      <c r="F6" s="139"/>
      <c r="G6" s="139"/>
      <c r="H6" s="139"/>
      <c r="I6" s="139"/>
      <c r="J6" s="139"/>
      <c r="K6" s="139"/>
      <c r="L6" s="139"/>
      <c r="M6" s="139"/>
      <c r="N6" s="139"/>
      <c r="O6" s="40">
        <f t="shared" ref="O6:O74" si="0">SUM(C6:N6)</f>
        <v>15000</v>
      </c>
      <c r="P6" s="67"/>
      <c r="Q6" s="67">
        <v>15000</v>
      </c>
      <c r="R6" s="67"/>
      <c r="S6" s="67"/>
      <c r="T6" s="67"/>
      <c r="U6" s="67"/>
      <c r="V6" s="67"/>
      <c r="W6" s="68"/>
      <c r="X6" s="69"/>
      <c r="Y6" s="69"/>
      <c r="Z6" s="69"/>
      <c r="AA6" s="69"/>
      <c r="AB6" s="336">
        <f t="shared" ref="AB6:AB73" si="1">SUM(P6:AA6)</f>
        <v>15000</v>
      </c>
      <c r="AC6" s="240">
        <v>15000</v>
      </c>
      <c r="AD6" s="67"/>
      <c r="AE6" s="67"/>
      <c r="AF6" s="67"/>
      <c r="AG6" s="67"/>
      <c r="AH6" s="67"/>
      <c r="AI6" s="67"/>
      <c r="AJ6" s="67"/>
      <c r="AK6" s="89">
        <f>SUM(AC6:AJ6)</f>
        <v>15000</v>
      </c>
      <c r="AL6" s="69"/>
      <c r="AM6" s="69"/>
      <c r="AN6" s="179"/>
      <c r="AO6" s="179"/>
      <c r="AP6" s="68">
        <v>15000</v>
      </c>
      <c r="AQ6" s="69"/>
      <c r="AR6" s="179"/>
      <c r="AS6" s="179"/>
      <c r="AT6" s="179"/>
      <c r="AU6" s="179"/>
      <c r="AV6" s="179"/>
      <c r="AW6" s="179"/>
      <c r="AX6" s="100">
        <f t="shared" ref="AX6:AX15" si="2">SUM(AL6:AW6)</f>
        <v>15000</v>
      </c>
      <c r="AY6" s="115"/>
      <c r="AZ6" s="69"/>
      <c r="BA6" s="213"/>
      <c r="BB6" s="69"/>
      <c r="BC6" s="68">
        <v>15000</v>
      </c>
      <c r="BD6" s="69"/>
      <c r="BE6" s="69"/>
      <c r="BF6" s="69"/>
      <c r="BG6" s="69"/>
      <c r="BH6" s="69"/>
      <c r="BI6" s="69"/>
      <c r="BJ6" s="197"/>
      <c r="BK6" s="100">
        <f>SUM(AY6:BJ6)</f>
        <v>15000</v>
      </c>
      <c r="BL6" s="115"/>
      <c r="BM6" s="69"/>
      <c r="BN6" s="213"/>
      <c r="BO6" s="69"/>
      <c r="BP6" s="74"/>
      <c r="BQ6" s="216"/>
      <c r="BR6" s="68">
        <v>15000</v>
      </c>
      <c r="BS6" s="69"/>
      <c r="BT6" s="69"/>
      <c r="BU6" s="69"/>
      <c r="BV6" s="69"/>
      <c r="BW6" s="197"/>
      <c r="BX6" s="100">
        <f>SUM(BL6:BW6)</f>
        <v>15000</v>
      </c>
      <c r="BY6" s="74"/>
      <c r="BZ6" s="74"/>
      <c r="CA6" s="74"/>
      <c r="CB6" s="74"/>
      <c r="CC6" s="68">
        <v>15000</v>
      </c>
      <c r="CD6" s="74"/>
      <c r="CK6" s="100">
        <f t="shared" ref="CK6:CK69" si="3">SUM(BY6:CJ6)</f>
        <v>15000</v>
      </c>
      <c r="CL6" s="130"/>
      <c r="CQ6" s="268">
        <v>15000</v>
      </c>
      <c r="CY6" s="100">
        <f>SUM(CM6:CX6)</f>
        <v>15000</v>
      </c>
      <c r="CZ6" s="83"/>
      <c r="DD6" s="268">
        <v>15000</v>
      </c>
      <c r="DL6" s="100">
        <f>SUM(CZ6:DK6)</f>
        <v>15000</v>
      </c>
    </row>
    <row r="7" spans="2:116">
      <c r="B7" s="1" t="s">
        <v>13</v>
      </c>
      <c r="C7" s="139"/>
      <c r="D7" s="139">
        <v>35000</v>
      </c>
      <c r="E7" s="139"/>
      <c r="F7" s="139"/>
      <c r="G7" s="139"/>
      <c r="H7" s="139"/>
      <c r="I7" s="139"/>
      <c r="J7" s="139"/>
      <c r="K7" s="139"/>
      <c r="L7" s="139"/>
      <c r="M7" s="139"/>
      <c r="N7" s="139"/>
      <c r="O7" s="40">
        <f t="shared" si="0"/>
        <v>35000</v>
      </c>
      <c r="P7" s="67">
        <v>40000</v>
      </c>
      <c r="Q7" s="67"/>
      <c r="R7" s="67"/>
      <c r="S7" s="67"/>
      <c r="T7" s="67"/>
      <c r="U7" s="67"/>
      <c r="V7" s="67"/>
      <c r="W7" s="68"/>
      <c r="X7" s="69"/>
      <c r="Y7" s="69"/>
      <c r="Z7" s="69"/>
      <c r="AA7" s="69"/>
      <c r="AB7" s="336">
        <f t="shared" si="1"/>
        <v>40000</v>
      </c>
      <c r="AC7" s="120"/>
      <c r="AD7" s="67">
        <v>40000</v>
      </c>
      <c r="AE7" s="67"/>
      <c r="AF7" s="67"/>
      <c r="AG7" s="67"/>
      <c r="AH7" s="67"/>
      <c r="AI7" s="67"/>
      <c r="AJ7" s="67"/>
      <c r="AK7" s="89">
        <f t="shared" ref="AK7:AK73" si="4">SUM(AC7:AJ7)</f>
        <v>40000</v>
      </c>
      <c r="AL7" s="69"/>
      <c r="AM7" s="69"/>
      <c r="AN7" s="179"/>
      <c r="AO7" s="179"/>
      <c r="AP7" s="67">
        <v>40000</v>
      </c>
      <c r="AQ7" s="74"/>
      <c r="AR7" s="179"/>
      <c r="AS7" s="179"/>
      <c r="AT7" s="179"/>
      <c r="AU7" s="179"/>
      <c r="AV7" s="179"/>
      <c r="AW7" s="179"/>
      <c r="AX7" s="100">
        <f t="shared" si="2"/>
        <v>40000</v>
      </c>
      <c r="AY7" s="202"/>
      <c r="AZ7" s="179"/>
      <c r="BA7" s="215"/>
      <c r="BB7" s="179"/>
      <c r="BC7" s="74"/>
      <c r="BD7" s="74"/>
      <c r="BE7" s="68">
        <f>40000+10000</f>
        <v>50000</v>
      </c>
      <c r="BF7" s="69"/>
      <c r="BG7" s="69"/>
      <c r="BH7" s="69"/>
      <c r="BI7" s="69"/>
      <c r="BJ7" s="197"/>
      <c r="BK7" s="100">
        <f t="shared" ref="BK7:BK10" si="5">SUM(AY7:BJ7)</f>
        <v>50000</v>
      </c>
      <c r="BL7" s="202"/>
      <c r="BM7" s="179"/>
      <c r="BN7" s="215"/>
      <c r="BO7" s="179"/>
      <c r="BP7" s="68">
        <f>40000</f>
        <v>40000</v>
      </c>
      <c r="BQ7" s="216"/>
      <c r="BR7" s="179"/>
      <c r="BS7" s="69"/>
      <c r="BT7" s="69"/>
      <c r="BU7" s="69"/>
      <c r="BV7" s="69"/>
      <c r="BW7" s="197"/>
      <c r="BX7" s="100">
        <f t="shared" ref="BX7:BX73" si="6">SUM(BL7:BW7)</f>
        <v>40000</v>
      </c>
      <c r="BY7" s="74"/>
      <c r="BZ7" s="74"/>
      <c r="CA7" s="74"/>
      <c r="CB7" s="74"/>
      <c r="CC7" s="68">
        <f>41500</f>
        <v>41500</v>
      </c>
      <c r="CD7" s="68">
        <f>4200</f>
        <v>4200</v>
      </c>
      <c r="CE7" s="66"/>
      <c r="CK7" s="100">
        <f t="shared" si="3"/>
        <v>45700</v>
      </c>
      <c r="CL7" s="130"/>
      <c r="CQ7" s="66">
        <v>41500</v>
      </c>
      <c r="CR7" s="268"/>
      <c r="CY7" s="100">
        <f t="shared" ref="CY7:CY70" si="7">SUM(CM7:CX7)</f>
        <v>41500</v>
      </c>
      <c r="CZ7" s="83"/>
      <c r="DD7" s="268">
        <v>41500</v>
      </c>
      <c r="DL7" s="100">
        <f t="shared" ref="DL7:DL70" si="8">SUM(CZ7:DK7)</f>
        <v>41500</v>
      </c>
    </row>
    <row r="8" spans="2:116">
      <c r="B8" s="1" t="s">
        <v>16</v>
      </c>
      <c r="C8" s="139"/>
      <c r="D8" s="139"/>
      <c r="E8" s="139">
        <v>15000</v>
      </c>
      <c r="F8" s="139"/>
      <c r="G8" s="139"/>
      <c r="H8" s="139"/>
      <c r="I8" s="139"/>
      <c r="J8" s="139"/>
      <c r="K8" s="139"/>
      <c r="L8" s="139"/>
      <c r="M8" s="139"/>
      <c r="N8" s="139"/>
      <c r="O8" s="40">
        <f t="shared" si="0"/>
        <v>15000</v>
      </c>
      <c r="P8" s="67"/>
      <c r="Q8" s="67"/>
      <c r="R8" s="67"/>
      <c r="S8" s="67"/>
      <c r="T8" s="67"/>
      <c r="U8" s="67"/>
      <c r="V8" s="68">
        <v>9000</v>
      </c>
      <c r="W8" s="68"/>
      <c r="X8" s="69"/>
      <c r="Y8" s="69"/>
      <c r="Z8" s="69"/>
      <c r="AA8" s="69"/>
      <c r="AB8" s="336">
        <f t="shared" si="1"/>
        <v>9000</v>
      </c>
      <c r="AC8" s="120"/>
      <c r="AD8" s="67"/>
      <c r="AE8" s="67">
        <f>9000+30000</f>
        <v>39000</v>
      </c>
      <c r="AF8" s="67"/>
      <c r="AG8" s="67"/>
      <c r="AH8" s="67"/>
      <c r="AI8" s="67"/>
      <c r="AJ8" s="67"/>
      <c r="AK8" s="89">
        <f t="shared" si="4"/>
        <v>39000</v>
      </c>
      <c r="AL8" s="67"/>
      <c r="AM8" s="69"/>
      <c r="AN8" s="179"/>
      <c r="AO8" s="179"/>
      <c r="AP8" s="74"/>
      <c r="AQ8" s="74"/>
      <c r="AR8" s="74"/>
      <c r="AS8" s="74"/>
      <c r="AT8" s="74"/>
      <c r="AU8" s="68">
        <f>9000</f>
        <v>9000</v>
      </c>
      <c r="AV8" s="68">
        <v>30000</v>
      </c>
      <c r="AW8" s="179"/>
      <c r="AX8" s="100">
        <f t="shared" si="2"/>
        <v>39000</v>
      </c>
      <c r="AY8" s="202"/>
      <c r="AZ8" s="179"/>
      <c r="BA8" s="215"/>
      <c r="BB8" s="179"/>
      <c r="BC8" s="74"/>
      <c r="BD8" s="72"/>
      <c r="BE8" s="74"/>
      <c r="BF8" s="68">
        <f>9000+30000</f>
        <v>39000</v>
      </c>
      <c r="BG8" s="69"/>
      <c r="BH8" s="69"/>
      <c r="BI8" s="69"/>
      <c r="BJ8" s="197"/>
      <c r="BK8" s="100">
        <f t="shared" si="5"/>
        <v>39000</v>
      </c>
      <c r="BL8" s="202"/>
      <c r="BM8" s="179"/>
      <c r="BN8" s="215"/>
      <c r="BO8" s="179"/>
      <c r="BP8" s="74"/>
      <c r="BQ8" s="212">
        <v>15000</v>
      </c>
      <c r="BR8" s="179"/>
      <c r="BS8" s="69"/>
      <c r="BT8" s="69"/>
      <c r="BU8" s="69"/>
      <c r="BV8" s="69"/>
      <c r="BW8" s="197"/>
      <c r="BX8" s="100">
        <f t="shared" si="6"/>
        <v>15000</v>
      </c>
      <c r="BY8" s="74"/>
      <c r="BZ8" s="74"/>
      <c r="CA8" s="74"/>
      <c r="CB8" s="74"/>
      <c r="CC8" s="74"/>
      <c r="CD8" s="74"/>
      <c r="CF8" s="66">
        <f>15000+4300</f>
        <v>19300</v>
      </c>
      <c r="CK8" s="100">
        <f t="shared" si="3"/>
        <v>19300</v>
      </c>
      <c r="CL8" s="130"/>
      <c r="CR8" s="268">
        <v>15000</v>
      </c>
      <c r="CS8" s="268"/>
      <c r="CY8" s="100">
        <f t="shared" si="7"/>
        <v>15000</v>
      </c>
      <c r="CZ8" s="83"/>
      <c r="DE8" s="268">
        <v>15000</v>
      </c>
      <c r="DL8" s="100">
        <f t="shared" si="8"/>
        <v>15000</v>
      </c>
    </row>
    <row r="9" spans="2:116">
      <c r="B9" s="1" t="s">
        <v>21</v>
      </c>
      <c r="C9" s="139"/>
      <c r="D9" s="139"/>
      <c r="E9" s="139">
        <v>0</v>
      </c>
      <c r="F9" s="139">
        <v>0</v>
      </c>
      <c r="G9" s="139">
        <v>0</v>
      </c>
      <c r="H9" s="139">
        <v>0</v>
      </c>
      <c r="I9" s="139"/>
      <c r="J9" s="139"/>
      <c r="K9" s="139"/>
      <c r="L9" s="139"/>
      <c r="M9" s="139"/>
      <c r="N9" s="139"/>
      <c r="O9" s="40">
        <f t="shared" si="0"/>
        <v>0</v>
      </c>
      <c r="P9" s="67"/>
      <c r="Q9" s="69"/>
      <c r="R9" s="70"/>
      <c r="S9" s="70"/>
      <c r="T9" s="70"/>
      <c r="U9" s="70"/>
      <c r="V9" s="70"/>
      <c r="W9" s="68"/>
      <c r="X9" s="71"/>
      <c r="Y9" s="68"/>
      <c r="Z9" s="68">
        <f>15000*1.21</f>
        <v>18150</v>
      </c>
      <c r="AA9" s="71"/>
      <c r="AB9" s="336">
        <f t="shared" si="1"/>
        <v>18150</v>
      </c>
      <c r="AC9" s="120">
        <v>15000</v>
      </c>
      <c r="AD9" s="67"/>
      <c r="AE9" s="67"/>
      <c r="AF9" s="67"/>
      <c r="AG9" s="70"/>
      <c r="AH9" s="67"/>
      <c r="AI9" s="67"/>
      <c r="AJ9" s="67"/>
      <c r="AK9" s="89">
        <f t="shared" si="4"/>
        <v>15000</v>
      </c>
      <c r="AL9" s="67"/>
      <c r="AM9" s="71"/>
      <c r="AN9" s="179"/>
      <c r="AO9" s="72"/>
      <c r="AP9" s="179"/>
      <c r="AQ9" s="74"/>
      <c r="AR9" s="68">
        <f>25000</f>
        <v>25000</v>
      </c>
      <c r="AS9" s="74"/>
      <c r="AT9" s="74"/>
      <c r="AU9" s="74"/>
      <c r="AV9" s="74"/>
      <c r="AW9" s="72"/>
      <c r="AX9" s="100">
        <f t="shared" si="2"/>
        <v>25000</v>
      </c>
      <c r="AY9" s="72"/>
      <c r="AZ9" s="74"/>
      <c r="BA9" s="212">
        <v>25000</v>
      </c>
      <c r="BB9" s="74"/>
      <c r="BC9" s="179"/>
      <c r="BD9" s="69"/>
      <c r="BE9" s="74"/>
      <c r="BF9" s="68">
        <f>25000</f>
        <v>25000</v>
      </c>
      <c r="BG9" s="74"/>
      <c r="BH9" s="69"/>
      <c r="BI9" s="69"/>
      <c r="BJ9" s="74"/>
      <c r="BK9" s="100">
        <f>SUM(AY9:BJ9)</f>
        <v>50000</v>
      </c>
      <c r="BL9" s="179"/>
      <c r="BM9" s="179"/>
      <c r="BN9" s="212">
        <f>50000*0</f>
        <v>0</v>
      </c>
      <c r="BO9" s="74"/>
      <c r="BP9" s="68">
        <f>25000</f>
        <v>25000</v>
      </c>
      <c r="BQ9" s="216"/>
      <c r="BR9" s="74"/>
      <c r="BS9" s="67">
        <v>25000</v>
      </c>
      <c r="BT9" s="74"/>
      <c r="BU9" s="69"/>
      <c r="BV9" s="69"/>
      <c r="BW9" s="237"/>
      <c r="BX9" s="100">
        <f t="shared" si="6"/>
        <v>50000</v>
      </c>
      <c r="BY9" s="74"/>
      <c r="BZ9" s="74"/>
      <c r="CA9" s="74"/>
      <c r="CB9" s="67">
        <v>25000</v>
      </c>
      <c r="CC9" s="74"/>
      <c r="CD9" s="74"/>
      <c r="CF9" s="66">
        <f>4200+25000</f>
        <v>29200</v>
      </c>
      <c r="CK9" s="100">
        <f t="shared" si="3"/>
        <v>54200</v>
      </c>
      <c r="CL9" s="130"/>
      <c r="CP9" s="268">
        <v>25000</v>
      </c>
      <c r="CT9" s="268">
        <v>25000</v>
      </c>
      <c r="CY9" s="100">
        <f t="shared" si="7"/>
        <v>50000</v>
      </c>
      <c r="CZ9" s="83"/>
      <c r="DC9" s="268">
        <v>25000</v>
      </c>
      <c r="DG9" s="268">
        <v>25000</v>
      </c>
      <c r="DL9" s="100">
        <f t="shared" si="8"/>
        <v>50000</v>
      </c>
    </row>
    <row r="10" spans="2:116">
      <c r="B10" s="1" t="s">
        <v>26</v>
      </c>
      <c r="C10" s="139"/>
      <c r="D10" s="139"/>
      <c r="E10" s="139"/>
      <c r="F10" s="139"/>
      <c r="G10" s="139"/>
      <c r="H10" s="139"/>
      <c r="I10" s="139">
        <v>5000</v>
      </c>
      <c r="J10" s="139"/>
      <c r="K10" s="139"/>
      <c r="L10" s="139"/>
      <c r="M10" s="139"/>
      <c r="N10" s="139"/>
      <c r="O10" s="40">
        <f t="shared" si="0"/>
        <v>5000</v>
      </c>
      <c r="P10" s="67"/>
      <c r="Q10" s="67"/>
      <c r="R10" s="67"/>
      <c r="S10" s="67"/>
      <c r="T10" s="67"/>
      <c r="U10" s="67"/>
      <c r="V10" s="67">
        <v>4500</v>
      </c>
      <c r="W10" s="68"/>
      <c r="X10" s="71"/>
      <c r="Y10" s="69"/>
      <c r="Z10" s="69"/>
      <c r="AA10" s="72"/>
      <c r="AB10" s="336">
        <f t="shared" si="1"/>
        <v>4500</v>
      </c>
      <c r="AC10" s="120"/>
      <c r="AD10" s="67"/>
      <c r="AE10" s="67"/>
      <c r="AF10" s="67"/>
      <c r="AG10" s="68">
        <f>4500</f>
        <v>4500</v>
      </c>
      <c r="AH10" s="67"/>
      <c r="AI10" s="67"/>
      <c r="AJ10" s="67"/>
      <c r="AK10" s="89">
        <f t="shared" si="4"/>
        <v>4500</v>
      </c>
      <c r="AL10" s="67"/>
      <c r="AM10" s="74"/>
      <c r="AN10" s="74"/>
      <c r="AO10" s="74"/>
      <c r="AP10" s="68">
        <f>4500</f>
        <v>4500</v>
      </c>
      <c r="AQ10" s="68">
        <f>4500</f>
        <v>4500</v>
      </c>
      <c r="AR10" s="179"/>
      <c r="AS10" s="179"/>
      <c r="AT10" s="179"/>
      <c r="AU10" s="74"/>
      <c r="AV10" s="74"/>
      <c r="AW10" s="72"/>
      <c r="AX10" s="100">
        <f t="shared" si="2"/>
        <v>9000</v>
      </c>
      <c r="AY10" s="72"/>
      <c r="AZ10" s="68">
        <v>4500</v>
      </c>
      <c r="BA10" s="215"/>
      <c r="BB10" s="179"/>
      <c r="BC10" s="68">
        <v>4500</v>
      </c>
      <c r="BD10" s="74"/>
      <c r="BE10" s="74"/>
      <c r="BF10" s="69"/>
      <c r="BG10" s="69"/>
      <c r="BH10" s="69"/>
      <c r="BI10" s="69"/>
      <c r="BJ10" s="197"/>
      <c r="BK10" s="100">
        <f t="shared" si="5"/>
        <v>9000</v>
      </c>
      <c r="BL10" s="202"/>
      <c r="BM10" s="74"/>
      <c r="BN10" s="216"/>
      <c r="BO10" s="68">
        <v>6000</v>
      </c>
      <c r="BP10" s="74"/>
      <c r="BQ10" s="216"/>
      <c r="BR10" s="69"/>
      <c r="BS10" s="68">
        <v>6000</v>
      </c>
      <c r="BT10" s="69"/>
      <c r="BU10" s="69"/>
      <c r="BV10" s="69"/>
      <c r="BW10" s="197"/>
      <c r="BX10" s="100">
        <f t="shared" si="6"/>
        <v>12000</v>
      </c>
      <c r="BY10" s="67">
        <v>6000</v>
      </c>
      <c r="BZ10" s="74"/>
      <c r="CA10" s="74"/>
      <c r="CB10" s="68">
        <v>6000</v>
      </c>
      <c r="CC10" s="74"/>
      <c r="CD10" s="475"/>
      <c r="CI10" s="268">
        <v>6000</v>
      </c>
      <c r="CK10" s="100">
        <f t="shared" si="3"/>
        <v>18000</v>
      </c>
      <c r="CL10" s="130"/>
      <c r="CP10" s="268">
        <v>6000</v>
      </c>
      <c r="CW10" s="268">
        <v>6000</v>
      </c>
      <c r="CY10" s="100">
        <f t="shared" si="7"/>
        <v>12000</v>
      </c>
      <c r="CZ10" s="83"/>
      <c r="DC10" s="268">
        <v>6000</v>
      </c>
      <c r="DJ10" s="268">
        <v>6000</v>
      </c>
      <c r="DL10" s="100">
        <f t="shared" si="8"/>
        <v>12000</v>
      </c>
    </row>
    <row r="11" spans="2:116">
      <c r="B11" s="1" t="s">
        <v>40</v>
      </c>
      <c r="C11" s="139"/>
      <c r="D11" s="139"/>
      <c r="E11" s="139"/>
      <c r="F11" s="139"/>
      <c r="G11" s="139"/>
      <c r="H11" s="139"/>
      <c r="I11" s="139"/>
      <c r="J11" s="139">
        <v>10000</v>
      </c>
      <c r="K11" s="139"/>
      <c r="L11" s="139"/>
      <c r="M11" s="139"/>
      <c r="N11" s="139"/>
      <c r="O11" s="40">
        <f t="shared" si="0"/>
        <v>10000</v>
      </c>
      <c r="P11" s="67"/>
      <c r="Q11" s="67"/>
      <c r="R11" s="67"/>
      <c r="S11" s="67"/>
      <c r="T11" s="67"/>
      <c r="U11" s="67"/>
      <c r="V11" s="67"/>
      <c r="W11" s="68"/>
      <c r="X11" s="68">
        <v>10000</v>
      </c>
      <c r="Y11" s="68"/>
      <c r="Z11" s="69"/>
      <c r="AA11" s="69"/>
      <c r="AB11" s="336">
        <f t="shared" si="1"/>
        <v>10000</v>
      </c>
      <c r="AC11" s="343"/>
      <c r="AD11" s="70"/>
      <c r="AE11" s="70"/>
      <c r="AF11" s="70"/>
      <c r="AG11" s="70"/>
      <c r="AH11" s="70"/>
      <c r="AI11" s="70"/>
      <c r="AJ11" s="70"/>
      <c r="AK11" s="89">
        <f t="shared" si="4"/>
        <v>0</v>
      </c>
      <c r="AL11" s="68">
        <v>10000</v>
      </c>
      <c r="AM11" s="71"/>
      <c r="AN11" s="71"/>
      <c r="AO11" s="71"/>
      <c r="AP11" s="69"/>
      <c r="AQ11" s="69"/>
      <c r="AR11" s="179"/>
      <c r="AS11" s="179"/>
      <c r="AT11" s="179"/>
      <c r="AU11" s="179"/>
      <c r="AV11" s="179"/>
      <c r="AW11" s="179"/>
      <c r="AX11" s="100">
        <f t="shared" si="2"/>
        <v>10000</v>
      </c>
      <c r="AY11" s="202"/>
      <c r="AZ11" s="68">
        <v>10000</v>
      </c>
      <c r="BA11" s="215"/>
      <c r="BB11" s="179"/>
      <c r="BC11" s="179"/>
      <c r="BD11" s="69"/>
      <c r="BE11" s="69"/>
      <c r="BF11" s="69"/>
      <c r="BG11" s="69"/>
      <c r="BH11" s="69"/>
      <c r="BI11" s="69"/>
      <c r="BJ11" s="197"/>
      <c r="BK11" s="100">
        <f>SUM(AY11:BJ11)</f>
        <v>10000</v>
      </c>
      <c r="BL11" s="68">
        <v>10000</v>
      </c>
      <c r="BM11" s="179"/>
      <c r="BN11" s="216"/>
      <c r="BO11" s="179"/>
      <c r="BP11" s="179"/>
      <c r="BQ11" s="213"/>
      <c r="BR11" s="69"/>
      <c r="BS11" s="69"/>
      <c r="BT11" s="69"/>
      <c r="BU11" s="69"/>
      <c r="BV11" s="69"/>
      <c r="BW11" s="68">
        <v>10500</v>
      </c>
      <c r="BX11" s="100">
        <f t="shared" si="6"/>
        <v>20500</v>
      </c>
      <c r="BY11" s="72"/>
      <c r="BZ11" s="74"/>
      <c r="CA11" s="74"/>
      <c r="CB11" s="74"/>
      <c r="CC11" s="74"/>
      <c r="CD11" s="74"/>
      <c r="CJ11" s="268">
        <v>10500</v>
      </c>
      <c r="CK11" s="100">
        <f t="shared" si="3"/>
        <v>10500</v>
      </c>
      <c r="CL11" s="130"/>
      <c r="CM11" s="268"/>
      <c r="CX11" s="268">
        <v>10500</v>
      </c>
      <c r="CY11" s="100">
        <f t="shared" si="7"/>
        <v>10500</v>
      </c>
      <c r="CZ11" s="83"/>
      <c r="DK11" s="268">
        <v>10500</v>
      </c>
      <c r="DL11" s="100">
        <f t="shared" si="8"/>
        <v>10500</v>
      </c>
    </row>
    <row r="12" spans="2:116">
      <c r="B12" s="1" t="s">
        <v>142</v>
      </c>
      <c r="C12" s="139"/>
      <c r="D12" s="139"/>
      <c r="E12" s="139"/>
      <c r="F12" s="139"/>
      <c r="G12" s="139"/>
      <c r="H12" s="139"/>
      <c r="I12" s="139"/>
      <c r="J12" s="139"/>
      <c r="K12" s="139"/>
      <c r="L12" s="139"/>
      <c r="M12" s="139">
        <v>7500</v>
      </c>
      <c r="N12" s="139"/>
      <c r="O12" s="40">
        <f t="shared" si="0"/>
        <v>7500</v>
      </c>
      <c r="P12" s="67"/>
      <c r="Q12" s="67"/>
      <c r="R12" s="67"/>
      <c r="S12" s="67"/>
      <c r="T12" s="67"/>
      <c r="U12" s="67">
        <v>7500</v>
      </c>
      <c r="V12" s="67"/>
      <c r="W12" s="68"/>
      <c r="X12" s="69"/>
      <c r="Y12" s="67">
        <v>7500</v>
      </c>
      <c r="Z12" s="69"/>
      <c r="AA12" s="69"/>
      <c r="AB12" s="336">
        <f t="shared" si="1"/>
        <v>15000</v>
      </c>
      <c r="AC12" s="343"/>
      <c r="AD12" s="70"/>
      <c r="AE12" s="70"/>
      <c r="AF12" s="67"/>
      <c r="AG12" s="68">
        <v>7500</v>
      </c>
      <c r="AH12" s="67"/>
      <c r="AI12" s="70"/>
      <c r="AJ12" s="70"/>
      <c r="AK12" s="89">
        <f t="shared" si="4"/>
        <v>7500</v>
      </c>
      <c r="AL12" s="70"/>
      <c r="AM12" s="74"/>
      <c r="AN12" s="68">
        <v>7500</v>
      </c>
      <c r="AO12" s="71"/>
      <c r="AP12" s="69"/>
      <c r="AQ12" s="69"/>
      <c r="AR12" s="68">
        <v>7500</v>
      </c>
      <c r="AS12" s="69"/>
      <c r="AT12" s="69"/>
      <c r="AU12" s="69"/>
      <c r="AV12" s="69"/>
      <c r="AW12" s="69"/>
      <c r="AX12" s="100">
        <f t="shared" si="2"/>
        <v>15000</v>
      </c>
      <c r="AY12" s="202"/>
      <c r="AZ12" s="74"/>
      <c r="BA12" s="212">
        <v>7500</v>
      </c>
      <c r="BB12" s="179"/>
      <c r="BC12" s="179"/>
      <c r="BD12" s="69"/>
      <c r="BE12" s="74"/>
      <c r="BF12" s="68">
        <v>7500</v>
      </c>
      <c r="BG12" s="69"/>
      <c r="BH12" s="69"/>
      <c r="BI12" s="69"/>
      <c r="BJ12" s="197"/>
      <c r="BK12" s="100">
        <f t="shared" ref="BK12:BK72" si="9">SUM(AY12:BJ12)</f>
        <v>15000</v>
      </c>
      <c r="BL12" s="202"/>
      <c r="BM12" s="74"/>
      <c r="BN12" s="216"/>
      <c r="BO12" s="68">
        <v>7500</v>
      </c>
      <c r="BP12" s="179"/>
      <c r="BQ12" s="213"/>
      <c r="BR12" s="68">
        <v>7500</v>
      </c>
      <c r="BS12" s="74"/>
      <c r="BT12" s="69"/>
      <c r="BU12" s="69"/>
      <c r="BV12" s="69"/>
      <c r="BW12" s="197"/>
      <c r="BX12" s="100">
        <f t="shared" si="6"/>
        <v>15000</v>
      </c>
      <c r="BY12" s="74"/>
      <c r="BZ12" s="74"/>
      <c r="CA12" s="74"/>
      <c r="CB12" s="453"/>
      <c r="CC12" s="74"/>
      <c r="CD12" s="453"/>
      <c r="CE12" s="268"/>
      <c r="CG12" s="268"/>
      <c r="CK12" s="100">
        <f t="shared" si="3"/>
        <v>0</v>
      </c>
      <c r="CL12" s="130"/>
      <c r="CO12" s="268"/>
      <c r="CP12" s="268"/>
      <c r="CQ12" s="268"/>
      <c r="CR12" s="268"/>
      <c r="CS12" s="268"/>
      <c r="CU12" s="268"/>
      <c r="CY12" s="100">
        <f t="shared" si="7"/>
        <v>0</v>
      </c>
      <c r="CZ12" s="83"/>
      <c r="DL12" s="100">
        <f t="shared" si="8"/>
        <v>0</v>
      </c>
    </row>
    <row r="13" spans="2:116">
      <c r="B13" s="1" t="s">
        <v>143</v>
      </c>
      <c r="C13" s="139"/>
      <c r="D13" s="139"/>
      <c r="E13" s="139"/>
      <c r="F13" s="139"/>
      <c r="G13" s="139"/>
      <c r="H13" s="139"/>
      <c r="I13" s="139"/>
      <c r="J13" s="139"/>
      <c r="K13" s="139"/>
      <c r="L13" s="139"/>
      <c r="M13" s="139"/>
      <c r="N13" s="139"/>
      <c r="O13" s="40">
        <f t="shared" si="0"/>
        <v>0</v>
      </c>
      <c r="P13" s="67">
        <v>10000</v>
      </c>
      <c r="Q13" s="67"/>
      <c r="R13" s="67"/>
      <c r="S13" s="67"/>
      <c r="T13" s="67"/>
      <c r="U13" s="67"/>
      <c r="V13" s="67"/>
      <c r="W13" s="68"/>
      <c r="X13" s="69"/>
      <c r="Y13" s="69"/>
      <c r="Z13" s="69"/>
      <c r="AA13" s="69"/>
      <c r="AB13" s="336">
        <f t="shared" si="1"/>
        <v>10000</v>
      </c>
      <c r="AC13" s="343"/>
      <c r="AD13" s="70"/>
      <c r="AE13" s="67"/>
      <c r="AF13" s="67"/>
      <c r="AG13" s="67"/>
      <c r="AH13" s="67"/>
      <c r="AI13" s="68">
        <v>12500</v>
      </c>
      <c r="AJ13" s="70"/>
      <c r="AK13" s="89">
        <f t="shared" si="4"/>
        <v>12500</v>
      </c>
      <c r="AL13" s="70"/>
      <c r="AM13" s="71"/>
      <c r="AN13" s="71"/>
      <c r="AO13" s="71"/>
      <c r="AP13" s="69"/>
      <c r="AQ13" s="74"/>
      <c r="AR13" s="68">
        <v>10000</v>
      </c>
      <c r="AS13" s="179"/>
      <c r="AT13" s="179"/>
      <c r="AU13" s="179"/>
      <c r="AV13" s="179"/>
      <c r="AW13" s="179"/>
      <c r="AX13" s="100">
        <f t="shared" si="2"/>
        <v>10000</v>
      </c>
      <c r="AY13" s="202"/>
      <c r="AZ13" s="179"/>
      <c r="BA13" s="215"/>
      <c r="BB13" s="179"/>
      <c r="BC13" s="179"/>
      <c r="BD13" s="74"/>
      <c r="BE13" s="68">
        <v>10000</v>
      </c>
      <c r="BF13" s="69"/>
      <c r="BG13" s="69"/>
      <c r="BH13" s="69"/>
      <c r="BI13" s="69"/>
      <c r="BJ13" s="197"/>
      <c r="BK13" s="100">
        <f t="shared" si="9"/>
        <v>10000</v>
      </c>
      <c r="BL13" s="202"/>
      <c r="BM13" s="179"/>
      <c r="BN13" s="215"/>
      <c r="BO13" s="179"/>
      <c r="BP13" s="179"/>
      <c r="BQ13" s="216"/>
      <c r="BR13" s="68">
        <v>12500</v>
      </c>
      <c r="BS13" s="69"/>
      <c r="BT13" s="69"/>
      <c r="BU13" s="69"/>
      <c r="BV13" s="69"/>
      <c r="BW13" s="197"/>
      <c r="BX13" s="100">
        <f t="shared" si="6"/>
        <v>12500</v>
      </c>
      <c r="BY13" s="74"/>
      <c r="BZ13" s="74"/>
      <c r="CA13" s="74"/>
      <c r="CB13" s="74"/>
      <c r="CC13" s="74"/>
      <c r="CD13" s="68">
        <v>12000</v>
      </c>
      <c r="CK13" s="100">
        <f t="shared" si="3"/>
        <v>12000</v>
      </c>
      <c r="CL13" s="130"/>
      <c r="CR13" s="268">
        <v>12000</v>
      </c>
      <c r="CY13" s="100">
        <f t="shared" si="7"/>
        <v>12000</v>
      </c>
      <c r="CZ13" s="83"/>
      <c r="DE13" s="268">
        <v>12000</v>
      </c>
      <c r="DL13" s="100">
        <f t="shared" si="8"/>
        <v>12000</v>
      </c>
    </row>
    <row r="14" spans="2:116">
      <c r="B14" s="36" t="s">
        <v>28</v>
      </c>
      <c r="C14" s="139"/>
      <c r="D14" s="139"/>
      <c r="E14" s="139"/>
      <c r="F14" s="139"/>
      <c r="G14" s="139"/>
      <c r="H14" s="139"/>
      <c r="I14" s="139"/>
      <c r="J14" s="139"/>
      <c r="K14" s="139"/>
      <c r="L14" s="139"/>
      <c r="M14" s="139"/>
      <c r="N14" s="139"/>
      <c r="O14" s="40">
        <f t="shared" si="0"/>
        <v>0</v>
      </c>
      <c r="P14" s="67"/>
      <c r="Q14" s="67">
        <v>6000</v>
      </c>
      <c r="R14" s="67"/>
      <c r="S14" s="67"/>
      <c r="T14" s="67"/>
      <c r="U14" s="67"/>
      <c r="V14" s="67">
        <v>6000</v>
      </c>
      <c r="W14" s="68"/>
      <c r="X14" s="69"/>
      <c r="Y14" s="69"/>
      <c r="Z14" s="69"/>
      <c r="AA14" s="69"/>
      <c r="AB14" s="336">
        <f t="shared" si="1"/>
        <v>12000</v>
      </c>
      <c r="AC14" s="343"/>
      <c r="AD14" s="68">
        <v>6000</v>
      </c>
      <c r="AE14" s="70"/>
      <c r="AF14" s="70"/>
      <c r="AG14" s="70"/>
      <c r="AH14" s="70"/>
      <c r="AI14" s="67"/>
      <c r="AJ14" s="68">
        <v>6000</v>
      </c>
      <c r="AK14" s="89">
        <f t="shared" si="4"/>
        <v>12000</v>
      </c>
      <c r="AL14" s="70"/>
      <c r="AM14" s="71"/>
      <c r="AN14" s="71"/>
      <c r="AO14" s="71"/>
      <c r="AP14" s="74"/>
      <c r="AQ14" s="68">
        <v>6000</v>
      </c>
      <c r="AR14" s="179"/>
      <c r="AS14" s="179"/>
      <c r="AT14" s="179"/>
      <c r="AU14" s="179"/>
      <c r="AV14" s="74"/>
      <c r="AW14" s="72"/>
      <c r="AX14" s="100">
        <f t="shared" si="2"/>
        <v>6000</v>
      </c>
      <c r="AY14" s="68">
        <v>6000</v>
      </c>
      <c r="AZ14" s="179"/>
      <c r="BA14" s="215"/>
      <c r="BB14" s="179"/>
      <c r="BC14" s="74"/>
      <c r="BD14" s="74"/>
      <c r="BE14" s="74"/>
      <c r="BF14" s="68">
        <v>6000</v>
      </c>
      <c r="BG14" s="74"/>
      <c r="BH14" s="74"/>
      <c r="BI14" s="74"/>
      <c r="BJ14" s="68">
        <v>6000</v>
      </c>
      <c r="BK14" s="100">
        <f>SUM(AY14:BJ14)</f>
        <v>18000</v>
      </c>
      <c r="BL14" s="202"/>
      <c r="BM14" s="179"/>
      <c r="BN14" s="215"/>
      <c r="BO14" s="179"/>
      <c r="BP14" s="74"/>
      <c r="BQ14" s="212">
        <v>6000</v>
      </c>
      <c r="BR14" s="69"/>
      <c r="BS14" s="69"/>
      <c r="BT14" s="69"/>
      <c r="BU14" s="74"/>
      <c r="BV14" s="68">
        <v>6000</v>
      </c>
      <c r="BW14" s="197"/>
      <c r="BX14" s="100">
        <f t="shared" si="6"/>
        <v>12000</v>
      </c>
      <c r="BY14" s="74"/>
      <c r="BZ14" s="74"/>
      <c r="CA14" s="74"/>
      <c r="CB14" s="74"/>
      <c r="CC14" s="74"/>
      <c r="CD14" s="453"/>
      <c r="CE14" s="268"/>
      <c r="CF14" s="268"/>
      <c r="CG14" s="268"/>
      <c r="CH14" s="268"/>
      <c r="CI14" s="268"/>
      <c r="CK14" s="100">
        <f t="shared" si="3"/>
        <v>0</v>
      </c>
      <c r="CL14" s="130"/>
      <c r="CR14" s="268"/>
      <c r="CS14" s="268"/>
      <c r="CT14" s="268"/>
      <c r="CU14" s="268"/>
      <c r="CV14" s="268"/>
      <c r="CW14" s="268"/>
      <c r="CY14" s="100">
        <f t="shared" si="7"/>
        <v>0</v>
      </c>
      <c r="CZ14" s="83"/>
      <c r="DL14" s="100">
        <f t="shared" si="8"/>
        <v>0</v>
      </c>
    </row>
    <row r="15" spans="2:116">
      <c r="B15" s="36" t="s">
        <v>23</v>
      </c>
      <c r="C15" s="139"/>
      <c r="D15" s="139"/>
      <c r="E15" s="139"/>
      <c r="F15" s="139"/>
      <c r="G15" s="139">
        <v>0</v>
      </c>
      <c r="H15" s="139">
        <v>5000</v>
      </c>
      <c r="I15" s="139"/>
      <c r="J15" s="139"/>
      <c r="K15" s="139"/>
      <c r="L15" s="139"/>
      <c r="M15" s="139"/>
      <c r="N15" s="139"/>
      <c r="O15" s="40">
        <f t="shared" si="0"/>
        <v>5000</v>
      </c>
      <c r="P15" s="67"/>
      <c r="Q15" s="67"/>
      <c r="R15" s="67"/>
      <c r="S15" s="67"/>
      <c r="T15" s="67"/>
      <c r="U15" s="67"/>
      <c r="V15" s="67"/>
      <c r="W15" s="68"/>
      <c r="X15" s="67">
        <f>5000+5000</f>
        <v>10000</v>
      </c>
      <c r="Y15" s="69"/>
      <c r="Z15" s="69"/>
      <c r="AA15" s="69"/>
      <c r="AB15" s="336">
        <f t="shared" si="1"/>
        <v>10000</v>
      </c>
      <c r="AC15" s="120"/>
      <c r="AD15" s="67">
        <v>-5000</v>
      </c>
      <c r="AE15" s="70"/>
      <c r="AF15" s="70"/>
      <c r="AG15" s="70"/>
      <c r="AH15" s="67"/>
      <c r="AI15" s="67"/>
      <c r="AJ15" s="67"/>
      <c r="AK15" s="89">
        <f t="shared" si="4"/>
        <v>-5000</v>
      </c>
      <c r="AL15" s="70"/>
      <c r="AM15" s="71"/>
      <c r="AN15" s="71"/>
      <c r="AO15" s="71"/>
      <c r="AP15" s="69"/>
      <c r="AQ15" s="179"/>
      <c r="AR15" s="179"/>
      <c r="AS15" s="179"/>
      <c r="AT15" s="179"/>
      <c r="AU15" s="179"/>
      <c r="AV15" s="179"/>
      <c r="AW15" s="179"/>
      <c r="AX15" s="100">
        <f t="shared" si="2"/>
        <v>0</v>
      </c>
      <c r="AY15" s="202"/>
      <c r="AZ15" s="179"/>
      <c r="BA15" s="215"/>
      <c r="BB15" s="179"/>
      <c r="BC15" s="179"/>
      <c r="BD15" s="69"/>
      <c r="BE15" s="69"/>
      <c r="BF15" s="69"/>
      <c r="BG15" s="69"/>
      <c r="BH15" s="69"/>
      <c r="BI15" s="69"/>
      <c r="BJ15" s="197"/>
      <c r="BK15" s="100">
        <f t="shared" si="9"/>
        <v>0</v>
      </c>
      <c r="BL15" s="202"/>
      <c r="BM15" s="179"/>
      <c r="BN15" s="215"/>
      <c r="BO15" s="179"/>
      <c r="BP15" s="179"/>
      <c r="BQ15" s="213"/>
      <c r="BR15" s="69"/>
      <c r="BS15" s="69"/>
      <c r="BT15" s="69"/>
      <c r="BU15" s="69"/>
      <c r="BV15" s="69"/>
      <c r="BW15" s="197"/>
      <c r="BX15" s="100">
        <f t="shared" si="6"/>
        <v>0</v>
      </c>
      <c r="BY15" s="74"/>
      <c r="BZ15" s="74"/>
      <c r="CA15" s="74"/>
      <c r="CB15" s="74"/>
      <c r="CC15" s="74"/>
      <c r="CD15" s="74"/>
      <c r="CK15" s="100">
        <f t="shared" si="3"/>
        <v>0</v>
      </c>
      <c r="CL15" s="130"/>
      <c r="CY15" s="100">
        <f t="shared" si="7"/>
        <v>0</v>
      </c>
      <c r="CZ15" s="83"/>
      <c r="DL15" s="100">
        <f t="shared" si="8"/>
        <v>0</v>
      </c>
    </row>
    <row r="16" spans="2:116">
      <c r="B16" s="36" t="s">
        <v>38</v>
      </c>
      <c r="C16" s="139"/>
      <c r="D16" s="139"/>
      <c r="E16" s="139"/>
      <c r="F16" s="139"/>
      <c r="G16" s="139"/>
      <c r="H16" s="139"/>
      <c r="I16" s="139"/>
      <c r="J16" s="139"/>
      <c r="K16" s="139"/>
      <c r="L16" s="139"/>
      <c r="M16" s="139"/>
      <c r="N16" s="139"/>
      <c r="O16" s="40">
        <f t="shared" si="0"/>
        <v>0</v>
      </c>
      <c r="P16" s="67"/>
      <c r="Q16" s="67"/>
      <c r="R16" s="67"/>
      <c r="S16" s="68">
        <v>4500</v>
      </c>
      <c r="T16" s="67"/>
      <c r="U16" s="67"/>
      <c r="V16" s="67"/>
      <c r="W16" s="68"/>
      <c r="X16" s="69"/>
      <c r="Y16" s="69"/>
      <c r="Z16" s="69"/>
      <c r="AA16" s="69"/>
      <c r="AB16" s="336">
        <f t="shared" si="1"/>
        <v>4500</v>
      </c>
      <c r="AC16" s="343"/>
      <c r="AD16" s="70"/>
      <c r="AE16" s="70"/>
      <c r="AF16" s="67"/>
      <c r="AG16" s="67"/>
      <c r="AH16" s="67"/>
      <c r="AI16" s="68">
        <v>4500</v>
      </c>
      <c r="AJ16" s="70"/>
      <c r="AK16" s="89">
        <f t="shared" si="4"/>
        <v>4500</v>
      </c>
      <c r="AL16" s="70"/>
      <c r="AM16" s="71"/>
      <c r="AN16" s="71"/>
      <c r="AO16" s="71"/>
      <c r="AP16" s="69"/>
      <c r="AQ16" s="179"/>
      <c r="AR16" s="179"/>
      <c r="AS16" s="74"/>
      <c r="AT16" s="74"/>
      <c r="AU16" s="179"/>
      <c r="AV16" s="74"/>
      <c r="AW16" s="179"/>
      <c r="AX16" s="100">
        <f t="shared" ref="AX16:AX26" si="10">SUM(AL16:AW16)</f>
        <v>0</v>
      </c>
      <c r="AY16" s="74"/>
      <c r="AZ16" s="179"/>
      <c r="BA16" s="216"/>
      <c r="BB16" s="68">
        <v>10000</v>
      </c>
      <c r="BC16" s="179"/>
      <c r="BD16" s="69"/>
      <c r="BE16" s="69"/>
      <c r="BF16" s="74"/>
      <c r="BG16" s="179"/>
      <c r="BH16" s="69"/>
      <c r="BI16" s="69"/>
      <c r="BJ16" s="197"/>
      <c r="BK16" s="100">
        <f>SUM(AY16:BJ16)</f>
        <v>10000</v>
      </c>
      <c r="BL16" s="202"/>
      <c r="BM16" s="179"/>
      <c r="BN16" s="215"/>
      <c r="BO16" s="179"/>
      <c r="BP16" s="179"/>
      <c r="BQ16" s="213"/>
      <c r="BR16" s="69"/>
      <c r="BS16" s="74"/>
      <c r="BT16" s="74"/>
      <c r="BU16" s="179"/>
      <c r="BV16" s="74"/>
      <c r="BW16" s="72"/>
      <c r="BX16" s="100">
        <f>SUM(BL16:BW16)</f>
        <v>0</v>
      </c>
      <c r="BY16" s="68">
        <f>5285+5715</f>
        <v>11000</v>
      </c>
      <c r="BZ16" s="74"/>
      <c r="CA16" s="74"/>
      <c r="CB16" s="74"/>
      <c r="CC16" s="74"/>
      <c r="CD16" s="74"/>
      <c r="CF16" s="66">
        <v>4200</v>
      </c>
      <c r="CK16" s="100">
        <f t="shared" si="3"/>
        <v>15200</v>
      </c>
      <c r="CL16" s="130"/>
      <c r="CX16" s="268">
        <v>6000</v>
      </c>
      <c r="CY16" s="100">
        <f>SUM(CM16:CX16)</f>
        <v>6000</v>
      </c>
      <c r="CZ16" s="83"/>
      <c r="DK16" s="268">
        <v>6000</v>
      </c>
      <c r="DL16" s="100">
        <f t="shared" si="8"/>
        <v>6000</v>
      </c>
    </row>
    <row r="17" spans="1:116">
      <c r="B17" s="36" t="s">
        <v>49</v>
      </c>
      <c r="C17" s="139"/>
      <c r="D17" s="139"/>
      <c r="E17" s="139"/>
      <c r="F17" s="139"/>
      <c r="G17" s="139"/>
      <c r="H17" s="139"/>
      <c r="I17" s="139"/>
      <c r="J17" s="139"/>
      <c r="K17" s="139"/>
      <c r="L17" s="139"/>
      <c r="M17" s="139"/>
      <c r="N17" s="139"/>
      <c r="O17" s="40">
        <f t="shared" si="0"/>
        <v>0</v>
      </c>
      <c r="P17" s="67"/>
      <c r="Q17" s="68">
        <v>12500</v>
      </c>
      <c r="R17" s="67"/>
      <c r="S17" s="67"/>
      <c r="T17" s="67"/>
      <c r="U17" s="67"/>
      <c r="V17" s="67"/>
      <c r="W17" s="68"/>
      <c r="X17" s="69"/>
      <c r="Y17" s="69"/>
      <c r="Z17" s="69"/>
      <c r="AA17" s="69"/>
      <c r="AB17" s="336">
        <f t="shared" si="1"/>
        <v>12500</v>
      </c>
      <c r="AC17" s="240">
        <f>12500</f>
        <v>12500</v>
      </c>
      <c r="AD17" s="67"/>
      <c r="AE17" s="70"/>
      <c r="AF17" s="70"/>
      <c r="AG17" s="70"/>
      <c r="AH17" s="70"/>
      <c r="AI17" s="70"/>
      <c r="AJ17" s="70"/>
      <c r="AK17" s="89">
        <f t="shared" si="4"/>
        <v>12500</v>
      </c>
      <c r="AL17" s="70"/>
      <c r="AM17" s="71"/>
      <c r="AN17" s="72">
        <f>12500*0</f>
        <v>0</v>
      </c>
      <c r="AO17" s="71"/>
      <c r="AP17" s="69"/>
      <c r="AQ17" s="74"/>
      <c r="AR17" s="74"/>
      <c r="AS17" s="74"/>
      <c r="AT17" s="74"/>
      <c r="AU17" s="74"/>
      <c r="AV17" s="74"/>
      <c r="AW17" s="179"/>
      <c r="AX17" s="100">
        <f t="shared" si="10"/>
        <v>0</v>
      </c>
      <c r="AY17" s="202"/>
      <c r="AZ17" s="179"/>
      <c r="BA17" s="215"/>
      <c r="BB17" s="179"/>
      <c r="BC17" s="179"/>
      <c r="BD17" s="179"/>
      <c r="BE17" s="69"/>
      <c r="BF17" s="69"/>
      <c r="BG17" s="69"/>
      <c r="BH17" s="69"/>
      <c r="BI17" s="69"/>
      <c r="BJ17" s="197"/>
      <c r="BK17" s="100">
        <f t="shared" si="9"/>
        <v>0</v>
      </c>
      <c r="BL17" s="202"/>
      <c r="BM17" s="179"/>
      <c r="BN17" s="215"/>
      <c r="BO17" s="179"/>
      <c r="BP17" s="179"/>
      <c r="BQ17" s="215"/>
      <c r="BR17" s="69"/>
      <c r="BS17" s="69"/>
      <c r="BT17" s="69"/>
      <c r="BU17" s="69"/>
      <c r="BV17" s="69"/>
      <c r="BW17" s="197"/>
      <c r="BX17" s="100">
        <f t="shared" si="6"/>
        <v>0</v>
      </c>
      <c r="BY17" s="74"/>
      <c r="BZ17" s="74"/>
      <c r="CA17" s="74"/>
      <c r="CB17" s="74"/>
      <c r="CC17" s="74"/>
      <c r="CD17" s="74"/>
      <c r="CK17" s="100">
        <f t="shared" si="3"/>
        <v>0</v>
      </c>
      <c r="CL17" s="130"/>
      <c r="CY17" s="100">
        <f t="shared" si="7"/>
        <v>0</v>
      </c>
      <c r="CZ17" s="83"/>
      <c r="DL17" s="100">
        <f t="shared" si="8"/>
        <v>0</v>
      </c>
    </row>
    <row r="18" spans="1:116">
      <c r="B18" s="36" t="s">
        <v>144</v>
      </c>
      <c r="C18" s="139"/>
      <c r="D18" s="139"/>
      <c r="E18" s="139"/>
      <c r="F18" s="139"/>
      <c r="G18" s="139"/>
      <c r="H18" s="139"/>
      <c r="I18" s="139"/>
      <c r="J18" s="139"/>
      <c r="K18" s="139"/>
      <c r="L18" s="139"/>
      <c r="M18" s="139"/>
      <c r="N18" s="139"/>
      <c r="O18" s="40">
        <f t="shared" si="0"/>
        <v>0</v>
      </c>
      <c r="P18" s="67"/>
      <c r="Q18" s="68"/>
      <c r="R18" s="67"/>
      <c r="S18" s="67"/>
      <c r="T18" s="67"/>
      <c r="U18" s="67"/>
      <c r="V18" s="67"/>
      <c r="W18" s="68"/>
      <c r="X18" s="69"/>
      <c r="Y18" s="69"/>
      <c r="Z18" s="69"/>
      <c r="AA18" s="69"/>
      <c r="AB18" s="336">
        <f t="shared" si="1"/>
        <v>0</v>
      </c>
      <c r="AC18" s="120"/>
      <c r="AD18" s="67"/>
      <c r="AE18" s="67"/>
      <c r="AF18" s="68">
        <v>12000</v>
      </c>
      <c r="AG18" s="70"/>
      <c r="AH18" s="70"/>
      <c r="AI18" s="70"/>
      <c r="AJ18" s="70"/>
      <c r="AK18" s="89">
        <f t="shared" si="4"/>
        <v>12000</v>
      </c>
      <c r="AL18" s="70"/>
      <c r="AM18" s="71"/>
      <c r="AN18" s="71"/>
      <c r="AO18" s="71"/>
      <c r="AP18" s="74"/>
      <c r="AQ18" s="74"/>
      <c r="AR18" s="74"/>
      <c r="AS18" s="74"/>
      <c r="AT18" s="74"/>
      <c r="AU18" s="68">
        <v>12000</v>
      </c>
      <c r="AV18" s="179"/>
      <c r="AW18" s="179"/>
      <c r="AX18" s="100">
        <f>SUM(AL18:AW18)</f>
        <v>12000</v>
      </c>
      <c r="AY18" s="202"/>
      <c r="AZ18" s="179"/>
      <c r="BA18" s="215"/>
      <c r="BB18" s="179"/>
      <c r="BC18" s="179"/>
      <c r="BD18" s="74"/>
      <c r="BE18" s="68">
        <v>12000</v>
      </c>
      <c r="BF18" s="74"/>
      <c r="BG18" s="69"/>
      <c r="BH18" s="69"/>
      <c r="BI18" s="69"/>
      <c r="BJ18" s="197"/>
      <c r="BK18" s="100">
        <f t="shared" si="9"/>
        <v>12000</v>
      </c>
      <c r="BL18" s="202"/>
      <c r="BM18" s="179"/>
      <c r="BN18" s="215"/>
      <c r="BO18" s="179"/>
      <c r="BP18" s="179"/>
      <c r="BQ18" s="216"/>
      <c r="BR18" s="68">
        <v>12000</v>
      </c>
      <c r="BS18" s="69"/>
      <c r="BT18" s="69"/>
      <c r="BU18" s="69"/>
      <c r="BV18" s="69"/>
      <c r="BW18" s="197"/>
      <c r="BX18" s="100">
        <f t="shared" si="6"/>
        <v>12000</v>
      </c>
      <c r="BY18" s="74"/>
      <c r="BZ18" s="74"/>
      <c r="CA18" s="74"/>
      <c r="CB18" s="74"/>
      <c r="CC18" s="74"/>
      <c r="CD18" s="68">
        <v>13200</v>
      </c>
      <c r="CK18" s="100">
        <f t="shared" si="3"/>
        <v>13200</v>
      </c>
      <c r="CL18" s="130"/>
      <c r="CR18" s="268">
        <v>13200</v>
      </c>
      <c r="CY18" s="100">
        <f t="shared" si="7"/>
        <v>13200</v>
      </c>
      <c r="CZ18" s="83"/>
      <c r="DE18" s="268">
        <v>13200</v>
      </c>
      <c r="DL18" s="100">
        <f t="shared" si="8"/>
        <v>13200</v>
      </c>
    </row>
    <row r="19" spans="1:116">
      <c r="A19" s="36"/>
      <c r="B19" s="36" t="s">
        <v>145</v>
      </c>
      <c r="C19" s="139"/>
      <c r="D19" s="139"/>
      <c r="E19" s="139"/>
      <c r="F19" s="139"/>
      <c r="G19" s="139"/>
      <c r="H19" s="139"/>
      <c r="I19" s="139"/>
      <c r="J19" s="139"/>
      <c r="K19" s="139"/>
      <c r="L19" s="139"/>
      <c r="M19" s="139"/>
      <c r="N19" s="139"/>
      <c r="O19" s="40">
        <f t="shared" si="0"/>
        <v>0</v>
      </c>
      <c r="P19" s="67"/>
      <c r="Q19" s="67"/>
      <c r="R19" s="67"/>
      <c r="S19" s="67"/>
      <c r="T19" s="67"/>
      <c r="U19" s="67"/>
      <c r="V19" s="68">
        <v>12500</v>
      </c>
      <c r="W19" s="68"/>
      <c r="X19" s="69"/>
      <c r="Y19" s="69"/>
      <c r="Z19" s="69"/>
      <c r="AA19" s="69"/>
      <c r="AB19" s="336">
        <f t="shared" si="1"/>
        <v>12500</v>
      </c>
      <c r="AC19" s="343"/>
      <c r="AD19" s="67"/>
      <c r="AE19" s="67"/>
      <c r="AF19" s="67"/>
      <c r="AG19" s="67"/>
      <c r="AH19" s="67"/>
      <c r="AI19" s="67"/>
      <c r="AJ19" s="67"/>
      <c r="AK19" s="89">
        <f t="shared" si="4"/>
        <v>0</v>
      </c>
      <c r="AL19" s="67"/>
      <c r="AM19" s="68">
        <v>11500</v>
      </c>
      <c r="AN19" s="69"/>
      <c r="AO19" s="71"/>
      <c r="AP19" s="69"/>
      <c r="AQ19" s="74"/>
      <c r="AR19" s="74"/>
      <c r="AS19" s="74"/>
      <c r="AT19" s="74"/>
      <c r="AU19" s="179"/>
      <c r="AV19" s="179"/>
      <c r="AW19" s="68">
        <v>12500</v>
      </c>
      <c r="AX19" s="100">
        <f>SUM(AL19:AW19)</f>
        <v>24000</v>
      </c>
      <c r="AY19" s="202"/>
      <c r="AZ19" s="179"/>
      <c r="BA19" s="215"/>
      <c r="BB19" s="179"/>
      <c r="BC19" s="179"/>
      <c r="BD19" s="74"/>
      <c r="BE19" s="74"/>
      <c r="BF19" s="74"/>
      <c r="BG19" s="69"/>
      <c r="BH19" s="69"/>
      <c r="BI19" s="69"/>
      <c r="BJ19" s="72"/>
      <c r="BK19" s="100">
        <f>SUM(AY19:BJ19)</f>
        <v>0</v>
      </c>
      <c r="BL19" s="68">
        <v>11500</v>
      </c>
      <c r="BM19" s="179"/>
      <c r="BN19" s="215"/>
      <c r="BO19" s="179"/>
      <c r="BP19" s="179"/>
      <c r="BQ19" s="216"/>
      <c r="BR19" s="69"/>
      <c r="BS19" s="69"/>
      <c r="BT19" s="69"/>
      <c r="BU19" s="69"/>
      <c r="BV19" s="68">
        <v>12000</v>
      </c>
      <c r="BW19" s="74"/>
      <c r="BX19" s="100">
        <f>SUM(BL19:BV19)</f>
        <v>23500</v>
      </c>
      <c r="BY19" s="74"/>
      <c r="BZ19" s="74"/>
      <c r="CA19" s="74"/>
      <c r="CB19" s="74"/>
      <c r="CC19" s="74"/>
      <c r="CD19" s="453"/>
      <c r="CJ19" s="66">
        <v>12000</v>
      </c>
      <c r="CK19" s="100">
        <f t="shared" si="3"/>
        <v>12000</v>
      </c>
      <c r="CL19" s="130"/>
      <c r="CX19" s="268">
        <v>12000</v>
      </c>
      <c r="CY19" s="100">
        <f t="shared" si="7"/>
        <v>12000</v>
      </c>
      <c r="CZ19" s="83"/>
      <c r="DK19" s="268">
        <v>12000</v>
      </c>
      <c r="DL19" s="100">
        <f t="shared" si="8"/>
        <v>12000</v>
      </c>
    </row>
    <row r="20" spans="1:116">
      <c r="A20" s="36"/>
      <c r="B20" s="36" t="s">
        <v>67</v>
      </c>
      <c r="C20" s="139"/>
      <c r="D20" s="139"/>
      <c r="E20" s="139"/>
      <c r="F20" s="139"/>
      <c r="G20" s="139"/>
      <c r="H20" s="139"/>
      <c r="I20" s="139"/>
      <c r="J20" s="139"/>
      <c r="K20" s="139"/>
      <c r="L20" s="139"/>
      <c r="M20" s="139"/>
      <c r="N20" s="139"/>
      <c r="O20" s="40">
        <f t="shared" si="0"/>
        <v>0</v>
      </c>
      <c r="P20" s="67"/>
      <c r="Q20" s="70"/>
      <c r="R20" s="70"/>
      <c r="S20" s="67"/>
      <c r="T20" s="67">
        <v>7069.18</v>
      </c>
      <c r="U20" s="67"/>
      <c r="V20" s="67"/>
      <c r="W20" s="68"/>
      <c r="X20" s="69"/>
      <c r="Y20" s="69"/>
      <c r="Z20" s="69"/>
      <c r="AA20" s="69"/>
      <c r="AB20" s="336">
        <f t="shared" si="1"/>
        <v>7069.18</v>
      </c>
      <c r="AC20" s="343"/>
      <c r="AD20" s="70"/>
      <c r="AE20" s="70"/>
      <c r="AF20" s="70"/>
      <c r="AG20" s="67"/>
      <c r="AH20" s="67"/>
      <c r="AI20" s="91">
        <f>4000/1.1608</f>
        <v>3445.8993797381113</v>
      </c>
      <c r="AJ20" s="67"/>
      <c r="AK20" s="89">
        <f t="shared" si="4"/>
        <v>3445.8993797381113</v>
      </c>
      <c r="AL20" s="70"/>
      <c r="AM20" s="71"/>
      <c r="AN20" s="71"/>
      <c r="AO20" s="71"/>
      <c r="AP20" s="69"/>
      <c r="AQ20" s="179"/>
      <c r="AR20" s="179"/>
      <c r="AS20" s="74"/>
      <c r="AT20" s="68">
        <f>5000/1.2059</f>
        <v>4146.2807861348374</v>
      </c>
      <c r="AU20" s="179"/>
      <c r="AV20" s="179"/>
      <c r="AW20" s="179"/>
      <c r="AX20" s="100">
        <f t="shared" si="10"/>
        <v>4146.2807861348374</v>
      </c>
      <c r="AY20" s="202"/>
      <c r="AZ20" s="179"/>
      <c r="BA20" s="179"/>
      <c r="BB20" s="179"/>
      <c r="BC20" s="179"/>
      <c r="BD20" s="69"/>
      <c r="BE20" s="69"/>
      <c r="BF20" s="69"/>
      <c r="BG20" s="74"/>
      <c r="BH20" s="68">
        <f>6000/1.0726</f>
        <v>5593.8840201379826</v>
      </c>
      <c r="BI20" s="69"/>
      <c r="BJ20" s="197"/>
      <c r="BK20" s="100">
        <f t="shared" si="9"/>
        <v>5593.8840201379826</v>
      </c>
      <c r="BL20" s="202"/>
      <c r="BM20" s="179"/>
      <c r="BN20" s="215"/>
      <c r="BO20" s="179"/>
      <c r="BP20" s="179"/>
      <c r="BQ20" s="213"/>
      <c r="BR20" s="69"/>
      <c r="BS20" s="68">
        <f>6000/1.094</f>
        <v>5484.460694698354</v>
      </c>
      <c r="BT20" s="74"/>
      <c r="BU20" s="69"/>
      <c r="BV20" s="69"/>
      <c r="BW20" s="197"/>
      <c r="BX20" s="100">
        <f t="shared" si="6"/>
        <v>5484.460694698354</v>
      </c>
      <c r="BY20" s="74"/>
      <c r="BZ20" s="74"/>
      <c r="CA20" s="74"/>
      <c r="CB20" s="74"/>
      <c r="CC20" s="74"/>
      <c r="CD20" s="74"/>
      <c r="CF20" s="268">
        <f>6000/1</f>
        <v>6000</v>
      </c>
      <c r="CK20" s="100">
        <f t="shared" si="3"/>
        <v>6000</v>
      </c>
      <c r="CL20" s="130"/>
      <c r="CT20" s="268">
        <v>6000</v>
      </c>
      <c r="CY20" s="100">
        <f t="shared" si="7"/>
        <v>6000</v>
      </c>
      <c r="CZ20" s="83"/>
      <c r="DG20" s="268">
        <v>6000</v>
      </c>
      <c r="DL20" s="100">
        <f t="shared" si="8"/>
        <v>6000</v>
      </c>
    </row>
    <row r="21" spans="1:116">
      <c r="A21" s="36"/>
      <c r="B21" s="36" t="s">
        <v>34</v>
      </c>
      <c r="C21" s="139"/>
      <c r="D21" s="139"/>
      <c r="E21" s="139"/>
      <c r="F21" s="139"/>
      <c r="G21" s="139"/>
      <c r="H21" s="139"/>
      <c r="I21" s="139"/>
      <c r="J21" s="139"/>
      <c r="K21" s="139"/>
      <c r="L21" s="139"/>
      <c r="M21" s="139"/>
      <c r="N21" s="139"/>
      <c r="O21" s="40">
        <f t="shared" si="0"/>
        <v>0</v>
      </c>
      <c r="P21" s="67"/>
      <c r="Q21" s="67"/>
      <c r="R21" s="70"/>
      <c r="S21" s="67"/>
      <c r="T21" s="67"/>
      <c r="U21" s="67"/>
      <c r="V21" s="67"/>
      <c r="W21" s="68"/>
      <c r="X21" s="69"/>
      <c r="Y21" s="71"/>
      <c r="Z21" s="69"/>
      <c r="AA21" s="71"/>
      <c r="AB21" s="336">
        <f t="shared" si="1"/>
        <v>0</v>
      </c>
      <c r="AC21" s="343"/>
      <c r="AD21" s="70"/>
      <c r="AE21" s="70"/>
      <c r="AF21" s="67"/>
      <c r="AG21" s="67"/>
      <c r="AH21" s="67"/>
      <c r="AI21" s="67"/>
      <c r="AJ21" s="67"/>
      <c r="AK21" s="89">
        <f t="shared" si="4"/>
        <v>0</v>
      </c>
      <c r="AL21" s="68">
        <v>22000</v>
      </c>
      <c r="AM21" s="69"/>
      <c r="AN21" s="71"/>
      <c r="AO21" s="71"/>
      <c r="AP21" s="69"/>
      <c r="AQ21" s="179"/>
      <c r="AR21" s="179"/>
      <c r="AS21" s="179"/>
      <c r="AT21" s="74"/>
      <c r="AU21" s="74"/>
      <c r="AV21" s="68">
        <f>22000/1.1767</f>
        <v>18696.354210928868</v>
      </c>
      <c r="AW21" s="179"/>
      <c r="AX21" s="100">
        <f t="shared" si="10"/>
        <v>40696.354210928868</v>
      </c>
      <c r="AY21" s="202"/>
      <c r="AZ21" s="179"/>
      <c r="BA21" s="179"/>
      <c r="BB21" s="179"/>
      <c r="BC21" s="179"/>
      <c r="BD21" s="69"/>
      <c r="BE21" s="74"/>
      <c r="BF21" s="212">
        <f>22000/1.083</f>
        <v>20313.942751615883</v>
      </c>
      <c r="BG21" s="74"/>
      <c r="BH21" s="72"/>
      <c r="BI21" s="69"/>
      <c r="BJ21" s="197"/>
      <c r="BK21" s="100">
        <f t="shared" si="9"/>
        <v>20313.942751615883</v>
      </c>
      <c r="BL21" s="202"/>
      <c r="BM21" s="179"/>
      <c r="BN21" s="215"/>
      <c r="BO21" s="179"/>
      <c r="BP21" s="179"/>
      <c r="BQ21" s="213"/>
      <c r="BR21" s="68">
        <f>22000/1.0875</f>
        <v>20229.885057471267</v>
      </c>
      <c r="BS21" s="69"/>
      <c r="BT21" s="74"/>
      <c r="BU21" s="69"/>
      <c r="BV21" s="69"/>
      <c r="BW21" s="197"/>
      <c r="BX21" s="100">
        <f t="shared" si="6"/>
        <v>20229.885057471267</v>
      </c>
      <c r="BY21" s="74"/>
      <c r="BZ21" s="74"/>
      <c r="CA21" s="74"/>
      <c r="CB21" s="74"/>
      <c r="CC21" s="74"/>
      <c r="CD21" s="74"/>
      <c r="CF21" s="66">
        <f>22000/1</f>
        <v>22000</v>
      </c>
      <c r="CG21" s="268"/>
      <c r="CK21" s="100">
        <f t="shared" si="3"/>
        <v>22000</v>
      </c>
      <c r="CL21" s="130"/>
      <c r="CS21" s="268">
        <f>22000/1</f>
        <v>22000</v>
      </c>
      <c r="CY21" s="100">
        <f t="shared" si="7"/>
        <v>22000</v>
      </c>
      <c r="CZ21" s="83"/>
      <c r="DF21" s="268">
        <f>22000/1</f>
        <v>22000</v>
      </c>
      <c r="DL21" s="100">
        <f t="shared" si="8"/>
        <v>22000</v>
      </c>
    </row>
    <row r="22" spans="1:116">
      <c r="A22" s="36"/>
      <c r="B22" s="36" t="s">
        <v>33</v>
      </c>
      <c r="C22" s="139"/>
      <c r="D22" s="139"/>
      <c r="E22" s="139"/>
      <c r="F22" s="139"/>
      <c r="G22" s="139"/>
      <c r="H22" s="139"/>
      <c r="I22" s="139"/>
      <c r="J22" s="139"/>
      <c r="K22" s="139"/>
      <c r="L22" s="139"/>
      <c r="M22" s="139"/>
      <c r="N22" s="139"/>
      <c r="O22" s="40">
        <f t="shared" si="0"/>
        <v>0</v>
      </c>
      <c r="P22" s="67"/>
      <c r="Q22" s="68"/>
      <c r="R22" s="70"/>
      <c r="S22" s="68">
        <f>15000*1.21</f>
        <v>18150</v>
      </c>
      <c r="T22" s="68"/>
      <c r="U22" s="68"/>
      <c r="V22" s="68"/>
      <c r="W22" s="68"/>
      <c r="X22" s="72"/>
      <c r="Y22" s="72"/>
      <c r="Z22" s="72"/>
      <c r="AA22" s="72"/>
      <c r="AB22" s="336">
        <f t="shared" si="1"/>
        <v>18150</v>
      </c>
      <c r="AC22" s="343"/>
      <c r="AD22" s="70"/>
      <c r="AE22" s="67"/>
      <c r="AF22" s="67"/>
      <c r="AG22" s="67"/>
      <c r="AH22" s="67"/>
      <c r="AI22" s="67"/>
      <c r="AJ22" s="67"/>
      <c r="AK22" s="89">
        <f t="shared" si="4"/>
        <v>0</v>
      </c>
      <c r="AL22" s="67"/>
      <c r="AM22" s="68">
        <f>15000*1.21</f>
        <v>18150</v>
      </c>
      <c r="AN22" s="71"/>
      <c r="AO22" s="71"/>
      <c r="AP22" s="69"/>
      <c r="AQ22" s="179"/>
      <c r="AR22" s="74"/>
      <c r="AS22" s="74"/>
      <c r="AT22" s="68">
        <f>15000*1.21</f>
        <v>18150</v>
      </c>
      <c r="AU22" s="179"/>
      <c r="AV22" s="179"/>
      <c r="AW22" s="179"/>
      <c r="AX22" s="100">
        <f t="shared" si="10"/>
        <v>36300</v>
      </c>
      <c r="AY22" s="202"/>
      <c r="AZ22" s="179"/>
      <c r="BA22" s="179"/>
      <c r="BB22" s="179"/>
      <c r="BC22" s="74"/>
      <c r="BD22" s="68">
        <f>3750*1.21</f>
        <v>4537.5</v>
      </c>
      <c r="BE22" s="74"/>
      <c r="BF22" s="74"/>
      <c r="BG22" s="74"/>
      <c r="BH22" s="68">
        <f>15000*1.21</f>
        <v>18150</v>
      </c>
      <c r="BI22" s="69"/>
      <c r="BJ22" s="197"/>
      <c r="BK22" s="100">
        <f t="shared" si="9"/>
        <v>22687.5</v>
      </c>
      <c r="BL22" s="202"/>
      <c r="BM22" s="179"/>
      <c r="BN22" s="215"/>
      <c r="BO22" s="179"/>
      <c r="BP22" s="179"/>
      <c r="BQ22" s="213"/>
      <c r="BR22" s="74"/>
      <c r="BS22" s="68">
        <f>16500*1.21</f>
        <v>19965</v>
      </c>
      <c r="BT22" s="74"/>
      <c r="BU22" s="69"/>
      <c r="BV22" s="69"/>
      <c r="BW22" s="197"/>
      <c r="BX22" s="100">
        <f t="shared" si="6"/>
        <v>19965</v>
      </c>
      <c r="BY22" s="74"/>
      <c r="BZ22" s="74"/>
      <c r="CA22" s="74"/>
      <c r="CB22" s="74"/>
      <c r="CC22" s="74"/>
      <c r="CD22" s="74"/>
      <c r="CG22" s="66">
        <f>16900*1.21</f>
        <v>20449</v>
      </c>
      <c r="CK22" s="100">
        <f t="shared" si="3"/>
        <v>20449</v>
      </c>
      <c r="CL22" s="130"/>
      <c r="CT22" s="268">
        <v>16500</v>
      </c>
      <c r="CY22" s="100">
        <f t="shared" si="7"/>
        <v>16500</v>
      </c>
      <c r="CZ22" s="83"/>
      <c r="DG22" s="268">
        <f>16500</f>
        <v>16500</v>
      </c>
      <c r="DL22" s="100">
        <f t="shared" si="8"/>
        <v>16500</v>
      </c>
    </row>
    <row r="23" spans="1:116">
      <c r="A23" s="36"/>
      <c r="B23" s="36" t="s">
        <v>146</v>
      </c>
      <c r="C23" s="139"/>
      <c r="D23" s="139"/>
      <c r="E23" s="139"/>
      <c r="F23" s="139"/>
      <c r="G23" s="139"/>
      <c r="H23" s="139"/>
      <c r="I23" s="139"/>
      <c r="J23" s="139"/>
      <c r="K23" s="139"/>
      <c r="L23" s="139"/>
      <c r="M23" s="139"/>
      <c r="N23" s="139"/>
      <c r="O23" s="40">
        <f t="shared" si="0"/>
        <v>0</v>
      </c>
      <c r="P23" s="67"/>
      <c r="Q23" s="67"/>
      <c r="R23" s="67"/>
      <c r="S23" s="67"/>
      <c r="T23" s="67"/>
      <c r="U23" s="67"/>
      <c r="V23" s="67"/>
      <c r="W23" s="68">
        <v>10771.99</v>
      </c>
      <c r="X23" s="72"/>
      <c r="Y23" s="69"/>
      <c r="Z23" s="69"/>
      <c r="AA23" s="69"/>
      <c r="AB23" s="336">
        <f t="shared" si="1"/>
        <v>10771.99</v>
      </c>
      <c r="AC23" s="343"/>
      <c r="AD23" s="70"/>
      <c r="AE23" s="70"/>
      <c r="AF23" s="70"/>
      <c r="AG23" s="149">
        <f>9000/1.0792</f>
        <v>8339.5107487027435</v>
      </c>
      <c r="AH23" s="70"/>
      <c r="AI23" s="70"/>
      <c r="AJ23" s="70"/>
      <c r="AK23" s="89">
        <f t="shared" si="4"/>
        <v>8339.5107487027435</v>
      </c>
      <c r="AL23" s="71"/>
      <c r="AM23" s="71"/>
      <c r="AN23" s="71"/>
      <c r="AO23" s="71"/>
      <c r="AP23" s="69"/>
      <c r="AQ23" s="179"/>
      <c r="AR23" s="179"/>
      <c r="AS23" s="179"/>
      <c r="AT23" s="74"/>
      <c r="AU23" s="179"/>
      <c r="AV23" s="74"/>
      <c r="AW23" s="179"/>
      <c r="AX23" s="100">
        <f>SUM(AL23:AW23)</f>
        <v>0</v>
      </c>
      <c r="AY23" s="202"/>
      <c r="AZ23" s="179"/>
      <c r="BA23" s="179"/>
      <c r="BB23" s="179"/>
      <c r="BC23" s="179"/>
      <c r="BD23" s="69"/>
      <c r="BE23" s="69"/>
      <c r="BF23" s="69"/>
      <c r="BG23" s="179"/>
      <c r="BH23" s="225"/>
      <c r="BI23" s="69"/>
      <c r="BJ23" s="197"/>
      <c r="BK23" s="100">
        <f>SUM(AY23:BJ23)</f>
        <v>0</v>
      </c>
      <c r="BL23" s="202"/>
      <c r="BM23" s="74"/>
      <c r="BN23" s="215"/>
      <c r="BO23" s="179"/>
      <c r="BP23" s="179"/>
      <c r="BQ23" s="216"/>
      <c r="BR23" s="69"/>
      <c r="BS23" s="69"/>
      <c r="BT23" s="179"/>
      <c r="BU23" s="74"/>
      <c r="BV23" s="69"/>
      <c r="BW23" s="197"/>
      <c r="BX23" s="100">
        <f t="shared" si="6"/>
        <v>0</v>
      </c>
      <c r="BY23" s="74"/>
      <c r="BZ23" s="74"/>
      <c r="CA23" s="74"/>
      <c r="CB23" s="74"/>
      <c r="CC23" s="74"/>
      <c r="CD23" s="74"/>
      <c r="CK23" s="100">
        <f t="shared" si="3"/>
        <v>0</v>
      </c>
      <c r="CL23" s="130"/>
      <c r="CY23" s="100">
        <f t="shared" si="7"/>
        <v>0</v>
      </c>
      <c r="CZ23" s="83"/>
      <c r="DL23" s="100">
        <f t="shared" si="8"/>
        <v>0</v>
      </c>
    </row>
    <row r="24" spans="1:116">
      <c r="A24" s="36"/>
      <c r="B24" s="36" t="s">
        <v>147</v>
      </c>
      <c r="C24" s="139"/>
      <c r="D24" s="139"/>
      <c r="E24" s="139"/>
      <c r="F24" s="139"/>
      <c r="G24" s="139"/>
      <c r="H24" s="139"/>
      <c r="I24" s="139"/>
      <c r="J24" s="139"/>
      <c r="K24" s="139"/>
      <c r="L24" s="139"/>
      <c r="M24" s="139"/>
      <c r="N24" s="139"/>
      <c r="O24" s="40"/>
      <c r="P24" s="67"/>
      <c r="Q24" s="67"/>
      <c r="R24" s="67"/>
      <c r="S24" s="67"/>
      <c r="T24" s="67"/>
      <c r="U24" s="67"/>
      <c r="V24" s="67"/>
      <c r="W24" s="68"/>
      <c r="X24" s="72"/>
      <c r="Y24" s="69"/>
      <c r="Z24" s="69"/>
      <c r="AA24" s="69"/>
      <c r="AB24" s="336">
        <f>SUM(P24:AA24)</f>
        <v>0</v>
      </c>
      <c r="AC24" s="343"/>
      <c r="AD24" s="70"/>
      <c r="AE24" s="70"/>
      <c r="AF24" s="70"/>
      <c r="AG24" s="68"/>
      <c r="AH24" s="70"/>
      <c r="AI24" s="70"/>
      <c r="AJ24" s="70"/>
      <c r="AK24" s="89">
        <f>SUM(AC24:AJ24)</f>
        <v>0</v>
      </c>
      <c r="AL24" s="71"/>
      <c r="AM24" s="71"/>
      <c r="AN24" s="71"/>
      <c r="AO24" s="71"/>
      <c r="AP24" s="69"/>
      <c r="AQ24" s="179"/>
      <c r="AR24" s="179"/>
      <c r="AS24" s="179"/>
      <c r="AT24" s="74"/>
      <c r="AU24" s="179"/>
      <c r="AV24" s="74"/>
      <c r="AW24" s="179"/>
      <c r="AX24" s="100">
        <f>SUM(AL24:AW24)</f>
        <v>0</v>
      </c>
      <c r="AY24" s="202"/>
      <c r="AZ24" s="179"/>
      <c r="BA24" s="179"/>
      <c r="BB24" s="179"/>
      <c r="BC24" s="179"/>
      <c r="BD24" s="69"/>
      <c r="BE24" s="69"/>
      <c r="BF24" s="69"/>
      <c r="BG24" s="74"/>
      <c r="BH24" s="225"/>
      <c r="BI24" s="68">
        <f>15000/1.0005</f>
        <v>14992.503748125939</v>
      </c>
      <c r="BJ24" s="197"/>
      <c r="BK24" s="100">
        <f>SUM(AY24:BJ24)</f>
        <v>14992.503748125939</v>
      </c>
      <c r="BL24" s="202"/>
      <c r="BM24" s="68">
        <f>15000/1.0037</f>
        <v>14944.704593005878</v>
      </c>
      <c r="BN24" s="216"/>
      <c r="BO24" s="179"/>
      <c r="BP24" s="179"/>
      <c r="BQ24" s="215"/>
      <c r="BR24" s="69"/>
      <c r="BS24" s="68">
        <f>15000/1.0978</f>
        <v>13663.691018400435</v>
      </c>
      <c r="BT24" s="74"/>
      <c r="BU24" s="179"/>
      <c r="BV24" s="69"/>
      <c r="BW24" s="197"/>
      <c r="BX24" s="100">
        <f t="shared" si="6"/>
        <v>28608.395611406311</v>
      </c>
      <c r="BY24" s="74"/>
      <c r="BZ24" s="74"/>
      <c r="CA24" s="68">
        <f>15000/1.0741</f>
        <v>13965.180150823944</v>
      </c>
      <c r="CB24" s="74"/>
      <c r="CC24" s="74"/>
      <c r="CD24" s="74"/>
      <c r="CF24" s="268"/>
      <c r="CG24" s="268">
        <f>15000/1</f>
        <v>15000</v>
      </c>
      <c r="CK24" s="100">
        <f t="shared" si="3"/>
        <v>28965.180150823944</v>
      </c>
      <c r="CL24" s="130"/>
      <c r="CO24" s="268">
        <f>15000/1</f>
        <v>15000</v>
      </c>
      <c r="CT24" s="268">
        <f>15000/1</f>
        <v>15000</v>
      </c>
      <c r="CY24" s="100">
        <f t="shared" si="7"/>
        <v>30000</v>
      </c>
      <c r="CZ24" s="83"/>
      <c r="DB24" s="268">
        <f>15000/1</f>
        <v>15000</v>
      </c>
      <c r="DG24" s="268">
        <f>15000/1</f>
        <v>15000</v>
      </c>
      <c r="DL24" s="100">
        <f t="shared" si="8"/>
        <v>30000</v>
      </c>
    </row>
    <row r="25" spans="1:116">
      <c r="A25" s="36"/>
      <c r="B25" s="36" t="s">
        <v>148</v>
      </c>
      <c r="C25" s="139"/>
      <c r="D25" s="139"/>
      <c r="E25" s="139"/>
      <c r="F25" s="139"/>
      <c r="G25" s="139"/>
      <c r="H25" s="139"/>
      <c r="I25" s="139"/>
      <c r="J25" s="139"/>
      <c r="K25" s="139"/>
      <c r="L25" s="139"/>
      <c r="M25" s="139"/>
      <c r="N25" s="139"/>
      <c r="O25" s="40"/>
      <c r="P25" s="67"/>
      <c r="Q25" s="67"/>
      <c r="R25" s="67"/>
      <c r="S25" s="67"/>
      <c r="T25" s="67"/>
      <c r="U25" s="67"/>
      <c r="V25" s="67"/>
      <c r="W25" s="68"/>
      <c r="X25" s="72"/>
      <c r="Y25" s="69"/>
      <c r="Z25" s="69"/>
      <c r="AA25" s="69"/>
      <c r="AB25" s="336">
        <f>SUM(P25:AA25)</f>
        <v>0</v>
      </c>
      <c r="AC25" s="343"/>
      <c r="AD25" s="70"/>
      <c r="AE25" s="70"/>
      <c r="AF25" s="70"/>
      <c r="AG25" s="68"/>
      <c r="AH25" s="70"/>
      <c r="AI25" s="70"/>
      <c r="AJ25" s="70"/>
      <c r="AK25" s="89">
        <f>SUM(AC25:AJ25)</f>
        <v>0</v>
      </c>
      <c r="AL25" s="71"/>
      <c r="AM25" s="71"/>
      <c r="AN25" s="71"/>
      <c r="AO25" s="71"/>
      <c r="AP25" s="69"/>
      <c r="AQ25" s="179"/>
      <c r="AR25" s="179"/>
      <c r="AS25" s="179"/>
      <c r="AT25" s="74"/>
      <c r="AU25" s="179"/>
      <c r="AV25" s="74"/>
      <c r="AW25" s="179"/>
      <c r="AX25" s="100">
        <f>SUM(AL25:AW25)</f>
        <v>0</v>
      </c>
      <c r="AY25" s="202"/>
      <c r="AZ25" s="179"/>
      <c r="BA25" s="179"/>
      <c r="BB25" s="179"/>
      <c r="BC25" s="179"/>
      <c r="BD25" s="69"/>
      <c r="BE25" s="69"/>
      <c r="BF25" s="69"/>
      <c r="BG25" s="74"/>
      <c r="BH25" s="225"/>
      <c r="BI25" s="68">
        <f>5000/1.0425</f>
        <v>4796.1630695443646</v>
      </c>
      <c r="BJ25" s="197"/>
      <c r="BK25" s="100">
        <f>SUM(AY25:BJ25)</f>
        <v>4796.1630695443646</v>
      </c>
      <c r="BL25" s="202"/>
      <c r="BM25" s="68">
        <f>5000/0.986</f>
        <v>5070.9939148073026</v>
      </c>
      <c r="BN25" s="215"/>
      <c r="BO25" s="179"/>
      <c r="BP25" s="179"/>
      <c r="BQ25" s="215"/>
      <c r="BR25" s="69"/>
      <c r="BS25" s="74"/>
      <c r="BT25" s="74"/>
      <c r="BU25" s="67">
        <f>5000/1.0951</f>
        <v>4565.7930782576932</v>
      </c>
      <c r="BV25" s="69"/>
      <c r="BW25" s="197"/>
      <c r="BX25" s="100">
        <f t="shared" si="6"/>
        <v>9636.7869930649958</v>
      </c>
      <c r="BY25" s="74"/>
      <c r="BZ25" s="67">
        <f>(5000-15)/1.053+15/1.0538</f>
        <v>4748.3272674643586</v>
      </c>
      <c r="CA25" s="74"/>
      <c r="CB25" s="74"/>
      <c r="CC25" s="74"/>
      <c r="CD25" s="74"/>
      <c r="CF25" s="268"/>
      <c r="CG25" s="268">
        <v>5000</v>
      </c>
      <c r="CK25" s="100">
        <f t="shared" si="3"/>
        <v>9748.3272674643595</v>
      </c>
      <c r="CL25" s="130"/>
      <c r="CO25" s="268">
        <v>5000</v>
      </c>
      <c r="CT25" s="268">
        <v>5000</v>
      </c>
      <c r="CY25" s="100">
        <f t="shared" si="7"/>
        <v>10000</v>
      </c>
      <c r="CZ25" s="83"/>
      <c r="DB25" s="268">
        <v>5000</v>
      </c>
      <c r="DG25" s="268">
        <v>5000</v>
      </c>
      <c r="DL25" s="100">
        <f t="shared" si="8"/>
        <v>10000</v>
      </c>
    </row>
    <row r="26" spans="1:116">
      <c r="B26" s="36" t="s">
        <v>56</v>
      </c>
      <c r="C26" s="139"/>
      <c r="D26" s="139"/>
      <c r="E26" s="139"/>
      <c r="F26" s="139"/>
      <c r="G26" s="139"/>
      <c r="H26" s="139"/>
      <c r="I26" s="139"/>
      <c r="J26" s="139"/>
      <c r="K26" s="139"/>
      <c r="L26" s="139"/>
      <c r="M26" s="139"/>
      <c r="N26" s="139"/>
      <c r="O26" s="40">
        <f t="shared" si="0"/>
        <v>0</v>
      </c>
      <c r="P26" s="67"/>
      <c r="Q26" s="67"/>
      <c r="R26" s="67"/>
      <c r="S26" s="67"/>
      <c r="T26" s="68">
        <v>12500</v>
      </c>
      <c r="U26" s="67"/>
      <c r="V26" s="67"/>
      <c r="W26" s="68"/>
      <c r="X26" s="69"/>
      <c r="Y26" s="69"/>
      <c r="Z26" s="69"/>
      <c r="AA26" s="69"/>
      <c r="AB26" s="336">
        <f>SUM(P26:AA26)</f>
        <v>12500</v>
      </c>
      <c r="AC26" s="343"/>
      <c r="AD26" s="70"/>
      <c r="AE26" s="70"/>
      <c r="AF26" s="70"/>
      <c r="AG26" s="68">
        <v>12500</v>
      </c>
      <c r="AH26" s="70"/>
      <c r="AI26" s="70"/>
      <c r="AJ26" s="70"/>
      <c r="AK26" s="89">
        <f t="shared" si="4"/>
        <v>12500</v>
      </c>
      <c r="AL26" s="71"/>
      <c r="AM26" s="71"/>
      <c r="AN26" s="71"/>
      <c r="AO26" s="71"/>
      <c r="AP26" s="69"/>
      <c r="AQ26" s="179"/>
      <c r="AR26" s="179"/>
      <c r="AS26" s="179"/>
      <c r="AT26" s="74"/>
      <c r="AU26" s="179"/>
      <c r="AV26" s="74"/>
      <c r="AW26" s="68">
        <v>0</v>
      </c>
      <c r="AX26" s="100">
        <f t="shared" si="10"/>
        <v>0</v>
      </c>
      <c r="AY26" s="202"/>
      <c r="AZ26" s="179"/>
      <c r="BA26" s="179"/>
      <c r="BB26" s="179"/>
      <c r="BC26" s="179"/>
      <c r="BD26" s="69"/>
      <c r="BE26" s="69"/>
      <c r="BF26" s="69"/>
      <c r="BG26" s="179"/>
      <c r="BH26" s="72"/>
      <c r="BI26" s="69"/>
      <c r="BJ26" s="197"/>
      <c r="BK26" s="100">
        <f t="shared" si="9"/>
        <v>0</v>
      </c>
      <c r="BL26" s="202"/>
      <c r="BM26" s="179"/>
      <c r="BN26" s="215"/>
      <c r="BO26" s="179"/>
      <c r="BP26" s="179"/>
      <c r="BQ26" s="213"/>
      <c r="BR26" s="69"/>
      <c r="BS26" s="69"/>
      <c r="BT26" s="179"/>
      <c r="BU26" s="69"/>
      <c r="BV26" s="69"/>
      <c r="BW26" s="197"/>
      <c r="BX26" s="100">
        <f t="shared" si="6"/>
        <v>0</v>
      </c>
      <c r="BY26" s="74"/>
      <c r="BZ26" s="74"/>
      <c r="CA26" s="74"/>
      <c r="CB26" s="74"/>
      <c r="CC26" s="74"/>
      <c r="CD26" s="74"/>
      <c r="CK26" s="100">
        <f t="shared" si="3"/>
        <v>0</v>
      </c>
      <c r="CL26" s="130"/>
      <c r="CY26" s="100">
        <f t="shared" si="7"/>
        <v>0</v>
      </c>
      <c r="CZ26" s="83"/>
      <c r="DL26" s="100">
        <f t="shared" si="8"/>
        <v>0</v>
      </c>
    </row>
    <row r="27" spans="1:116">
      <c r="B27" s="36" t="s">
        <v>30</v>
      </c>
      <c r="C27" s="139"/>
      <c r="D27" s="139"/>
      <c r="E27" s="139"/>
      <c r="F27" s="139"/>
      <c r="G27" s="139"/>
      <c r="H27" s="139"/>
      <c r="I27" s="139"/>
      <c r="J27" s="139"/>
      <c r="K27" s="139"/>
      <c r="L27" s="139"/>
      <c r="M27" s="139">
        <v>18500</v>
      </c>
      <c r="N27" s="139"/>
      <c r="O27" s="40">
        <f t="shared" si="0"/>
        <v>18500</v>
      </c>
      <c r="P27" s="67"/>
      <c r="Q27" s="67"/>
      <c r="R27" s="67"/>
      <c r="S27" s="67"/>
      <c r="T27" s="67"/>
      <c r="U27" s="67"/>
      <c r="V27" s="69"/>
      <c r="W27" s="68"/>
      <c r="X27" s="69"/>
      <c r="Y27" s="69"/>
      <c r="Z27" s="69"/>
      <c r="AA27" s="69"/>
      <c r="AB27" s="336">
        <f t="shared" si="1"/>
        <v>0</v>
      </c>
      <c r="AC27" s="120"/>
      <c r="AD27" s="67"/>
      <c r="AE27" s="67"/>
      <c r="AF27" s="67"/>
      <c r="AG27" s="68">
        <v>18500</v>
      </c>
      <c r="AH27" s="70"/>
      <c r="AI27" s="70"/>
      <c r="AJ27" s="70"/>
      <c r="AK27" s="89">
        <f t="shared" si="4"/>
        <v>18500</v>
      </c>
      <c r="AL27" s="71"/>
      <c r="AM27" s="72"/>
      <c r="AN27" s="68">
        <v>18500</v>
      </c>
      <c r="AO27" s="71"/>
      <c r="AP27" s="69"/>
      <c r="AQ27" s="179"/>
      <c r="AR27" s="179"/>
      <c r="AS27" s="179"/>
      <c r="AT27" s="179"/>
      <c r="AU27" s="179"/>
      <c r="AV27" s="179"/>
      <c r="AW27" s="179"/>
      <c r="AX27" s="100">
        <f>SUM(AL27:AW27)</f>
        <v>18500</v>
      </c>
      <c r="AY27" s="202"/>
      <c r="AZ27" s="74"/>
      <c r="BA27" s="68">
        <v>18500</v>
      </c>
      <c r="BB27" s="74"/>
      <c r="BC27" s="179"/>
      <c r="BD27" s="69"/>
      <c r="BE27" s="69"/>
      <c r="BF27" s="69"/>
      <c r="BG27" s="69"/>
      <c r="BH27" s="72"/>
      <c r="BI27" s="69"/>
      <c r="BJ27" s="197"/>
      <c r="BK27" s="100">
        <f t="shared" si="9"/>
        <v>18500</v>
      </c>
      <c r="BL27" s="202"/>
      <c r="BM27" s="74"/>
      <c r="BN27" s="212">
        <v>15000</v>
      </c>
      <c r="BO27" s="74"/>
      <c r="BP27" s="179"/>
      <c r="BQ27" s="213"/>
      <c r="BR27" s="69"/>
      <c r="BS27" s="69"/>
      <c r="BT27" s="69"/>
      <c r="BU27" s="69"/>
      <c r="BV27" s="69"/>
      <c r="BW27" s="197"/>
      <c r="BX27" s="100">
        <f t="shared" si="6"/>
        <v>15000</v>
      </c>
      <c r="BY27" s="74"/>
      <c r="BZ27" s="74"/>
      <c r="CA27" s="68">
        <v>15000</v>
      </c>
      <c r="CB27" s="74"/>
      <c r="CC27" s="74"/>
      <c r="CD27" s="74"/>
      <c r="CK27" s="100">
        <f t="shared" si="3"/>
        <v>15000</v>
      </c>
      <c r="CL27" s="130"/>
      <c r="CN27" s="268">
        <v>15000</v>
      </c>
      <c r="CY27" s="100">
        <f t="shared" si="7"/>
        <v>15000</v>
      </c>
      <c r="CZ27" s="83"/>
      <c r="DA27" s="268">
        <v>15000</v>
      </c>
      <c r="DL27" s="100">
        <f t="shared" si="8"/>
        <v>15000</v>
      </c>
    </row>
    <row r="28" spans="1:116">
      <c r="B28" s="1" t="s">
        <v>100</v>
      </c>
      <c r="C28" s="139"/>
      <c r="D28" s="139"/>
      <c r="E28" s="139"/>
      <c r="F28" s="139"/>
      <c r="G28" s="139"/>
      <c r="H28" s="139"/>
      <c r="I28" s="139"/>
      <c r="J28" s="139"/>
      <c r="K28" s="139"/>
      <c r="L28" s="139"/>
      <c r="M28" s="139"/>
      <c r="N28" s="139"/>
      <c r="O28" s="40">
        <f t="shared" si="0"/>
        <v>0</v>
      </c>
      <c r="P28" s="67"/>
      <c r="Q28" s="67"/>
      <c r="R28" s="67"/>
      <c r="S28" s="67"/>
      <c r="T28" s="70"/>
      <c r="U28" s="67"/>
      <c r="V28" s="67">
        <v>12500</v>
      </c>
      <c r="W28" s="68"/>
      <c r="X28" s="69"/>
      <c r="Y28" s="69"/>
      <c r="Z28" s="69"/>
      <c r="AA28" s="69"/>
      <c r="AB28" s="336">
        <f t="shared" si="1"/>
        <v>12500</v>
      </c>
      <c r="AC28" s="343"/>
      <c r="AD28" s="70"/>
      <c r="AE28" s="70"/>
      <c r="AF28" s="70"/>
      <c r="AG28" s="70"/>
      <c r="AH28" s="70"/>
      <c r="AI28" s="67"/>
      <c r="AJ28" s="68">
        <v>12500</v>
      </c>
      <c r="AK28" s="89">
        <f t="shared" si="4"/>
        <v>12500</v>
      </c>
      <c r="AL28" s="71"/>
      <c r="AM28" s="71"/>
      <c r="AN28" s="71"/>
      <c r="AO28" s="71"/>
      <c r="AP28" s="69"/>
      <c r="AQ28" s="179"/>
      <c r="AR28" s="179"/>
      <c r="AS28" s="179"/>
      <c r="AT28" s="179"/>
      <c r="AU28" s="74"/>
      <c r="AV28" s="68">
        <v>12500</v>
      </c>
      <c r="AW28" s="179"/>
      <c r="AX28" s="100">
        <f>SUM(AL28:AW28)</f>
        <v>12500</v>
      </c>
      <c r="AY28" s="202"/>
      <c r="AZ28" s="179"/>
      <c r="BA28" s="179"/>
      <c r="BB28" s="179"/>
      <c r="BC28" s="179"/>
      <c r="BD28" s="69"/>
      <c r="BE28" s="69"/>
      <c r="BF28" s="69"/>
      <c r="BG28" s="69"/>
      <c r="BH28" s="225"/>
      <c r="BI28" s="74"/>
      <c r="BJ28" s="72"/>
      <c r="BK28" s="100">
        <f>SUM(AY28:BJ28)</f>
        <v>0</v>
      </c>
      <c r="BL28" s="68">
        <v>12500</v>
      </c>
      <c r="BM28" s="179"/>
      <c r="BN28" s="215"/>
      <c r="BO28" s="179"/>
      <c r="BP28" s="179"/>
      <c r="BQ28" s="213"/>
      <c r="BR28" s="69"/>
      <c r="BS28" s="69"/>
      <c r="BT28" s="69"/>
      <c r="BU28" s="74"/>
      <c r="BV28" s="74"/>
      <c r="BW28" s="68">
        <v>14000</v>
      </c>
      <c r="BX28" s="100">
        <f>SUM(BL28:BW28)</f>
        <v>26500</v>
      </c>
      <c r="BY28" s="74"/>
      <c r="BZ28" s="74"/>
      <c r="CA28" s="74"/>
      <c r="CB28" s="74"/>
      <c r="CC28" s="74"/>
      <c r="CD28" s="74"/>
      <c r="CH28" s="109"/>
      <c r="CI28" s="109">
        <v>14000</v>
      </c>
      <c r="CK28" s="100">
        <f t="shared" si="3"/>
        <v>14000</v>
      </c>
      <c r="CL28" s="130"/>
      <c r="CW28" s="268">
        <v>14000</v>
      </c>
      <c r="CY28" s="100">
        <f t="shared" si="7"/>
        <v>14000</v>
      </c>
      <c r="CZ28" s="83"/>
      <c r="DJ28" s="268">
        <v>14000</v>
      </c>
      <c r="DL28" s="100">
        <f t="shared" si="8"/>
        <v>14000</v>
      </c>
    </row>
    <row r="29" spans="1:116">
      <c r="B29" s="1" t="s">
        <v>149</v>
      </c>
      <c r="C29" s="102"/>
      <c r="D29" s="102"/>
      <c r="E29" s="102"/>
      <c r="F29" s="102"/>
      <c r="G29" s="102"/>
      <c r="H29" s="102"/>
      <c r="I29" s="102"/>
      <c r="J29" s="102"/>
      <c r="K29" s="102"/>
      <c r="L29" s="102"/>
      <c r="M29" s="102"/>
      <c r="N29" s="102"/>
      <c r="O29" s="40">
        <f t="shared" si="0"/>
        <v>0</v>
      </c>
      <c r="P29" s="73"/>
      <c r="Q29" s="73"/>
      <c r="R29" s="73"/>
      <c r="S29" s="73"/>
      <c r="T29" s="73"/>
      <c r="U29" s="73"/>
      <c r="V29" s="67"/>
      <c r="W29" s="68"/>
      <c r="X29" s="69"/>
      <c r="Y29" s="73">
        <f>500*12</f>
        <v>6000</v>
      </c>
      <c r="Z29" s="75"/>
      <c r="AA29" s="75"/>
      <c r="AB29" s="336">
        <f t="shared" si="1"/>
        <v>6000</v>
      </c>
      <c r="AC29" s="344"/>
      <c r="AD29" s="183"/>
      <c r="AE29" s="183"/>
      <c r="AF29" s="183"/>
      <c r="AG29" s="183"/>
      <c r="AH29" s="95">
        <v>6000</v>
      </c>
      <c r="AI29" s="183"/>
      <c r="AJ29" s="183"/>
      <c r="AK29" s="89">
        <f t="shared" si="4"/>
        <v>6000</v>
      </c>
      <c r="AL29" s="69"/>
      <c r="AM29" s="84"/>
      <c r="AN29" s="84"/>
      <c r="AO29" s="84"/>
      <c r="AP29" s="69"/>
      <c r="AQ29" s="179"/>
      <c r="AR29" s="179"/>
      <c r="AS29" s="179"/>
      <c r="AT29" s="179"/>
      <c r="AU29" s="74"/>
      <c r="AV29" s="74"/>
      <c r="AW29" s="179"/>
      <c r="AX29" s="100">
        <f t="shared" ref="AX29:AX72" si="11">SUM(AL29:AW29)</f>
        <v>0</v>
      </c>
      <c r="AY29" s="74"/>
      <c r="AZ29" s="179"/>
      <c r="BA29" s="95">
        <v>8000</v>
      </c>
      <c r="BB29" s="74"/>
      <c r="BC29" s="179"/>
      <c r="BD29" s="69"/>
      <c r="BE29" s="69"/>
      <c r="BF29" s="69"/>
      <c r="BG29" s="69"/>
      <c r="BH29" s="68">
        <v>8000</v>
      </c>
      <c r="BI29" s="74"/>
      <c r="BJ29" s="197"/>
      <c r="BK29" s="100">
        <f>SUM(AY29:BJ29)</f>
        <v>16000</v>
      </c>
      <c r="BL29" s="202"/>
      <c r="BM29" s="179"/>
      <c r="BN29" s="215"/>
      <c r="BO29" s="179"/>
      <c r="BP29" s="179"/>
      <c r="BQ29" s="213"/>
      <c r="BR29" s="69"/>
      <c r="BS29" s="69"/>
      <c r="BT29" s="69"/>
      <c r="BU29" s="74"/>
      <c r="BV29" s="74"/>
      <c r="BW29" s="68">
        <v>12000</v>
      </c>
      <c r="BX29" s="100">
        <f>SUM(BL29:BW29)</f>
        <v>12000</v>
      </c>
      <c r="BY29" s="74"/>
      <c r="BZ29" s="74"/>
      <c r="CA29" s="74"/>
      <c r="CB29" s="74"/>
      <c r="CC29" s="74"/>
      <c r="CD29" s="74"/>
      <c r="CH29" s="109"/>
      <c r="CI29" s="109">
        <v>12000</v>
      </c>
      <c r="CK29" s="100">
        <f t="shared" si="3"/>
        <v>12000</v>
      </c>
      <c r="CL29" s="130"/>
      <c r="CW29" s="268">
        <v>12000</v>
      </c>
      <c r="CY29" s="100">
        <f t="shared" si="7"/>
        <v>12000</v>
      </c>
      <c r="CZ29" s="83"/>
      <c r="DJ29" s="268">
        <v>12000</v>
      </c>
      <c r="DL29" s="100">
        <f t="shared" si="8"/>
        <v>12000</v>
      </c>
    </row>
    <row r="30" spans="1:116">
      <c r="B30" s="1" t="s">
        <v>150</v>
      </c>
      <c r="C30" s="102"/>
      <c r="D30" s="102"/>
      <c r="E30" s="102"/>
      <c r="F30" s="102"/>
      <c r="G30" s="102"/>
      <c r="H30" s="102"/>
      <c r="I30" s="102"/>
      <c r="J30" s="102"/>
      <c r="K30" s="102"/>
      <c r="L30" s="102"/>
      <c r="M30" s="102"/>
      <c r="N30" s="102"/>
      <c r="O30" s="40">
        <f t="shared" si="0"/>
        <v>0</v>
      </c>
      <c r="P30" s="73"/>
      <c r="Q30" s="73"/>
      <c r="R30" s="73"/>
      <c r="S30" s="73"/>
      <c r="T30" s="73"/>
      <c r="U30" s="73"/>
      <c r="V30" s="67"/>
      <c r="W30" s="68"/>
      <c r="X30" s="75"/>
      <c r="Y30" s="73">
        <v>10000</v>
      </c>
      <c r="Z30" s="75"/>
      <c r="AA30" s="75"/>
      <c r="AB30" s="336">
        <f t="shared" si="1"/>
        <v>10000</v>
      </c>
      <c r="AC30" s="344"/>
      <c r="AD30" s="183"/>
      <c r="AE30" s="183"/>
      <c r="AF30" s="183"/>
      <c r="AG30" s="183"/>
      <c r="AH30" s="183"/>
      <c r="AI30" s="183"/>
      <c r="AJ30" s="183"/>
      <c r="AK30" s="89">
        <f t="shared" si="4"/>
        <v>0</v>
      </c>
      <c r="AL30" s="84"/>
      <c r="AM30" s="74"/>
      <c r="AN30" s="95">
        <v>12500</v>
      </c>
      <c r="AO30" s="84"/>
      <c r="AP30" s="69"/>
      <c r="AQ30" s="179"/>
      <c r="AR30" s="179"/>
      <c r="AS30" s="179"/>
      <c r="AT30" s="179"/>
      <c r="AU30" s="179"/>
      <c r="AV30" s="179"/>
      <c r="AW30" s="179"/>
      <c r="AX30" s="100">
        <f>SUM(AL30:AW30)</f>
        <v>12500</v>
      </c>
      <c r="AY30" s="115"/>
      <c r="AZ30" s="69"/>
      <c r="BA30" s="68">
        <v>12500</v>
      </c>
      <c r="BB30" s="74"/>
      <c r="BC30" s="69"/>
      <c r="BD30" s="69"/>
      <c r="BE30" s="69"/>
      <c r="BF30" s="69"/>
      <c r="BG30" s="69"/>
      <c r="BH30" s="72"/>
      <c r="BI30" s="69"/>
      <c r="BJ30" s="197"/>
      <c r="BK30" s="100">
        <f t="shared" si="9"/>
        <v>12500</v>
      </c>
      <c r="BL30" s="202"/>
      <c r="BM30" s="179"/>
      <c r="BN30" s="212">
        <v>12500</v>
      </c>
      <c r="BO30" s="179"/>
      <c r="BP30" s="179"/>
      <c r="BQ30" s="215"/>
      <c r="BR30" s="179"/>
      <c r="BS30" s="179"/>
      <c r="BT30" s="179"/>
      <c r="BU30" s="179"/>
      <c r="BV30" s="179"/>
      <c r="BW30" s="237"/>
      <c r="BX30" s="100">
        <f t="shared" si="6"/>
        <v>12500</v>
      </c>
      <c r="BY30" s="74"/>
      <c r="BZ30" s="74"/>
      <c r="CA30" s="74"/>
      <c r="CB30" s="68">
        <v>12500</v>
      </c>
      <c r="CC30" s="74"/>
      <c r="CD30" s="74"/>
      <c r="CF30" s="66">
        <f>4200</f>
        <v>4200</v>
      </c>
      <c r="CK30" s="100">
        <f t="shared" si="3"/>
        <v>16700</v>
      </c>
      <c r="CL30" s="130"/>
      <c r="CN30" s="268">
        <v>12500</v>
      </c>
      <c r="CY30" s="100">
        <f t="shared" si="7"/>
        <v>12500</v>
      </c>
      <c r="CZ30" s="83"/>
      <c r="DA30" s="268">
        <v>12500</v>
      </c>
      <c r="DL30" s="100">
        <f t="shared" si="8"/>
        <v>12500</v>
      </c>
    </row>
    <row r="31" spans="1:116">
      <c r="B31" s="1" t="s">
        <v>61</v>
      </c>
      <c r="C31" s="102"/>
      <c r="D31" s="102"/>
      <c r="E31" s="102"/>
      <c r="F31" s="102"/>
      <c r="G31" s="102"/>
      <c r="H31" s="102"/>
      <c r="I31" s="102"/>
      <c r="J31" s="102"/>
      <c r="K31" s="102"/>
      <c r="L31" s="102"/>
      <c r="M31" s="102"/>
      <c r="N31" s="102"/>
      <c r="O31" s="40">
        <f t="shared" si="0"/>
        <v>0</v>
      </c>
      <c r="P31" s="73"/>
      <c r="Q31" s="73"/>
      <c r="R31" s="73"/>
      <c r="S31" s="73"/>
      <c r="T31" s="73"/>
      <c r="U31" s="73"/>
      <c r="V31" s="67"/>
      <c r="W31" s="68"/>
      <c r="X31" s="75"/>
      <c r="Y31" s="73"/>
      <c r="Z31" s="69"/>
      <c r="AA31" s="69"/>
      <c r="AB31" s="336">
        <f t="shared" si="1"/>
        <v>0</v>
      </c>
      <c r="AC31" s="120"/>
      <c r="AD31" s="73">
        <f>4570.32</f>
        <v>4570.32</v>
      </c>
      <c r="AE31" s="183"/>
      <c r="AF31" s="183"/>
      <c r="AG31" s="183"/>
      <c r="AH31" s="183"/>
      <c r="AI31" s="183"/>
      <c r="AJ31" s="183"/>
      <c r="AK31" s="89">
        <f t="shared" si="4"/>
        <v>4570.32</v>
      </c>
      <c r="AL31" s="69"/>
      <c r="AM31" s="74"/>
      <c r="AN31" s="74"/>
      <c r="AO31" s="95">
        <f>4109.32-1</f>
        <v>4108.32</v>
      </c>
      <c r="AP31" s="179"/>
      <c r="AQ31" s="179"/>
      <c r="AR31" s="179"/>
      <c r="AS31" s="179"/>
      <c r="AT31" s="179"/>
      <c r="AU31" s="179"/>
      <c r="AV31" s="179"/>
      <c r="AW31" s="179"/>
      <c r="AX31" s="100">
        <f>SUM(AL31:AW31)</f>
        <v>4108.32</v>
      </c>
      <c r="AY31" s="115"/>
      <c r="AZ31" s="67">
        <f>5041.8/1.1603+1933.2/1.1603</f>
        <v>6011.3763681806422</v>
      </c>
      <c r="BA31" s="69"/>
      <c r="BB31" s="69"/>
      <c r="BC31" s="69"/>
      <c r="BD31" s="69"/>
      <c r="BE31" s="69"/>
      <c r="BF31" s="69"/>
      <c r="BG31" s="69"/>
      <c r="BH31" s="72"/>
      <c r="BI31" s="69"/>
      <c r="BJ31" s="197"/>
      <c r="BK31" s="100">
        <f t="shared" si="9"/>
        <v>6011.3763681806422</v>
      </c>
      <c r="BL31" s="202"/>
      <c r="BM31" s="179"/>
      <c r="BN31" s="216"/>
      <c r="BO31" s="74"/>
      <c r="BP31" s="74"/>
      <c r="BQ31" s="216"/>
      <c r="BR31" s="67">
        <f>9708.56/1.0586</f>
        <v>9171.1316833553756</v>
      </c>
      <c r="BS31" s="67">
        <f>(10000-9708.56)/1.0972</f>
        <v>265.6215822092604</v>
      </c>
      <c r="BT31" s="179"/>
      <c r="BU31" s="179"/>
      <c r="BV31" s="179"/>
      <c r="BW31" s="237"/>
      <c r="BX31" s="100">
        <f t="shared" si="6"/>
        <v>9436.7532655646355</v>
      </c>
      <c r="BY31" s="74"/>
      <c r="BZ31" s="68">
        <f>10000/1.0569</f>
        <v>9461.6330778692409</v>
      </c>
      <c r="CA31" s="74"/>
      <c r="CB31" s="469"/>
      <c r="CC31" s="74"/>
      <c r="CD31" s="74"/>
      <c r="CK31" s="100">
        <f t="shared" si="3"/>
        <v>9461.6330778692409</v>
      </c>
      <c r="CL31" s="130"/>
      <c r="CO31" s="268">
        <v>10000</v>
      </c>
      <c r="CY31" s="100">
        <f t="shared" si="7"/>
        <v>10000</v>
      </c>
      <c r="CZ31" s="83"/>
      <c r="DB31" s="268">
        <v>10000</v>
      </c>
      <c r="DL31" s="100">
        <f t="shared" si="8"/>
        <v>10000</v>
      </c>
    </row>
    <row r="32" spans="1:116">
      <c r="B32" s="1" t="s">
        <v>151</v>
      </c>
      <c r="C32" s="102"/>
      <c r="D32" s="102"/>
      <c r="E32" s="102"/>
      <c r="F32" s="102"/>
      <c r="G32" s="102"/>
      <c r="H32" s="102"/>
      <c r="I32" s="102"/>
      <c r="J32" s="102"/>
      <c r="K32" s="102"/>
      <c r="L32" s="102"/>
      <c r="M32" s="102"/>
      <c r="N32" s="102"/>
      <c r="O32" s="40">
        <f t="shared" si="0"/>
        <v>0</v>
      </c>
      <c r="P32" s="73"/>
      <c r="Q32" s="73"/>
      <c r="R32" s="73"/>
      <c r="S32" s="73"/>
      <c r="T32" s="73"/>
      <c r="U32" s="73"/>
      <c r="V32" s="67"/>
      <c r="W32" s="68"/>
      <c r="X32" s="73"/>
      <c r="Y32" s="73">
        <f>12500*1.21</f>
        <v>15125</v>
      </c>
      <c r="Z32" s="75"/>
      <c r="AA32" s="75"/>
      <c r="AB32" s="336">
        <f t="shared" si="1"/>
        <v>15125</v>
      </c>
      <c r="AC32" s="344"/>
      <c r="AD32" s="183"/>
      <c r="AE32" s="183"/>
      <c r="AF32" s="183"/>
      <c r="AG32" s="183"/>
      <c r="AH32" s="183"/>
      <c r="AI32" s="183"/>
      <c r="AJ32" s="183"/>
      <c r="AK32" s="89">
        <f t="shared" si="4"/>
        <v>0</v>
      </c>
      <c r="AL32" s="84"/>
      <c r="AM32" s="95">
        <f>12500*1.21</f>
        <v>15125</v>
      </c>
      <c r="AN32" s="84"/>
      <c r="AO32" s="84"/>
      <c r="AP32" s="179"/>
      <c r="AQ32" s="179"/>
      <c r="AR32" s="179"/>
      <c r="AS32" s="179"/>
      <c r="AT32" s="179"/>
      <c r="AU32" s="179"/>
      <c r="AV32" s="179"/>
      <c r="AW32" s="179"/>
      <c r="AX32" s="100">
        <f>SUM(AL32:AW32)</f>
        <v>15125</v>
      </c>
      <c r="AY32" s="115"/>
      <c r="AZ32" s="95">
        <f>12500*1.21</f>
        <v>15125</v>
      </c>
      <c r="BA32" s="179"/>
      <c r="BB32" s="69"/>
      <c r="BC32" s="69"/>
      <c r="BD32" s="69"/>
      <c r="BE32" s="69"/>
      <c r="BF32" s="69"/>
      <c r="BG32" s="69"/>
      <c r="BH32" s="72"/>
      <c r="BI32" s="69"/>
      <c r="BJ32" s="197"/>
      <c r="BK32" s="100">
        <f t="shared" si="9"/>
        <v>15125</v>
      </c>
      <c r="BL32" s="202"/>
      <c r="BM32" s="179"/>
      <c r="BN32" s="245">
        <f>12500*1.21</f>
        <v>15125</v>
      </c>
      <c r="BO32" s="179"/>
      <c r="BP32" s="179"/>
      <c r="BQ32" s="215"/>
      <c r="BR32" s="179"/>
      <c r="BS32" s="179"/>
      <c r="BT32" s="179"/>
      <c r="BU32" s="179"/>
      <c r="BV32" s="179"/>
      <c r="BW32" s="237"/>
      <c r="BX32" s="100">
        <f t="shared" si="6"/>
        <v>15125</v>
      </c>
      <c r="BY32" s="74"/>
      <c r="BZ32" s="74"/>
      <c r="CA32" s="95">
        <f>13000*1.21</f>
        <v>15730</v>
      </c>
      <c r="CB32" s="74"/>
      <c r="CC32" s="74"/>
      <c r="CD32" s="74"/>
      <c r="CK32" s="100">
        <f t="shared" si="3"/>
        <v>15730</v>
      </c>
      <c r="CL32" s="130"/>
      <c r="CO32" s="268">
        <v>13000</v>
      </c>
      <c r="CY32" s="100">
        <f t="shared" si="7"/>
        <v>13000</v>
      </c>
      <c r="CZ32" s="83"/>
      <c r="DB32" s="268">
        <v>13000</v>
      </c>
      <c r="DL32" s="100">
        <f t="shared" si="8"/>
        <v>13000</v>
      </c>
    </row>
    <row r="33" spans="2:116">
      <c r="B33" s="1" t="s">
        <v>152</v>
      </c>
      <c r="C33" s="102"/>
      <c r="D33" s="102"/>
      <c r="E33" s="102"/>
      <c r="F33" s="102"/>
      <c r="G33" s="102"/>
      <c r="H33" s="102"/>
      <c r="I33" s="102"/>
      <c r="J33" s="102"/>
      <c r="K33" s="102"/>
      <c r="L33" s="102"/>
      <c r="M33" s="102"/>
      <c r="N33" s="102"/>
      <c r="O33" s="40">
        <f t="shared" si="0"/>
        <v>0</v>
      </c>
      <c r="P33" s="73"/>
      <c r="Q33" s="73"/>
      <c r="R33" s="73"/>
      <c r="S33" s="73"/>
      <c r="T33" s="73"/>
      <c r="U33" s="73"/>
      <c r="V33" s="67"/>
      <c r="W33" s="68"/>
      <c r="X33" s="73"/>
      <c r="Y33" s="73"/>
      <c r="Z33" s="69"/>
      <c r="AA33" s="67"/>
      <c r="AB33" s="336">
        <f t="shared" si="1"/>
        <v>0</v>
      </c>
      <c r="AC33" s="120"/>
      <c r="AD33" s="67"/>
      <c r="AE33" s="67"/>
      <c r="AF33" s="85">
        <v>9074.41</v>
      </c>
      <c r="AG33" s="85"/>
      <c r="AH33" s="183"/>
      <c r="AI33" s="85">
        <v>4208.3999999999996</v>
      </c>
      <c r="AJ33" s="183"/>
      <c r="AK33" s="89">
        <f t="shared" si="4"/>
        <v>13282.81</v>
      </c>
      <c r="AL33" s="84"/>
      <c r="AM33" s="74"/>
      <c r="AN33" s="74"/>
      <c r="AO33" s="74"/>
      <c r="AP33" s="74"/>
      <c r="AQ33" s="74"/>
      <c r="AR33" s="74"/>
      <c r="AS33" s="74"/>
      <c r="AT33" s="85">
        <f>5000/1.206+3000/1.206+3000/1.206</f>
        <v>9121.0613598673299</v>
      </c>
      <c r="AU33" s="179"/>
      <c r="AV33" s="74"/>
      <c r="AW33" s="85">
        <f>3000/1.1736</f>
        <v>2556.2372188139061</v>
      </c>
      <c r="AX33" s="100">
        <f>SUM(AL33:AW33)</f>
        <v>11677.298578681235</v>
      </c>
      <c r="AY33" s="115"/>
      <c r="AZ33" s="74"/>
      <c r="BA33" s="218">
        <f>3000/1.1368</f>
        <v>2638.9866291344124</v>
      </c>
      <c r="BB33" s="69"/>
      <c r="BC33" s="69"/>
      <c r="BD33" s="69"/>
      <c r="BE33" s="74"/>
      <c r="BF33" s="224">
        <f>3000/1.1052</f>
        <v>2714.4408251900109</v>
      </c>
      <c r="BG33" s="218">
        <f>3000/1.0524</f>
        <v>2850.6271379703535</v>
      </c>
      <c r="BH33" s="72"/>
      <c r="BI33" s="218">
        <f>3000/1.0124</f>
        <v>2963.2556301856976</v>
      </c>
      <c r="BJ33" s="197"/>
      <c r="BK33" s="100">
        <f t="shared" si="9"/>
        <v>11167.310222480475</v>
      </c>
      <c r="BL33" s="202"/>
      <c r="BM33" s="85">
        <f>3000/0.9778</f>
        <v>3068.1120883616281</v>
      </c>
      <c r="BN33" s="216"/>
      <c r="BO33" s="179"/>
      <c r="BP33" s="74"/>
      <c r="BQ33" s="68">
        <f>3000/1.07</f>
        <v>2803.7383177570091</v>
      </c>
      <c r="BR33" s="179"/>
      <c r="BS33" s="68">
        <f>3000/1.1002</f>
        <v>2726.7769496455189</v>
      </c>
      <c r="BT33" s="74"/>
      <c r="BU33" s="179"/>
      <c r="BV33" s="68">
        <f>3000/1.1059</f>
        <v>2712.7226693191064</v>
      </c>
      <c r="BW33" s="74"/>
      <c r="BX33" s="100">
        <f>SUM(BL33:BV33)</f>
        <v>11311.350025083262</v>
      </c>
      <c r="BY33" s="74"/>
      <c r="BZ33" s="68">
        <f>3000/1.0597</f>
        <v>2830.9899028026798</v>
      </c>
      <c r="CA33" s="74"/>
      <c r="CB33" s="74"/>
      <c r="CC33" s="74"/>
      <c r="CD33" s="74"/>
      <c r="CE33" s="268"/>
      <c r="CF33" s="268"/>
      <c r="CG33" s="268"/>
      <c r="CH33" s="268"/>
      <c r="CI33" s="268"/>
      <c r="CK33" s="100">
        <f t="shared" si="3"/>
        <v>2830.9899028026798</v>
      </c>
      <c r="CL33" s="130"/>
      <c r="CO33" s="268"/>
      <c r="CP33" s="173"/>
      <c r="CQ33" s="173"/>
      <c r="CR33" s="173"/>
      <c r="CS33" s="268"/>
      <c r="CT33" s="303"/>
      <c r="CU33" s="268"/>
      <c r="CV33" s="303"/>
      <c r="CW33" s="303"/>
      <c r="CX33" s="268"/>
      <c r="CY33" s="100">
        <f t="shared" si="7"/>
        <v>0</v>
      </c>
      <c r="CZ33" s="83"/>
      <c r="DB33" s="268"/>
      <c r="DF33" s="268"/>
      <c r="DH33" s="268"/>
      <c r="DK33" s="268"/>
      <c r="DL33" s="100">
        <f t="shared" si="8"/>
        <v>0</v>
      </c>
    </row>
    <row r="34" spans="2:116">
      <c r="B34" s="1" t="s">
        <v>153</v>
      </c>
      <c r="C34" s="102"/>
      <c r="D34" s="102"/>
      <c r="E34" s="102"/>
      <c r="F34" s="102"/>
      <c r="G34" s="102"/>
      <c r="H34" s="102"/>
      <c r="I34" s="102"/>
      <c r="J34" s="102"/>
      <c r="K34" s="102"/>
      <c r="L34" s="102"/>
      <c r="M34" s="102"/>
      <c r="N34" s="102"/>
      <c r="O34" s="40">
        <f t="shared" si="0"/>
        <v>0</v>
      </c>
      <c r="P34" s="73"/>
      <c r="Q34" s="73"/>
      <c r="R34" s="73"/>
      <c r="S34" s="73"/>
      <c r="T34" s="73"/>
      <c r="U34" s="73"/>
      <c r="V34" s="67"/>
      <c r="W34" s="68"/>
      <c r="X34" s="73"/>
      <c r="Y34" s="73"/>
      <c r="Z34" s="69"/>
      <c r="AA34" s="67"/>
      <c r="AB34" s="336">
        <f t="shared" si="1"/>
        <v>0</v>
      </c>
      <c r="AC34" s="120"/>
      <c r="AD34" s="67"/>
      <c r="AE34" s="67"/>
      <c r="AF34" s="85">
        <v>5000</v>
      </c>
      <c r="AG34" s="183"/>
      <c r="AH34" s="183"/>
      <c r="AI34" s="85"/>
      <c r="AJ34" s="183"/>
      <c r="AK34" s="89">
        <f t="shared" si="4"/>
        <v>5000</v>
      </c>
      <c r="AL34" s="84"/>
      <c r="AM34" s="90"/>
      <c r="AN34" s="84"/>
      <c r="AO34" s="84"/>
      <c r="AP34" s="68">
        <v>5000</v>
      </c>
      <c r="AQ34" s="74"/>
      <c r="AR34" s="179"/>
      <c r="AS34" s="179"/>
      <c r="AT34" s="179"/>
      <c r="AU34" s="179"/>
      <c r="AV34" s="179"/>
      <c r="AW34" s="179"/>
      <c r="AX34" s="100">
        <f t="shared" ref="AX34:AX35" si="12">SUM(AL34:AW34)</f>
        <v>5000</v>
      </c>
      <c r="AY34" s="115"/>
      <c r="AZ34" s="69"/>
      <c r="BA34" s="69"/>
      <c r="BB34" s="69"/>
      <c r="BC34" s="74"/>
      <c r="BD34" s="68">
        <v>5000</v>
      </c>
      <c r="BE34" s="69"/>
      <c r="BF34" s="69"/>
      <c r="BG34" s="69"/>
      <c r="BH34" s="72"/>
      <c r="BI34" s="69"/>
      <c r="BJ34" s="197"/>
      <c r="BK34" s="100">
        <f t="shared" si="9"/>
        <v>5000</v>
      </c>
      <c r="BL34" s="202"/>
      <c r="BM34" s="179"/>
      <c r="BN34" s="215"/>
      <c r="BO34" s="179"/>
      <c r="BP34" s="74"/>
      <c r="BQ34" s="216"/>
      <c r="BR34" s="68">
        <v>5000</v>
      </c>
      <c r="BS34" s="179"/>
      <c r="BT34" s="179"/>
      <c r="BU34" s="179"/>
      <c r="BV34" s="179"/>
      <c r="BW34" s="237"/>
      <c r="BX34" s="100">
        <f t="shared" si="6"/>
        <v>5000</v>
      </c>
      <c r="BY34" s="74"/>
      <c r="BZ34" s="74"/>
      <c r="CA34" s="74"/>
      <c r="CB34" s="74"/>
      <c r="CC34" s="74"/>
      <c r="CD34" s="68">
        <v>5500</v>
      </c>
      <c r="CK34" s="100">
        <f t="shared" si="3"/>
        <v>5500</v>
      </c>
      <c r="CL34" s="130"/>
      <c r="CR34" s="268">
        <v>5500</v>
      </c>
      <c r="CY34" s="100">
        <f t="shared" si="7"/>
        <v>5500</v>
      </c>
      <c r="CZ34" s="83"/>
      <c r="DE34" s="268">
        <v>5500</v>
      </c>
      <c r="DL34" s="100">
        <f t="shared" si="8"/>
        <v>5500</v>
      </c>
    </row>
    <row r="35" spans="2:116">
      <c r="B35" s="1" t="s">
        <v>154</v>
      </c>
      <c r="C35" s="102"/>
      <c r="D35" s="102"/>
      <c r="E35" s="102"/>
      <c r="F35" s="102"/>
      <c r="G35" s="102"/>
      <c r="H35" s="102"/>
      <c r="I35" s="102"/>
      <c r="J35" s="102"/>
      <c r="K35" s="102"/>
      <c r="L35" s="102"/>
      <c r="M35" s="102"/>
      <c r="N35" s="102"/>
      <c r="O35" s="40">
        <f t="shared" si="0"/>
        <v>0</v>
      </c>
      <c r="P35" s="73"/>
      <c r="Q35" s="73"/>
      <c r="R35" s="73"/>
      <c r="S35" s="73"/>
      <c r="T35" s="73"/>
      <c r="U35" s="73"/>
      <c r="V35" s="67"/>
      <c r="W35" s="68"/>
      <c r="X35" s="73"/>
      <c r="Y35" s="73"/>
      <c r="Z35" s="69"/>
      <c r="AA35" s="67"/>
      <c r="AB35" s="336">
        <f t="shared" si="1"/>
        <v>0</v>
      </c>
      <c r="AC35" s="120"/>
      <c r="AD35" s="67"/>
      <c r="AE35" s="85"/>
      <c r="AF35" s="67"/>
      <c r="AG35" s="67"/>
      <c r="AH35" s="96">
        <f>8000/1.1285</f>
        <v>7089.0562693841375</v>
      </c>
      <c r="AI35" s="85"/>
      <c r="AJ35" s="183"/>
      <c r="AK35" s="89">
        <f t="shared" si="4"/>
        <v>7089.0562693841375</v>
      </c>
      <c r="AL35" s="84"/>
      <c r="AM35" s="90"/>
      <c r="AN35" s="84"/>
      <c r="AO35" s="84"/>
      <c r="AP35" s="179"/>
      <c r="AQ35" s="179"/>
      <c r="AR35" s="74"/>
      <c r="AS35" s="74"/>
      <c r="AT35" s="74"/>
      <c r="AU35" s="74"/>
      <c r="AV35" s="74"/>
      <c r="AW35" s="72"/>
      <c r="AX35" s="100">
        <f t="shared" si="12"/>
        <v>0</v>
      </c>
      <c r="AY35" s="74"/>
      <c r="AZ35" s="68">
        <f>7987/1.16</f>
        <v>6885.3448275862074</v>
      </c>
      <c r="BA35" s="69"/>
      <c r="BB35" s="69"/>
      <c r="BC35" s="69"/>
      <c r="BD35" s="69"/>
      <c r="BE35" s="179"/>
      <c r="BF35" s="69"/>
      <c r="BG35" s="69"/>
      <c r="BH35" s="72"/>
      <c r="BI35" s="69"/>
      <c r="BJ35" s="197"/>
      <c r="BK35" s="100">
        <f>SUM(AZ35:BJ35)</f>
        <v>6885.3448275862074</v>
      </c>
      <c r="BL35" s="202"/>
      <c r="BM35" s="179"/>
      <c r="BN35" s="215"/>
      <c r="BO35" s="179"/>
      <c r="BP35" s="179"/>
      <c r="BQ35" s="215"/>
      <c r="BR35" s="179"/>
      <c r="BS35" s="179"/>
      <c r="BT35" s="179"/>
      <c r="BU35" s="179"/>
      <c r="BV35" s="179"/>
      <c r="BW35" s="237"/>
      <c r="BX35" s="100">
        <f t="shared" si="6"/>
        <v>0</v>
      </c>
      <c r="BY35" s="74"/>
      <c r="BZ35" s="74"/>
      <c r="CA35" s="74"/>
      <c r="CB35" s="74"/>
      <c r="CC35" s="74"/>
      <c r="CD35" s="74"/>
      <c r="CK35" s="100">
        <f t="shared" si="3"/>
        <v>0</v>
      </c>
      <c r="CL35" s="130"/>
      <c r="CY35" s="100">
        <f t="shared" si="7"/>
        <v>0</v>
      </c>
      <c r="CZ35" s="83"/>
      <c r="DL35" s="100">
        <f t="shared" si="8"/>
        <v>0</v>
      </c>
    </row>
    <row r="36" spans="2:116">
      <c r="B36" s="1" t="s">
        <v>155</v>
      </c>
      <c r="C36" s="102"/>
      <c r="D36" s="102"/>
      <c r="E36" s="102"/>
      <c r="F36" s="102"/>
      <c r="G36" s="102"/>
      <c r="H36" s="102"/>
      <c r="I36" s="102"/>
      <c r="J36" s="102"/>
      <c r="K36" s="102"/>
      <c r="L36" s="102"/>
      <c r="M36" s="102"/>
      <c r="N36" s="102"/>
      <c r="O36" s="40">
        <f t="shared" si="0"/>
        <v>0</v>
      </c>
      <c r="P36" s="73"/>
      <c r="Q36" s="73"/>
      <c r="R36" s="73"/>
      <c r="S36" s="73"/>
      <c r="T36" s="73"/>
      <c r="U36" s="73"/>
      <c r="V36" s="67"/>
      <c r="W36" s="68"/>
      <c r="X36" s="73"/>
      <c r="Y36" s="73"/>
      <c r="Z36" s="69"/>
      <c r="AA36" s="67"/>
      <c r="AB36" s="336">
        <v>0</v>
      </c>
      <c r="AC36" s="120"/>
      <c r="AD36" s="67"/>
      <c r="AE36" s="85"/>
      <c r="AF36" s="67"/>
      <c r="AG36" s="85"/>
      <c r="AH36" s="67"/>
      <c r="AI36" s="68">
        <v>22000</v>
      </c>
      <c r="AJ36" s="183"/>
      <c r="AK36" s="89">
        <f t="shared" si="4"/>
        <v>22000</v>
      </c>
      <c r="AL36" s="84"/>
      <c r="AM36" s="90"/>
      <c r="AN36" s="84"/>
      <c r="AO36" s="84"/>
      <c r="AP36" s="69"/>
      <c r="AQ36" s="179"/>
      <c r="AR36" s="179"/>
      <c r="AS36" s="179"/>
      <c r="AT36" s="179"/>
      <c r="AU36" s="179"/>
      <c r="AV36" s="74"/>
      <c r="AW36" s="179"/>
      <c r="AX36" s="100">
        <f t="shared" si="11"/>
        <v>0</v>
      </c>
      <c r="AY36" s="74"/>
      <c r="AZ36" s="74"/>
      <c r="BA36" s="74"/>
      <c r="BB36" s="68">
        <v>22000</v>
      </c>
      <c r="BC36" s="74"/>
      <c r="BD36" s="69"/>
      <c r="BE36" s="69"/>
      <c r="BF36" s="69"/>
      <c r="BG36" s="69"/>
      <c r="BH36" s="72"/>
      <c r="BI36" s="74"/>
      <c r="BJ36" s="68">
        <v>22000</v>
      </c>
      <c r="BK36" s="100">
        <f>SUM(BB36:BJ36)</f>
        <v>44000</v>
      </c>
      <c r="BL36" s="202"/>
      <c r="BM36" s="179"/>
      <c r="BN36" s="215"/>
      <c r="BO36" s="179"/>
      <c r="BP36" s="179"/>
      <c r="BQ36" s="215"/>
      <c r="BR36" s="179"/>
      <c r="BS36" s="179"/>
      <c r="BT36" s="179"/>
      <c r="BU36" s="179"/>
      <c r="BV36" s="74"/>
      <c r="BW36" s="68">
        <v>16500</v>
      </c>
      <c r="BX36" s="100">
        <f>SUM(BL36:BW36)</f>
        <v>16500</v>
      </c>
      <c r="BY36" s="74"/>
      <c r="BZ36" s="74"/>
      <c r="CA36" s="74"/>
      <c r="CB36" s="74"/>
      <c r="CC36" s="74"/>
      <c r="CD36" s="74"/>
      <c r="CI36" s="109">
        <v>16500</v>
      </c>
      <c r="CK36" s="100">
        <f t="shared" si="3"/>
        <v>16500</v>
      </c>
      <c r="CL36" s="130"/>
      <c r="CW36" s="268">
        <v>16500</v>
      </c>
      <c r="CY36" s="100">
        <f t="shared" si="7"/>
        <v>16500</v>
      </c>
      <c r="CZ36" s="83"/>
      <c r="DJ36" s="268">
        <v>16500</v>
      </c>
      <c r="DL36" s="100">
        <f t="shared" si="8"/>
        <v>16500</v>
      </c>
    </row>
    <row r="37" spans="2:116">
      <c r="B37" s="1" t="s">
        <v>156</v>
      </c>
      <c r="C37" s="102"/>
      <c r="D37" s="102"/>
      <c r="E37" s="102"/>
      <c r="F37" s="102"/>
      <c r="G37" s="102"/>
      <c r="H37" s="102"/>
      <c r="I37" s="102"/>
      <c r="J37" s="102"/>
      <c r="K37" s="102"/>
      <c r="L37" s="102"/>
      <c r="M37" s="102"/>
      <c r="N37" s="102"/>
      <c r="O37" s="40"/>
      <c r="P37" s="73"/>
      <c r="Q37" s="73"/>
      <c r="R37" s="73"/>
      <c r="S37" s="73"/>
      <c r="T37" s="73"/>
      <c r="U37" s="73"/>
      <c r="V37" s="67"/>
      <c r="W37" s="68"/>
      <c r="X37" s="73"/>
      <c r="Y37" s="73"/>
      <c r="Z37" s="69"/>
      <c r="AA37" s="67"/>
      <c r="AB37" s="336">
        <v>0</v>
      </c>
      <c r="AC37" s="120"/>
      <c r="AD37" s="67"/>
      <c r="AE37" s="85"/>
      <c r="AF37" s="67"/>
      <c r="AG37" s="85"/>
      <c r="AH37" s="67"/>
      <c r="AI37" s="68"/>
      <c r="AJ37" s="183"/>
      <c r="AK37" s="89">
        <f t="shared" si="4"/>
        <v>0</v>
      </c>
      <c r="AL37" s="84"/>
      <c r="AM37" s="90"/>
      <c r="AN37" s="84"/>
      <c r="AO37" s="84"/>
      <c r="AP37" s="68">
        <f>(7000-33)/1.2166-27.87/1.224</f>
        <v>5703.845549151767</v>
      </c>
      <c r="AQ37" s="190">
        <f>21.87/1.224</f>
        <v>17.867647058823529</v>
      </c>
      <c r="AR37" s="179"/>
      <c r="AS37" s="179"/>
      <c r="AT37" s="179"/>
      <c r="AU37" s="179"/>
      <c r="AV37" s="179"/>
      <c r="AW37" s="179"/>
      <c r="AX37" s="100">
        <f>SUM(AL37:AW37)</f>
        <v>5721.7131962105905</v>
      </c>
      <c r="AY37" s="115"/>
      <c r="AZ37" s="69"/>
      <c r="BA37" s="69"/>
      <c r="BB37" s="69"/>
      <c r="BC37" s="68">
        <f>(7000-335.72)/1.116</f>
        <v>5971.5770609318988</v>
      </c>
      <c r="BD37" s="74"/>
      <c r="BE37" s="74"/>
      <c r="BF37" s="74"/>
      <c r="BG37" s="74"/>
      <c r="BH37" s="225"/>
      <c r="BI37" s="74"/>
      <c r="BJ37" s="72">
        <v>0</v>
      </c>
      <c r="BK37" s="100">
        <f>SUM(AY37:BJ37)</f>
        <v>5971.5770609318988</v>
      </c>
      <c r="BL37" s="202"/>
      <c r="BM37" s="179"/>
      <c r="BN37" s="215"/>
      <c r="BO37" s="179"/>
      <c r="BP37" s="68">
        <f>11720.21/1.0903</f>
        <v>10749.527652939556</v>
      </c>
      <c r="BQ37" s="212">
        <f>280/1.0988</f>
        <v>254.82344375682564</v>
      </c>
      <c r="BR37" s="179"/>
      <c r="BS37" s="179"/>
      <c r="BT37" s="179"/>
      <c r="BU37" s="179"/>
      <c r="BV37" s="179"/>
      <c r="BW37" s="237"/>
      <c r="BX37" s="100">
        <f t="shared" si="6"/>
        <v>11004.351096696382</v>
      </c>
      <c r="BY37" s="74"/>
      <c r="BZ37" s="74"/>
      <c r="CA37" s="74"/>
      <c r="CB37" s="74"/>
      <c r="CC37" s="74"/>
      <c r="CD37" s="74"/>
      <c r="CF37" s="66">
        <f>15000/1</f>
        <v>15000</v>
      </c>
      <c r="CK37" s="100">
        <f t="shared" si="3"/>
        <v>15000</v>
      </c>
      <c r="CL37" s="130"/>
      <c r="CQ37" s="268">
        <f>15000/1</f>
        <v>15000</v>
      </c>
      <c r="CY37" s="100">
        <f t="shared" si="7"/>
        <v>15000</v>
      </c>
      <c r="CZ37" s="83"/>
      <c r="DD37" s="268">
        <f>15000/1</f>
        <v>15000</v>
      </c>
      <c r="DL37" s="100">
        <f t="shared" si="8"/>
        <v>15000</v>
      </c>
    </row>
    <row r="38" spans="2:116">
      <c r="B38" s="1" t="s">
        <v>157</v>
      </c>
      <c r="C38" s="102"/>
      <c r="D38" s="102"/>
      <c r="E38" s="102"/>
      <c r="F38" s="102"/>
      <c r="G38" s="102"/>
      <c r="H38" s="102"/>
      <c r="I38" s="102"/>
      <c r="J38" s="102"/>
      <c r="K38" s="102"/>
      <c r="L38" s="102"/>
      <c r="M38" s="102"/>
      <c r="N38" s="102"/>
      <c r="O38" s="40"/>
      <c r="P38" s="73"/>
      <c r="Q38" s="73"/>
      <c r="R38" s="73"/>
      <c r="S38" s="73"/>
      <c r="T38" s="73"/>
      <c r="U38" s="73"/>
      <c r="V38" s="67"/>
      <c r="W38" s="68"/>
      <c r="X38" s="73"/>
      <c r="Y38" s="73"/>
      <c r="Z38" s="69"/>
      <c r="AA38" s="67"/>
      <c r="AB38" s="336">
        <v>0</v>
      </c>
      <c r="AC38" s="120"/>
      <c r="AD38" s="67"/>
      <c r="AE38" s="85"/>
      <c r="AF38" s="67"/>
      <c r="AG38" s="85"/>
      <c r="AH38" s="67"/>
      <c r="AI38" s="68"/>
      <c r="AJ38" s="183"/>
      <c r="AK38" s="89">
        <f t="shared" si="4"/>
        <v>0</v>
      </c>
      <c r="AL38" s="84"/>
      <c r="AM38" s="90"/>
      <c r="AN38" s="84"/>
      <c r="AO38" s="84"/>
      <c r="AP38" s="69"/>
      <c r="AQ38" s="74"/>
      <c r="AR38" s="74"/>
      <c r="AS38" s="179"/>
      <c r="AT38" s="74"/>
      <c r="AU38" s="179"/>
      <c r="AV38" s="74"/>
      <c r="AW38" s="68">
        <f>7600+13000</f>
        <v>20600</v>
      </c>
      <c r="AX38" s="100">
        <f>SUM(AL38:AW38)</f>
        <v>20600</v>
      </c>
      <c r="AY38" s="115"/>
      <c r="AZ38" s="69"/>
      <c r="BA38" s="69"/>
      <c r="BB38" s="69"/>
      <c r="BC38" s="69"/>
      <c r="BD38" s="179"/>
      <c r="BE38" s="69"/>
      <c r="BF38" s="69"/>
      <c r="BG38" s="69"/>
      <c r="BH38" s="72"/>
      <c r="BI38" s="69"/>
      <c r="BJ38" s="197"/>
      <c r="BK38" s="100">
        <f t="shared" si="9"/>
        <v>0</v>
      </c>
      <c r="BL38" s="202"/>
      <c r="BM38" s="179"/>
      <c r="BN38" s="215"/>
      <c r="BO38" s="179"/>
      <c r="BP38" s="74"/>
      <c r="BQ38" s="216"/>
      <c r="BR38" s="68">
        <f>15000+15000</f>
        <v>30000</v>
      </c>
      <c r="BS38" s="179"/>
      <c r="BT38" s="179"/>
      <c r="BU38" s="179"/>
      <c r="BV38" s="179"/>
      <c r="BW38" s="237"/>
      <c r="BX38" s="100">
        <f t="shared" si="6"/>
        <v>30000</v>
      </c>
      <c r="BY38" s="74"/>
      <c r="BZ38" s="74"/>
      <c r="CA38" s="74"/>
      <c r="CB38" s="74"/>
      <c r="CC38" s="74"/>
      <c r="CD38" s="74"/>
      <c r="CI38" s="269"/>
      <c r="CK38" s="100">
        <f t="shared" si="3"/>
        <v>0</v>
      </c>
      <c r="CL38" s="130"/>
      <c r="CS38" s="268">
        <f>15000+15000</f>
        <v>30000</v>
      </c>
      <c r="CY38" s="100">
        <f t="shared" si="7"/>
        <v>30000</v>
      </c>
      <c r="CZ38" s="83"/>
      <c r="DL38" s="100">
        <f t="shared" si="8"/>
        <v>0</v>
      </c>
    </row>
    <row r="39" spans="2:116">
      <c r="B39" s="1" t="s">
        <v>47</v>
      </c>
      <c r="C39" s="102"/>
      <c r="D39" s="102"/>
      <c r="E39" s="102"/>
      <c r="F39" s="102"/>
      <c r="G39" s="102"/>
      <c r="H39" s="102"/>
      <c r="I39" s="102"/>
      <c r="J39" s="102"/>
      <c r="K39" s="102"/>
      <c r="L39" s="102"/>
      <c r="M39" s="102"/>
      <c r="N39" s="102"/>
      <c r="O39" s="40"/>
      <c r="P39" s="73"/>
      <c r="Q39" s="73"/>
      <c r="R39" s="73"/>
      <c r="S39" s="73"/>
      <c r="T39" s="73"/>
      <c r="U39" s="73"/>
      <c r="V39" s="67"/>
      <c r="W39" s="68"/>
      <c r="X39" s="73"/>
      <c r="Y39" s="73"/>
      <c r="Z39" s="69"/>
      <c r="AA39" s="67"/>
      <c r="AB39" s="336">
        <v>0</v>
      </c>
      <c r="AC39" s="120"/>
      <c r="AD39" s="67"/>
      <c r="AE39" s="85"/>
      <c r="AF39" s="67"/>
      <c r="AG39" s="85"/>
      <c r="AH39" s="67"/>
      <c r="AI39" s="68"/>
      <c r="AJ39" s="183"/>
      <c r="AK39" s="89">
        <f t="shared" si="4"/>
        <v>0</v>
      </c>
      <c r="AL39" s="84"/>
      <c r="AM39" s="90"/>
      <c r="AN39" s="84"/>
      <c r="AO39" s="84"/>
      <c r="AP39" s="69"/>
      <c r="AQ39" s="74"/>
      <c r="AR39" s="74"/>
      <c r="AS39" s="179"/>
      <c r="AT39" s="74"/>
      <c r="AU39" s="179"/>
      <c r="AV39" s="74"/>
      <c r="AW39" s="68"/>
      <c r="AX39" s="100">
        <f>SUM(AL39:AW39)</f>
        <v>0</v>
      </c>
      <c r="AY39" s="120">
        <v>24000</v>
      </c>
      <c r="AZ39" s="69"/>
      <c r="BA39" s="69"/>
      <c r="BB39" s="69"/>
      <c r="BC39" s="69"/>
      <c r="BD39" s="179"/>
      <c r="BE39" s="69"/>
      <c r="BF39" s="69"/>
      <c r="BG39" s="69"/>
      <c r="BH39" s="72"/>
      <c r="BI39" s="74"/>
      <c r="BJ39" s="179"/>
      <c r="BK39" s="100">
        <f>SUM(AY39:BJ39)</f>
        <v>24000</v>
      </c>
      <c r="BL39" s="74"/>
      <c r="BM39" s="74"/>
      <c r="BN39" s="212">
        <v>24000</v>
      </c>
      <c r="BO39" s="179"/>
      <c r="BP39" s="179"/>
      <c r="BQ39" s="215"/>
      <c r="BR39" s="179"/>
      <c r="BS39" s="179"/>
      <c r="BT39" s="179"/>
      <c r="BU39" s="179"/>
      <c r="BV39" s="74"/>
      <c r="BW39" s="72"/>
      <c r="BX39" s="100">
        <f>SUM(BL39:BW39)</f>
        <v>24000</v>
      </c>
      <c r="BY39" s="74"/>
      <c r="BZ39" s="68">
        <v>36000</v>
      </c>
      <c r="CA39" s="74"/>
      <c r="CB39" s="74"/>
      <c r="CC39" s="74"/>
      <c r="CD39" s="74"/>
      <c r="CI39" s="268"/>
      <c r="CK39" s="100">
        <f>SUM(BZ39:CJ39)</f>
        <v>36000</v>
      </c>
      <c r="CL39" s="130"/>
      <c r="CQ39" s="268">
        <v>24000</v>
      </c>
      <c r="CW39" s="268"/>
      <c r="CY39" s="100">
        <f t="shared" si="7"/>
        <v>24000</v>
      </c>
      <c r="CZ39" s="83"/>
      <c r="DD39" s="268">
        <v>24000</v>
      </c>
      <c r="DL39" s="100">
        <f t="shared" si="8"/>
        <v>24000</v>
      </c>
    </row>
    <row r="40" spans="2:116">
      <c r="B40" s="1" t="s">
        <v>158</v>
      </c>
      <c r="C40" s="102"/>
      <c r="D40" s="102"/>
      <c r="E40" s="102"/>
      <c r="F40" s="102"/>
      <c r="G40" s="102"/>
      <c r="H40" s="102"/>
      <c r="I40" s="102"/>
      <c r="J40" s="102"/>
      <c r="K40" s="102"/>
      <c r="L40" s="102"/>
      <c r="M40" s="102"/>
      <c r="N40" s="102"/>
      <c r="O40" s="40"/>
      <c r="P40" s="73"/>
      <c r="Q40" s="73"/>
      <c r="R40" s="73"/>
      <c r="S40" s="73"/>
      <c r="T40" s="73"/>
      <c r="U40" s="73"/>
      <c r="V40" s="67"/>
      <c r="W40" s="68"/>
      <c r="X40" s="73"/>
      <c r="Y40" s="73"/>
      <c r="Z40" s="69"/>
      <c r="AA40" s="67"/>
      <c r="AB40" s="336">
        <v>0</v>
      </c>
      <c r="AC40" s="120"/>
      <c r="AD40" s="67"/>
      <c r="AE40" s="85"/>
      <c r="AF40" s="67"/>
      <c r="AG40" s="85"/>
      <c r="AH40" s="67"/>
      <c r="AI40" s="68"/>
      <c r="AJ40" s="183"/>
      <c r="AK40" s="89">
        <f>SUM(AC40:AJ40)</f>
        <v>0</v>
      </c>
      <c r="AL40" s="84"/>
      <c r="AM40" s="90"/>
      <c r="AN40" s="84"/>
      <c r="AO40" s="84"/>
      <c r="AP40" s="69"/>
      <c r="AQ40" s="74"/>
      <c r="AR40" s="74"/>
      <c r="AS40" s="179"/>
      <c r="AT40" s="74"/>
      <c r="AU40" s="179"/>
      <c r="AV40" s="74"/>
      <c r="AW40" s="68"/>
      <c r="AX40" s="100">
        <f>SUM(AL40:AW40)</f>
        <v>0</v>
      </c>
      <c r="AY40" s="120"/>
      <c r="AZ40" s="69"/>
      <c r="BA40" s="74"/>
      <c r="BB40" s="74"/>
      <c r="BC40" s="74"/>
      <c r="BD40" s="68">
        <v>15000</v>
      </c>
      <c r="BE40" s="69"/>
      <c r="BF40" s="69"/>
      <c r="BG40" s="69"/>
      <c r="BH40" s="72"/>
      <c r="BI40" s="69"/>
      <c r="BJ40" s="197"/>
      <c r="BK40" s="100">
        <f t="shared" ref="BK40:BK49" si="13">SUM(AY40:BJ40)</f>
        <v>15000</v>
      </c>
      <c r="BL40" s="202"/>
      <c r="BM40" s="74"/>
      <c r="BN40" s="216"/>
      <c r="BO40" s="74"/>
      <c r="BP40" s="74"/>
      <c r="BQ40" s="212">
        <v>15000</v>
      </c>
      <c r="BR40" s="179"/>
      <c r="BS40" s="179"/>
      <c r="BT40" s="179"/>
      <c r="BU40" s="179"/>
      <c r="BV40" s="179"/>
      <c r="BW40" s="237"/>
      <c r="BX40" s="100">
        <f t="shared" si="6"/>
        <v>15000</v>
      </c>
      <c r="BY40" s="74"/>
      <c r="BZ40" s="68">
        <v>15900</v>
      </c>
      <c r="CA40" s="74"/>
      <c r="CB40" s="74"/>
      <c r="CC40" s="74"/>
      <c r="CD40" s="453"/>
      <c r="CK40" s="100">
        <f t="shared" si="3"/>
        <v>15900</v>
      </c>
      <c r="CL40" s="130"/>
      <c r="CO40" s="268">
        <v>15900</v>
      </c>
      <c r="CY40" s="100">
        <f t="shared" si="7"/>
        <v>15900</v>
      </c>
      <c r="CZ40" s="83"/>
      <c r="DB40" s="268">
        <v>15900</v>
      </c>
      <c r="DL40" s="100">
        <f t="shared" si="8"/>
        <v>15900</v>
      </c>
    </row>
    <row r="41" spans="2:116">
      <c r="B41" s="1" t="s">
        <v>159</v>
      </c>
      <c r="C41" s="102"/>
      <c r="D41" s="102"/>
      <c r="E41" s="102"/>
      <c r="F41" s="102"/>
      <c r="G41" s="102"/>
      <c r="H41" s="102"/>
      <c r="I41" s="102"/>
      <c r="J41" s="102"/>
      <c r="K41" s="102"/>
      <c r="L41" s="102"/>
      <c r="M41" s="102"/>
      <c r="N41" s="102"/>
      <c r="O41" s="40"/>
      <c r="P41" s="73"/>
      <c r="Q41" s="73"/>
      <c r="R41" s="73"/>
      <c r="S41" s="73"/>
      <c r="T41" s="73"/>
      <c r="U41" s="73"/>
      <c r="V41" s="67"/>
      <c r="W41" s="68"/>
      <c r="X41" s="73"/>
      <c r="Y41" s="73"/>
      <c r="Z41" s="69"/>
      <c r="AA41" s="67"/>
      <c r="AB41" s="336">
        <v>0</v>
      </c>
      <c r="AC41" s="120"/>
      <c r="AD41" s="67"/>
      <c r="AE41" s="85"/>
      <c r="AF41" s="67"/>
      <c r="AG41" s="85"/>
      <c r="AH41" s="67"/>
      <c r="AI41" s="68"/>
      <c r="AJ41" s="183"/>
      <c r="AK41" s="89">
        <f>SUM(AC41:AJ41)</f>
        <v>0</v>
      </c>
      <c r="AL41" s="84"/>
      <c r="AM41" s="90"/>
      <c r="AN41" s="84"/>
      <c r="AO41" s="84"/>
      <c r="AP41" s="69"/>
      <c r="AQ41" s="74"/>
      <c r="AR41" s="74"/>
      <c r="AS41" s="179"/>
      <c r="AT41" s="74"/>
      <c r="AU41" s="179"/>
      <c r="AV41" s="74"/>
      <c r="AW41" s="68"/>
      <c r="AX41" s="100">
        <f>SUM(AL41:AW41)</f>
        <v>0</v>
      </c>
      <c r="AY41" s="120"/>
      <c r="AZ41" s="69"/>
      <c r="BA41" s="74"/>
      <c r="BB41" s="74"/>
      <c r="BC41" s="74"/>
      <c r="BD41" s="68">
        <v>10000</v>
      </c>
      <c r="BE41" s="69"/>
      <c r="BF41" s="69"/>
      <c r="BG41" s="69"/>
      <c r="BH41" s="72"/>
      <c r="BI41" s="69"/>
      <c r="BJ41" s="197"/>
      <c r="BK41" s="100">
        <f t="shared" si="13"/>
        <v>10000</v>
      </c>
      <c r="BL41" s="202"/>
      <c r="BM41" s="179"/>
      <c r="BN41" s="215"/>
      <c r="BO41" s="179"/>
      <c r="BP41" s="74"/>
      <c r="BQ41" s="212">
        <v>10000</v>
      </c>
      <c r="BR41" s="179"/>
      <c r="BS41" s="179"/>
      <c r="BT41" s="179"/>
      <c r="BU41" s="179"/>
      <c r="BV41" s="179"/>
      <c r="BW41" s="237"/>
      <c r="BX41" s="100">
        <f t="shared" si="6"/>
        <v>10000</v>
      </c>
      <c r="BY41" s="74"/>
      <c r="BZ41" s="74"/>
      <c r="CA41" s="74"/>
      <c r="CB41" s="74"/>
      <c r="CC41" s="74"/>
      <c r="CD41" s="68">
        <v>10000</v>
      </c>
      <c r="CK41" s="100">
        <f t="shared" si="3"/>
        <v>10000</v>
      </c>
      <c r="CL41" s="130"/>
      <c r="CQ41" s="268"/>
      <c r="CR41" s="268">
        <v>10000</v>
      </c>
      <c r="CY41" s="100">
        <f t="shared" si="7"/>
        <v>10000</v>
      </c>
      <c r="CZ41" s="83"/>
      <c r="DE41" s="268">
        <v>10000</v>
      </c>
      <c r="DL41" s="100">
        <f t="shared" si="8"/>
        <v>10000</v>
      </c>
    </row>
    <row r="42" spans="2:116">
      <c r="B42" s="1" t="s">
        <v>160</v>
      </c>
      <c r="C42" s="102"/>
      <c r="D42" s="102"/>
      <c r="E42" s="102"/>
      <c r="F42" s="102"/>
      <c r="G42" s="102"/>
      <c r="H42" s="102"/>
      <c r="I42" s="102"/>
      <c r="J42" s="102"/>
      <c r="K42" s="102"/>
      <c r="L42" s="102"/>
      <c r="M42" s="102"/>
      <c r="N42" s="102"/>
      <c r="O42" s="40"/>
      <c r="P42" s="73"/>
      <c r="Q42" s="73"/>
      <c r="R42" s="73"/>
      <c r="S42" s="73"/>
      <c r="T42" s="73"/>
      <c r="U42" s="73"/>
      <c r="V42" s="67"/>
      <c r="W42" s="68"/>
      <c r="X42" s="73"/>
      <c r="Y42" s="73"/>
      <c r="Z42" s="69"/>
      <c r="AA42" s="67"/>
      <c r="AB42" s="336">
        <v>0</v>
      </c>
      <c r="AC42" s="120"/>
      <c r="AD42" s="67"/>
      <c r="AE42" s="85"/>
      <c r="AF42" s="67"/>
      <c r="AG42" s="85"/>
      <c r="AH42" s="67"/>
      <c r="AI42" s="68"/>
      <c r="AJ42" s="183"/>
      <c r="AK42" s="89">
        <f t="shared" ref="AK42:AK49" si="14">SUM(AC42:AJ42)</f>
        <v>0</v>
      </c>
      <c r="AL42" s="84"/>
      <c r="AM42" s="90"/>
      <c r="AN42" s="84"/>
      <c r="AO42" s="84"/>
      <c r="AP42" s="69"/>
      <c r="AQ42" s="74"/>
      <c r="AR42" s="74"/>
      <c r="AS42" s="179"/>
      <c r="AT42" s="74"/>
      <c r="AU42" s="179"/>
      <c r="AV42" s="74"/>
      <c r="AW42" s="68"/>
      <c r="AX42" s="100">
        <f t="shared" ref="AX42:AX49" si="15">SUM(AL42:AW42)</f>
        <v>0</v>
      </c>
      <c r="AY42" s="120"/>
      <c r="AZ42" s="69"/>
      <c r="BA42" s="74"/>
      <c r="BB42" s="74"/>
      <c r="BC42" s="74"/>
      <c r="BD42" s="68"/>
      <c r="BE42" s="69"/>
      <c r="BF42" s="212">
        <f>12000/1.0746</f>
        <v>11166.945840312674</v>
      </c>
      <c r="BG42" s="74"/>
      <c r="BH42" s="72"/>
      <c r="BI42" s="69"/>
      <c r="BJ42" s="197"/>
      <c r="BK42" s="100">
        <f t="shared" si="13"/>
        <v>11166.945840312674</v>
      </c>
      <c r="BL42" s="202"/>
      <c r="BM42" s="179"/>
      <c r="BN42" s="215"/>
      <c r="BO42" s="179"/>
      <c r="BP42" s="72"/>
      <c r="BQ42" s="216"/>
      <c r="BR42" s="74"/>
      <c r="BS42" s="68">
        <f>14000/1.087</f>
        <v>12879.484820607177</v>
      </c>
      <c r="BT42" s="74"/>
      <c r="BU42" s="179"/>
      <c r="BV42" s="179"/>
      <c r="BW42" s="237"/>
      <c r="BX42" s="100">
        <f t="shared" si="6"/>
        <v>12879.484820607177</v>
      </c>
      <c r="BY42" s="74"/>
      <c r="BZ42" s="74"/>
      <c r="CA42" s="74"/>
      <c r="CB42" s="74"/>
      <c r="CC42" s="72"/>
      <c r="CD42" s="74"/>
      <c r="CF42" s="268">
        <f>14000/1</f>
        <v>14000</v>
      </c>
      <c r="CK42" s="100">
        <f t="shared" si="3"/>
        <v>14000</v>
      </c>
      <c r="CL42" s="130"/>
      <c r="CS42" s="268">
        <f>14000/1</f>
        <v>14000</v>
      </c>
      <c r="CY42" s="100">
        <f t="shared" si="7"/>
        <v>14000</v>
      </c>
      <c r="CZ42" s="83"/>
      <c r="DF42" s="268">
        <f>14000/1</f>
        <v>14000</v>
      </c>
      <c r="DL42" s="100">
        <f t="shared" si="8"/>
        <v>14000</v>
      </c>
    </row>
    <row r="43" spans="2:116">
      <c r="B43" s="1" t="s">
        <v>161</v>
      </c>
      <c r="C43" s="102"/>
      <c r="D43" s="102"/>
      <c r="E43" s="102"/>
      <c r="F43" s="102"/>
      <c r="G43" s="102"/>
      <c r="H43" s="102"/>
      <c r="I43" s="102"/>
      <c r="J43" s="102"/>
      <c r="K43" s="102"/>
      <c r="L43" s="102"/>
      <c r="M43" s="102"/>
      <c r="N43" s="102"/>
      <c r="O43" s="40"/>
      <c r="P43" s="73"/>
      <c r="Q43" s="73"/>
      <c r="R43" s="73"/>
      <c r="S43" s="73"/>
      <c r="T43" s="73"/>
      <c r="U43" s="73"/>
      <c r="V43" s="67"/>
      <c r="W43" s="68"/>
      <c r="X43" s="73"/>
      <c r="Y43" s="73"/>
      <c r="Z43" s="69"/>
      <c r="AA43" s="67"/>
      <c r="AB43" s="336">
        <v>0</v>
      </c>
      <c r="AC43" s="120"/>
      <c r="AD43" s="67"/>
      <c r="AE43" s="85"/>
      <c r="AF43" s="67"/>
      <c r="AG43" s="85"/>
      <c r="AH43" s="67"/>
      <c r="AI43" s="68"/>
      <c r="AJ43" s="183"/>
      <c r="AK43" s="89">
        <f t="shared" si="14"/>
        <v>0</v>
      </c>
      <c r="AL43" s="84"/>
      <c r="AM43" s="90"/>
      <c r="AN43" s="84"/>
      <c r="AO43" s="84"/>
      <c r="AP43" s="69"/>
      <c r="AQ43" s="74"/>
      <c r="AR43" s="74"/>
      <c r="AS43" s="179"/>
      <c r="AT43" s="74"/>
      <c r="AU43" s="179"/>
      <c r="AV43" s="74"/>
      <c r="AW43" s="68"/>
      <c r="AX43" s="100">
        <f t="shared" si="15"/>
        <v>0</v>
      </c>
      <c r="AY43" s="120"/>
      <c r="AZ43" s="69"/>
      <c r="BA43" s="74"/>
      <c r="BB43" s="74"/>
      <c r="BC43" s="74"/>
      <c r="BD43" s="68"/>
      <c r="BE43" s="69"/>
      <c r="BF43" s="74"/>
      <c r="BG43" s="68">
        <v>4000</v>
      </c>
      <c r="BH43" s="72"/>
      <c r="BI43" s="69"/>
      <c r="BJ43" s="197"/>
      <c r="BK43" s="100">
        <f t="shared" si="13"/>
        <v>4000</v>
      </c>
      <c r="BL43" s="202"/>
      <c r="BM43" s="179"/>
      <c r="BN43" s="215"/>
      <c r="BO43" s="179"/>
      <c r="BP43" s="72"/>
      <c r="BQ43" s="216"/>
      <c r="BR43" s="179"/>
      <c r="BS43" s="68">
        <f>4000-4000</f>
        <v>0</v>
      </c>
      <c r="BT43" s="74"/>
      <c r="BU43" s="68">
        <f>4000</f>
        <v>4000</v>
      </c>
      <c r="BV43" s="179"/>
      <c r="BW43" s="237"/>
      <c r="BX43" s="100">
        <f t="shared" si="6"/>
        <v>4000</v>
      </c>
      <c r="BY43" s="74"/>
      <c r="BZ43" s="74"/>
      <c r="CA43" s="74"/>
      <c r="CB43" s="74"/>
      <c r="CC43" s="72"/>
      <c r="CD43" s="74"/>
      <c r="CF43" s="268"/>
      <c r="CK43" s="100">
        <f t="shared" si="3"/>
        <v>0</v>
      </c>
      <c r="CL43" s="130"/>
      <c r="CY43" s="100">
        <f t="shared" si="7"/>
        <v>0</v>
      </c>
      <c r="CZ43" s="83"/>
      <c r="DL43" s="100">
        <f t="shared" si="8"/>
        <v>0</v>
      </c>
    </row>
    <row r="44" spans="2:116">
      <c r="B44" s="1" t="s">
        <v>162</v>
      </c>
      <c r="C44" s="102"/>
      <c r="D44" s="102"/>
      <c r="E44" s="102"/>
      <c r="F44" s="102"/>
      <c r="G44" s="102"/>
      <c r="H44" s="102"/>
      <c r="I44" s="102"/>
      <c r="J44" s="102"/>
      <c r="K44" s="102"/>
      <c r="L44" s="102"/>
      <c r="M44" s="102"/>
      <c r="N44" s="102"/>
      <c r="O44" s="40"/>
      <c r="P44" s="73"/>
      <c r="Q44" s="73"/>
      <c r="R44" s="73"/>
      <c r="S44" s="73"/>
      <c r="T44" s="73"/>
      <c r="U44" s="73"/>
      <c r="V44" s="67"/>
      <c r="W44" s="68"/>
      <c r="X44" s="73"/>
      <c r="Y44" s="73"/>
      <c r="Z44" s="69"/>
      <c r="AA44" s="67"/>
      <c r="AB44" s="336">
        <v>0</v>
      </c>
      <c r="AC44" s="120"/>
      <c r="AD44" s="67"/>
      <c r="AE44" s="85"/>
      <c r="AF44" s="67"/>
      <c r="AG44" s="85"/>
      <c r="AH44" s="67"/>
      <c r="AI44" s="68"/>
      <c r="AJ44" s="183"/>
      <c r="AK44" s="89">
        <f t="shared" si="14"/>
        <v>0</v>
      </c>
      <c r="AL44" s="84"/>
      <c r="AM44" s="90"/>
      <c r="AN44" s="84"/>
      <c r="AO44" s="84"/>
      <c r="AP44" s="69"/>
      <c r="AQ44" s="74"/>
      <c r="AR44" s="74"/>
      <c r="AS44" s="179"/>
      <c r="AT44" s="74"/>
      <c r="AU44" s="179"/>
      <c r="AV44" s="74"/>
      <c r="AW44" s="68"/>
      <c r="AX44" s="100">
        <f t="shared" si="15"/>
        <v>0</v>
      </c>
      <c r="AY44" s="120"/>
      <c r="AZ44" s="69"/>
      <c r="BA44" s="74"/>
      <c r="BB44" s="74"/>
      <c r="BC44" s="74"/>
      <c r="BD44" s="68"/>
      <c r="BE44" s="69"/>
      <c r="BF44" s="74"/>
      <c r="BG44" s="74"/>
      <c r="BH44" s="225"/>
      <c r="BI44" s="68">
        <v>9000</v>
      </c>
      <c r="BJ44" s="197"/>
      <c r="BK44" s="100">
        <f t="shared" si="13"/>
        <v>9000</v>
      </c>
      <c r="BL44" s="202"/>
      <c r="BM44" s="74"/>
      <c r="BN44" s="216"/>
      <c r="BO44" s="68">
        <v>9000</v>
      </c>
      <c r="BP44" s="72"/>
      <c r="BQ44" s="216"/>
      <c r="BR44" s="179"/>
      <c r="BS44" s="179"/>
      <c r="BT44" s="74"/>
      <c r="BU44" s="68">
        <v>8250</v>
      </c>
      <c r="BV44" s="179"/>
      <c r="BW44" s="237"/>
      <c r="BX44" s="100">
        <f t="shared" si="6"/>
        <v>17250</v>
      </c>
      <c r="BY44" s="74"/>
      <c r="BZ44" s="72"/>
      <c r="CA44" s="68">
        <v>8250</v>
      </c>
      <c r="CB44" s="74"/>
      <c r="CC44" s="72"/>
      <c r="CD44" s="74"/>
      <c r="CG44" s="109"/>
      <c r="CH44" s="268">
        <v>8250</v>
      </c>
      <c r="CK44" s="100">
        <f t="shared" si="3"/>
        <v>16500</v>
      </c>
      <c r="CL44" s="130"/>
      <c r="CO44" s="268">
        <v>8250</v>
      </c>
      <c r="CV44" s="268">
        <v>8250</v>
      </c>
      <c r="CY44" s="100">
        <f t="shared" si="7"/>
        <v>16500</v>
      </c>
      <c r="CZ44" s="83"/>
      <c r="DB44" s="268">
        <v>8250</v>
      </c>
      <c r="DI44" s="268">
        <v>8250</v>
      </c>
      <c r="DL44" s="100">
        <f t="shared" si="8"/>
        <v>16500</v>
      </c>
    </row>
    <row r="45" spans="2:116">
      <c r="B45" s="1" t="s">
        <v>330</v>
      </c>
      <c r="C45" s="102"/>
      <c r="D45" s="102"/>
      <c r="E45" s="102"/>
      <c r="F45" s="102"/>
      <c r="G45" s="102"/>
      <c r="H45" s="102"/>
      <c r="I45" s="102"/>
      <c r="J45" s="102"/>
      <c r="K45" s="102"/>
      <c r="L45" s="102"/>
      <c r="M45" s="102"/>
      <c r="N45" s="102"/>
      <c r="O45" s="40"/>
      <c r="P45" s="73"/>
      <c r="Q45" s="73"/>
      <c r="R45" s="73"/>
      <c r="S45" s="73"/>
      <c r="T45" s="73"/>
      <c r="U45" s="73"/>
      <c r="V45" s="67"/>
      <c r="W45" s="68"/>
      <c r="X45" s="73"/>
      <c r="Y45" s="73"/>
      <c r="Z45" s="69"/>
      <c r="AA45" s="67"/>
      <c r="AB45" s="336">
        <v>0</v>
      </c>
      <c r="AC45" s="120"/>
      <c r="AD45" s="67"/>
      <c r="AE45" s="85"/>
      <c r="AF45" s="67"/>
      <c r="AG45" s="85"/>
      <c r="AH45" s="67"/>
      <c r="AI45" s="68"/>
      <c r="AJ45" s="183"/>
      <c r="AK45" s="89">
        <f t="shared" si="14"/>
        <v>0</v>
      </c>
      <c r="AL45" s="84"/>
      <c r="AM45" s="90"/>
      <c r="AN45" s="84"/>
      <c r="AO45" s="84"/>
      <c r="AP45" s="69"/>
      <c r="AQ45" s="74"/>
      <c r="AR45" s="74"/>
      <c r="AS45" s="179"/>
      <c r="AT45" s="74"/>
      <c r="AU45" s="179"/>
      <c r="AV45" s="74"/>
      <c r="AW45" s="68"/>
      <c r="AX45" s="100">
        <f t="shared" si="15"/>
        <v>0</v>
      </c>
      <c r="AY45" s="120"/>
      <c r="AZ45" s="69"/>
      <c r="BA45" s="74"/>
      <c r="BB45" s="74"/>
      <c r="BC45" s="74"/>
      <c r="BD45" s="68"/>
      <c r="BE45" s="69"/>
      <c r="BF45" s="74"/>
      <c r="BG45" s="74"/>
      <c r="BH45" s="72"/>
      <c r="BI45" s="68">
        <v>8000</v>
      </c>
      <c r="BJ45" s="197"/>
      <c r="BK45" s="100">
        <f t="shared" si="13"/>
        <v>8000</v>
      </c>
      <c r="BL45" s="202"/>
      <c r="BM45" s="72"/>
      <c r="BN45" s="215"/>
      <c r="BO45" s="179"/>
      <c r="BP45" s="72"/>
      <c r="BQ45" s="216"/>
      <c r="BR45" s="179"/>
      <c r="BS45" s="179"/>
      <c r="BT45" s="179"/>
      <c r="BU45" s="179"/>
      <c r="BV45" s="74"/>
      <c r="BW45" s="68">
        <v>8000</v>
      </c>
      <c r="BX45" s="100">
        <f>SUM(BL45:BW45)</f>
        <v>8000</v>
      </c>
      <c r="BY45" s="74"/>
      <c r="BZ45" s="74"/>
      <c r="CA45" s="74"/>
      <c r="CB45" s="74"/>
      <c r="CC45" s="72"/>
      <c r="CD45" s="74"/>
      <c r="CH45" s="109"/>
      <c r="CJ45" s="268"/>
      <c r="CK45" s="100">
        <f t="shared" si="3"/>
        <v>0</v>
      </c>
      <c r="CL45" s="130"/>
      <c r="CX45" s="268"/>
      <c r="CY45" s="100">
        <f t="shared" si="7"/>
        <v>0</v>
      </c>
      <c r="CZ45" s="83"/>
      <c r="DK45" s="268">
        <v>8000</v>
      </c>
      <c r="DL45" s="100">
        <f t="shared" si="8"/>
        <v>8000</v>
      </c>
    </row>
    <row r="46" spans="2:116">
      <c r="B46" s="1" t="s">
        <v>337</v>
      </c>
      <c r="C46" s="102"/>
      <c r="D46" s="102"/>
      <c r="E46" s="102"/>
      <c r="F46" s="102"/>
      <c r="G46" s="102"/>
      <c r="H46" s="102"/>
      <c r="I46" s="102"/>
      <c r="J46" s="102"/>
      <c r="K46" s="102"/>
      <c r="L46" s="102"/>
      <c r="M46" s="102"/>
      <c r="N46" s="102"/>
      <c r="O46" s="40"/>
      <c r="P46" s="73"/>
      <c r="Q46" s="73"/>
      <c r="R46" s="73"/>
      <c r="S46" s="73"/>
      <c r="T46" s="73"/>
      <c r="U46" s="73"/>
      <c r="V46" s="67"/>
      <c r="W46" s="68"/>
      <c r="X46" s="73"/>
      <c r="Y46" s="73"/>
      <c r="Z46" s="69"/>
      <c r="AA46" s="67"/>
      <c r="AB46" s="336">
        <v>0</v>
      </c>
      <c r="AC46" s="120"/>
      <c r="AD46" s="67"/>
      <c r="AE46" s="85"/>
      <c r="AF46" s="67"/>
      <c r="AG46" s="85"/>
      <c r="AH46" s="67"/>
      <c r="AI46" s="68"/>
      <c r="AJ46" s="183"/>
      <c r="AK46" s="89">
        <f t="shared" si="14"/>
        <v>0</v>
      </c>
      <c r="AL46" s="84"/>
      <c r="AM46" s="90"/>
      <c r="AN46" s="84"/>
      <c r="AO46" s="84"/>
      <c r="AP46" s="69"/>
      <c r="AQ46" s="74"/>
      <c r="AR46" s="74"/>
      <c r="AS46" s="179"/>
      <c r="AT46" s="74"/>
      <c r="AU46" s="179"/>
      <c r="AV46" s="74"/>
      <c r="AW46" s="68"/>
      <c r="AX46" s="100">
        <f t="shared" si="15"/>
        <v>0</v>
      </c>
      <c r="AY46" s="120"/>
      <c r="AZ46" s="69"/>
      <c r="BA46" s="74"/>
      <c r="BB46" s="74"/>
      <c r="BC46" s="74"/>
      <c r="BD46" s="68"/>
      <c r="BE46" s="69"/>
      <c r="BF46" s="74"/>
      <c r="BG46" s="74"/>
      <c r="BH46" s="72"/>
      <c r="BI46" s="68"/>
      <c r="BJ46" s="197"/>
      <c r="BK46" s="100">
        <f t="shared" si="13"/>
        <v>0</v>
      </c>
      <c r="BL46" s="202"/>
      <c r="BM46" s="68">
        <f>12000/0.9778</f>
        <v>12272.448353446513</v>
      </c>
      <c r="BN46" s="215"/>
      <c r="BO46" s="179"/>
      <c r="BP46" s="72"/>
      <c r="BQ46" s="216"/>
      <c r="BR46" s="179"/>
      <c r="BS46" s="179"/>
      <c r="BT46" s="179"/>
      <c r="BU46" s="179"/>
      <c r="BV46" s="179"/>
      <c r="BW46" s="237"/>
      <c r="BX46" s="100">
        <f t="shared" si="6"/>
        <v>12272.448353446513</v>
      </c>
      <c r="BY46" s="74"/>
      <c r="BZ46" s="453"/>
      <c r="CA46" s="74"/>
      <c r="CB46" s="74"/>
      <c r="CC46" s="72"/>
      <c r="CD46" s="74"/>
      <c r="CK46" s="100">
        <f t="shared" si="3"/>
        <v>0</v>
      </c>
      <c r="CL46" s="130"/>
      <c r="CY46" s="100">
        <f t="shared" si="7"/>
        <v>0</v>
      </c>
      <c r="CZ46" s="83"/>
      <c r="DL46" s="100">
        <f t="shared" si="8"/>
        <v>0</v>
      </c>
    </row>
    <row r="47" spans="2:116">
      <c r="B47" s="1" t="s">
        <v>356</v>
      </c>
      <c r="C47" s="102"/>
      <c r="D47" s="102"/>
      <c r="E47" s="102"/>
      <c r="F47" s="102"/>
      <c r="G47" s="102"/>
      <c r="H47" s="102"/>
      <c r="I47" s="102"/>
      <c r="J47" s="102"/>
      <c r="K47" s="102"/>
      <c r="L47" s="102"/>
      <c r="M47" s="102"/>
      <c r="N47" s="102"/>
      <c r="O47" s="40"/>
      <c r="P47" s="73"/>
      <c r="Q47" s="73"/>
      <c r="R47" s="73"/>
      <c r="S47" s="73"/>
      <c r="T47" s="73"/>
      <c r="U47" s="73"/>
      <c r="V47" s="67"/>
      <c r="W47" s="68"/>
      <c r="X47" s="73"/>
      <c r="Y47" s="73"/>
      <c r="Z47" s="69"/>
      <c r="AA47" s="67"/>
      <c r="AB47" s="336">
        <v>0</v>
      </c>
      <c r="AC47" s="120"/>
      <c r="AD47" s="67"/>
      <c r="AE47" s="85"/>
      <c r="AF47" s="67"/>
      <c r="AG47" s="85"/>
      <c r="AH47" s="67"/>
      <c r="AI47" s="68"/>
      <c r="AJ47" s="183"/>
      <c r="AK47" s="89">
        <f t="shared" si="14"/>
        <v>0</v>
      </c>
      <c r="AL47" s="84"/>
      <c r="AM47" s="90"/>
      <c r="AN47" s="84"/>
      <c r="AO47" s="84"/>
      <c r="AP47" s="69"/>
      <c r="AQ47" s="74"/>
      <c r="AR47" s="74"/>
      <c r="AS47" s="179"/>
      <c r="AT47" s="74"/>
      <c r="AU47" s="179"/>
      <c r="AV47" s="74"/>
      <c r="AW47" s="68"/>
      <c r="AX47" s="100">
        <f t="shared" si="15"/>
        <v>0</v>
      </c>
      <c r="AY47" s="120"/>
      <c r="AZ47" s="69"/>
      <c r="BA47" s="74"/>
      <c r="BB47" s="74"/>
      <c r="BC47" s="74"/>
      <c r="BD47" s="68"/>
      <c r="BE47" s="69"/>
      <c r="BF47" s="74"/>
      <c r="BG47" s="74"/>
      <c r="BH47" s="72"/>
      <c r="BI47" s="68"/>
      <c r="BJ47" s="197"/>
      <c r="BK47" s="100">
        <f t="shared" si="13"/>
        <v>0</v>
      </c>
      <c r="BL47" s="202"/>
      <c r="BM47" s="68"/>
      <c r="BN47" s="215"/>
      <c r="BO47" s="179"/>
      <c r="BP47" s="72"/>
      <c r="BQ47" s="216"/>
      <c r="BR47" s="179"/>
      <c r="BS47" s="179"/>
      <c r="BT47" s="179"/>
      <c r="BU47" s="179"/>
      <c r="BV47" s="68">
        <v>9000</v>
      </c>
      <c r="BW47" s="237"/>
      <c r="BX47" s="100">
        <f t="shared" si="6"/>
        <v>9000</v>
      </c>
      <c r="BY47" s="74"/>
      <c r="BZ47" s="453"/>
      <c r="CA47" s="74"/>
      <c r="CB47" s="74"/>
      <c r="CC47" s="72"/>
      <c r="CD47" s="74"/>
      <c r="CH47" s="268">
        <v>9000</v>
      </c>
      <c r="CK47" s="100">
        <f t="shared" si="3"/>
        <v>9000</v>
      </c>
      <c r="CL47" s="130"/>
      <c r="CV47" s="268">
        <v>9000</v>
      </c>
      <c r="CY47" s="100">
        <f t="shared" si="7"/>
        <v>9000</v>
      </c>
      <c r="CZ47" s="83"/>
      <c r="DI47" s="268">
        <v>9000</v>
      </c>
      <c r="DL47" s="100">
        <f t="shared" si="8"/>
        <v>9000</v>
      </c>
    </row>
    <row r="48" spans="2:116">
      <c r="B48" s="1" t="s">
        <v>358</v>
      </c>
      <c r="C48" s="102"/>
      <c r="D48" s="102"/>
      <c r="E48" s="102"/>
      <c r="F48" s="102"/>
      <c r="G48" s="102"/>
      <c r="H48" s="102"/>
      <c r="I48" s="102"/>
      <c r="J48" s="102"/>
      <c r="K48" s="102"/>
      <c r="L48" s="102"/>
      <c r="M48" s="102"/>
      <c r="N48" s="102"/>
      <c r="O48" s="40"/>
      <c r="P48" s="73"/>
      <c r="Q48" s="73"/>
      <c r="R48" s="73"/>
      <c r="S48" s="73"/>
      <c r="T48" s="73"/>
      <c r="U48" s="73"/>
      <c r="V48" s="67"/>
      <c r="W48" s="68"/>
      <c r="X48" s="73"/>
      <c r="Y48" s="73"/>
      <c r="Z48" s="69"/>
      <c r="AA48" s="67"/>
      <c r="AB48" s="336">
        <v>0</v>
      </c>
      <c r="AC48" s="120"/>
      <c r="AD48" s="67"/>
      <c r="AE48" s="85"/>
      <c r="AF48" s="67"/>
      <c r="AG48" s="85"/>
      <c r="AH48" s="67"/>
      <c r="AI48" s="68"/>
      <c r="AJ48" s="183"/>
      <c r="AK48" s="89">
        <f t="shared" si="14"/>
        <v>0</v>
      </c>
      <c r="AL48" s="84"/>
      <c r="AM48" s="90"/>
      <c r="AN48" s="84"/>
      <c r="AO48" s="84"/>
      <c r="AP48" s="69"/>
      <c r="AQ48" s="74"/>
      <c r="AR48" s="74"/>
      <c r="AS48" s="179"/>
      <c r="AT48" s="74"/>
      <c r="AU48" s="179"/>
      <c r="AV48" s="74"/>
      <c r="AW48" s="68"/>
      <c r="AX48" s="100">
        <f t="shared" si="15"/>
        <v>0</v>
      </c>
      <c r="AY48" s="120"/>
      <c r="AZ48" s="69"/>
      <c r="BA48" s="74"/>
      <c r="BB48" s="74"/>
      <c r="BC48" s="74"/>
      <c r="BD48" s="68"/>
      <c r="BE48" s="69"/>
      <c r="BF48" s="74"/>
      <c r="BG48" s="74"/>
      <c r="BH48" s="72"/>
      <c r="BI48" s="68"/>
      <c r="BJ48" s="197"/>
      <c r="BK48" s="100">
        <f t="shared" si="13"/>
        <v>0</v>
      </c>
      <c r="BL48" s="202"/>
      <c r="BM48" s="68"/>
      <c r="BN48" s="215"/>
      <c r="BO48" s="179"/>
      <c r="BP48" s="72"/>
      <c r="BQ48" s="216"/>
      <c r="BR48" s="179"/>
      <c r="BS48" s="179"/>
      <c r="BT48" s="179"/>
      <c r="BU48" s="179"/>
      <c r="BV48" s="74"/>
      <c r="BW48" s="72"/>
      <c r="BX48" s="100">
        <f>SUM(BL48:BW48)</f>
        <v>0</v>
      </c>
      <c r="BY48" s="68">
        <f>(1755.6-20)/1.0704</f>
        <v>1621.4499252615844</v>
      </c>
      <c r="BZ48" s="68">
        <f>(4200+4200+3165.84-25)/1.053</f>
        <v>10959.962013295348</v>
      </c>
      <c r="CA48" s="74"/>
      <c r="CB48" s="74"/>
      <c r="CC48" s="68">
        <f>(4762.25+3857.18+4200+4200+4200+2830.19+2780.42-35)/1.0887</f>
        <v>24611.959217415268</v>
      </c>
      <c r="CD48" s="68">
        <f>(4960-20)/1.0826</f>
        <v>4563.0888601514871</v>
      </c>
      <c r="CE48" s="68">
        <f>(4960-20)/1.0892</f>
        <v>4535.438854204921</v>
      </c>
      <c r="CF48" s="66">
        <f t="shared" ref="CF48:CJ48" si="16">4960/1</f>
        <v>4960</v>
      </c>
      <c r="CG48" s="66">
        <f t="shared" si="16"/>
        <v>4960</v>
      </c>
      <c r="CH48" s="66">
        <f t="shared" si="16"/>
        <v>4960</v>
      </c>
      <c r="CI48" s="66">
        <f t="shared" si="16"/>
        <v>4960</v>
      </c>
      <c r="CJ48" s="66">
        <f t="shared" si="16"/>
        <v>4960</v>
      </c>
      <c r="CK48" s="100">
        <f t="shared" si="3"/>
        <v>71091.898870328616</v>
      </c>
      <c r="CL48" s="130"/>
      <c r="CM48" s="66">
        <f>4960/1</f>
        <v>4960</v>
      </c>
      <c r="CN48" s="66">
        <f>4960/1</f>
        <v>4960</v>
      </c>
      <c r="CO48" s="66">
        <f t="shared" ref="CO48:CQ48" si="17">4960/1</f>
        <v>4960</v>
      </c>
      <c r="CP48" s="66">
        <f t="shared" si="17"/>
        <v>4960</v>
      </c>
      <c r="CQ48" s="66">
        <f t="shared" si="17"/>
        <v>4960</v>
      </c>
      <c r="CY48" s="100">
        <f t="shared" si="7"/>
        <v>24800</v>
      </c>
      <c r="CZ48" s="83"/>
      <c r="DL48" s="100">
        <f t="shared" si="8"/>
        <v>0</v>
      </c>
    </row>
    <row r="49" spans="2:116">
      <c r="B49" s="304" t="s">
        <v>359</v>
      </c>
      <c r="C49" s="102"/>
      <c r="D49" s="102"/>
      <c r="E49" s="102"/>
      <c r="F49" s="102"/>
      <c r="G49" s="102"/>
      <c r="H49" s="102"/>
      <c r="I49" s="102"/>
      <c r="J49" s="102"/>
      <c r="K49" s="102"/>
      <c r="L49" s="102"/>
      <c r="M49" s="102"/>
      <c r="N49" s="102"/>
      <c r="O49" s="40"/>
      <c r="P49" s="73"/>
      <c r="Q49" s="73"/>
      <c r="R49" s="73"/>
      <c r="S49" s="73"/>
      <c r="T49" s="73"/>
      <c r="U49" s="73"/>
      <c r="V49" s="67"/>
      <c r="W49" s="68"/>
      <c r="X49" s="73"/>
      <c r="Y49" s="73"/>
      <c r="Z49" s="69"/>
      <c r="AA49" s="67"/>
      <c r="AB49" s="336">
        <v>0</v>
      </c>
      <c r="AC49" s="120"/>
      <c r="AD49" s="67"/>
      <c r="AE49" s="85"/>
      <c r="AF49" s="67"/>
      <c r="AG49" s="85"/>
      <c r="AH49" s="67"/>
      <c r="AI49" s="68"/>
      <c r="AJ49" s="183"/>
      <c r="AK49" s="89">
        <f t="shared" si="14"/>
        <v>0</v>
      </c>
      <c r="AL49" s="84"/>
      <c r="AM49" s="90"/>
      <c r="AN49" s="84"/>
      <c r="AO49" s="84"/>
      <c r="AP49" s="69"/>
      <c r="AQ49" s="74"/>
      <c r="AR49" s="74"/>
      <c r="AS49" s="179"/>
      <c r="AT49" s="74"/>
      <c r="AU49" s="179"/>
      <c r="AV49" s="74"/>
      <c r="AW49" s="68"/>
      <c r="AX49" s="100">
        <f t="shared" si="15"/>
        <v>0</v>
      </c>
      <c r="AY49" s="120"/>
      <c r="AZ49" s="69"/>
      <c r="BA49" s="74"/>
      <c r="BB49" s="74"/>
      <c r="BC49" s="74"/>
      <c r="BD49" s="68"/>
      <c r="BE49" s="69"/>
      <c r="BF49" s="74"/>
      <c r="BG49" s="74"/>
      <c r="BH49" s="72"/>
      <c r="BI49" s="68"/>
      <c r="BJ49" s="197"/>
      <c r="BK49" s="100">
        <f t="shared" si="13"/>
        <v>0</v>
      </c>
      <c r="BL49" s="202"/>
      <c r="BM49" s="68"/>
      <c r="BN49" s="215"/>
      <c r="BO49" s="179"/>
      <c r="BP49" s="72"/>
      <c r="BQ49" s="216"/>
      <c r="BR49" s="179"/>
      <c r="BS49" s="179"/>
      <c r="BT49" s="179"/>
      <c r="BU49" s="179"/>
      <c r="BV49" s="74"/>
      <c r="BW49" s="72"/>
      <c r="BX49" s="100">
        <f>SUM(BL49:BW49)</f>
        <v>0</v>
      </c>
      <c r="BY49" s="68">
        <f>15000/1.0663</f>
        <v>14067.335646628528</v>
      </c>
      <c r="BZ49" s="72"/>
      <c r="CA49" s="72"/>
      <c r="CB49" s="72"/>
      <c r="CC49" s="72"/>
      <c r="CD49" s="67">
        <f>15000/1.0856</f>
        <v>13817.243920412677</v>
      </c>
      <c r="CK49" s="100">
        <f t="shared" si="3"/>
        <v>27884.579567041204</v>
      </c>
      <c r="CL49" s="130"/>
      <c r="CQ49" s="83">
        <f>15000/1</f>
        <v>15000</v>
      </c>
      <c r="CY49" s="100">
        <f t="shared" si="7"/>
        <v>15000</v>
      </c>
      <c r="CZ49" s="83"/>
      <c r="DD49" s="268">
        <f>15000/1</f>
        <v>15000</v>
      </c>
      <c r="DL49" s="100">
        <f t="shared" si="8"/>
        <v>15000</v>
      </c>
    </row>
    <row r="50" spans="2:116">
      <c r="B50" s="81" t="s">
        <v>163</v>
      </c>
      <c r="C50" s="102"/>
      <c r="D50" s="102"/>
      <c r="E50" s="102"/>
      <c r="F50" s="102"/>
      <c r="G50" s="102"/>
      <c r="H50" s="102"/>
      <c r="I50" s="102"/>
      <c r="J50" s="102"/>
      <c r="K50" s="102"/>
      <c r="L50" s="102"/>
      <c r="M50" s="102"/>
      <c r="N50" s="102"/>
      <c r="O50" s="40">
        <f t="shared" si="0"/>
        <v>0</v>
      </c>
      <c r="P50" s="73"/>
      <c r="Q50" s="73"/>
      <c r="R50" s="73"/>
      <c r="S50" s="73"/>
      <c r="T50" s="73"/>
      <c r="U50" s="73"/>
      <c r="V50" s="67"/>
      <c r="W50" s="68"/>
      <c r="X50" s="73"/>
      <c r="Y50" s="73"/>
      <c r="Z50" s="69"/>
      <c r="AA50" s="67"/>
      <c r="AB50" s="336"/>
      <c r="AC50" s="120"/>
      <c r="AD50" s="67"/>
      <c r="AE50" s="85"/>
      <c r="AF50" s="67"/>
      <c r="AG50" s="85"/>
      <c r="AH50" s="70"/>
      <c r="AI50" s="85"/>
      <c r="AJ50" s="183"/>
      <c r="AK50" s="89"/>
      <c r="AL50" s="84"/>
      <c r="AM50" s="90"/>
      <c r="AN50" s="84"/>
      <c r="AO50" s="84"/>
      <c r="AP50" s="69"/>
      <c r="AQ50" s="179"/>
      <c r="AR50" s="179"/>
      <c r="AS50" s="179"/>
      <c r="AT50" s="179"/>
      <c r="AU50" s="179"/>
      <c r="AV50" s="179"/>
      <c r="AW50" s="179"/>
      <c r="AX50" s="100"/>
      <c r="AY50" s="115"/>
      <c r="AZ50" s="69"/>
      <c r="BA50" s="69"/>
      <c r="BB50" s="69"/>
      <c r="BC50" s="69"/>
      <c r="BD50" s="69"/>
      <c r="BE50" s="69"/>
      <c r="BF50" s="69"/>
      <c r="BG50" s="69"/>
      <c r="BH50" s="72"/>
      <c r="BI50" s="69"/>
      <c r="BJ50" s="197"/>
      <c r="BK50" s="100"/>
      <c r="BL50" s="202"/>
      <c r="BM50" s="179"/>
      <c r="BN50" s="215"/>
      <c r="BO50" s="179"/>
      <c r="BP50" s="179"/>
      <c r="BQ50" s="215"/>
      <c r="BR50" s="179"/>
      <c r="BS50" s="179"/>
      <c r="BT50" s="179"/>
      <c r="BU50" s="179"/>
      <c r="BV50" s="179"/>
      <c r="BW50" s="237"/>
      <c r="BX50" s="100">
        <f t="shared" si="6"/>
        <v>0</v>
      </c>
      <c r="BY50" s="74"/>
      <c r="BZ50" s="74"/>
      <c r="CA50" s="74"/>
      <c r="CB50" s="74"/>
      <c r="CC50" s="74"/>
      <c r="CD50" s="74"/>
      <c r="CK50" s="100">
        <f t="shared" si="3"/>
        <v>0</v>
      </c>
      <c r="CL50" s="130"/>
      <c r="CY50" s="100">
        <f t="shared" si="7"/>
        <v>0</v>
      </c>
      <c r="DL50" s="100">
        <f t="shared" si="8"/>
        <v>0</v>
      </c>
    </row>
    <row r="51" spans="2:116">
      <c r="B51" s="1" t="s">
        <v>164</v>
      </c>
      <c r="C51" s="102"/>
      <c r="D51" s="102"/>
      <c r="E51" s="102"/>
      <c r="F51" s="102"/>
      <c r="G51" s="102"/>
      <c r="H51" s="102"/>
      <c r="I51" s="102"/>
      <c r="J51" s="102"/>
      <c r="K51" s="102"/>
      <c r="L51" s="102"/>
      <c r="M51" s="102"/>
      <c r="N51" s="102"/>
      <c r="O51" s="40">
        <f t="shared" si="0"/>
        <v>0</v>
      </c>
      <c r="P51" s="73"/>
      <c r="Q51" s="73"/>
      <c r="R51" s="73"/>
      <c r="S51" s="73"/>
      <c r="T51" s="73"/>
      <c r="U51" s="73"/>
      <c r="V51" s="67"/>
      <c r="W51" s="68"/>
      <c r="X51" s="73">
        <v>2076.36</v>
      </c>
      <c r="Y51" s="73"/>
      <c r="Z51" s="69"/>
      <c r="AA51" s="67"/>
      <c r="AB51" s="336">
        <f t="shared" si="1"/>
        <v>2076.36</v>
      </c>
      <c r="AC51" s="120"/>
      <c r="AD51" s="67"/>
      <c r="AE51" s="85"/>
      <c r="AF51" s="67"/>
      <c r="AG51" s="85"/>
      <c r="AH51" s="70"/>
      <c r="AI51" s="85"/>
      <c r="AJ51" s="67"/>
      <c r="AK51" s="89">
        <f t="shared" si="4"/>
        <v>0</v>
      </c>
      <c r="AL51" s="84"/>
      <c r="AM51" s="90"/>
      <c r="AN51" s="84"/>
      <c r="AO51" s="84"/>
      <c r="AP51" s="69"/>
      <c r="AQ51" s="69"/>
      <c r="AR51" s="69"/>
      <c r="AS51" s="69"/>
      <c r="AT51" s="69"/>
      <c r="AU51" s="69"/>
      <c r="AV51" s="69"/>
      <c r="AW51" s="69"/>
      <c r="AX51" s="100">
        <f t="shared" si="11"/>
        <v>0</v>
      </c>
      <c r="AY51" s="115"/>
      <c r="AZ51" s="69"/>
      <c r="BA51" s="69"/>
      <c r="BB51" s="69"/>
      <c r="BC51" s="69"/>
      <c r="BD51" s="69"/>
      <c r="BE51" s="69"/>
      <c r="BF51" s="69"/>
      <c r="BG51" s="69"/>
      <c r="BH51" s="72"/>
      <c r="BI51" s="69"/>
      <c r="BJ51" s="197"/>
      <c r="BK51" s="100">
        <f t="shared" si="9"/>
        <v>0</v>
      </c>
      <c r="BL51" s="202"/>
      <c r="BM51" s="179"/>
      <c r="BN51" s="215"/>
      <c r="BO51" s="179"/>
      <c r="BP51" s="179"/>
      <c r="BQ51" s="215"/>
      <c r="BR51" s="179"/>
      <c r="BS51" s="179"/>
      <c r="BT51" s="179"/>
      <c r="BU51" s="179"/>
      <c r="BV51" s="179"/>
      <c r="BW51" s="237"/>
      <c r="BX51" s="100">
        <f t="shared" si="6"/>
        <v>0</v>
      </c>
      <c r="BY51" s="74"/>
      <c r="BZ51" s="74"/>
      <c r="CA51" s="74"/>
      <c r="CB51" s="74"/>
      <c r="CC51" s="74"/>
      <c r="CD51" s="74"/>
      <c r="CK51" s="100">
        <f t="shared" si="3"/>
        <v>0</v>
      </c>
      <c r="CL51" s="130"/>
      <c r="CY51" s="100">
        <f t="shared" si="7"/>
        <v>0</v>
      </c>
      <c r="DL51" s="100">
        <f t="shared" si="8"/>
        <v>0</v>
      </c>
    </row>
    <row r="52" spans="2:116">
      <c r="B52" s="1" t="s">
        <v>33</v>
      </c>
      <c r="C52" s="102"/>
      <c r="D52" s="102"/>
      <c r="E52" s="102"/>
      <c r="F52" s="102"/>
      <c r="G52" s="102"/>
      <c r="H52" s="102"/>
      <c r="I52" s="102"/>
      <c r="J52" s="102"/>
      <c r="K52" s="102"/>
      <c r="L52" s="102"/>
      <c r="M52" s="102"/>
      <c r="N52" s="102"/>
      <c r="O52" s="40">
        <f t="shared" si="0"/>
        <v>0</v>
      </c>
      <c r="P52" s="73"/>
      <c r="Q52" s="73"/>
      <c r="R52" s="67">
        <f>15000*0.75*1.21</f>
        <v>13612.5</v>
      </c>
      <c r="S52" s="73"/>
      <c r="T52" s="73"/>
      <c r="U52" s="73"/>
      <c r="V52" s="67"/>
      <c r="W52" s="68"/>
      <c r="X52" s="73"/>
      <c r="Y52" s="73"/>
      <c r="Z52" s="69"/>
      <c r="AA52" s="67"/>
      <c r="AB52" s="336">
        <f t="shared" si="1"/>
        <v>13612.5</v>
      </c>
      <c r="AC52" s="120"/>
      <c r="AD52" s="67"/>
      <c r="AE52" s="85"/>
      <c r="AF52" s="67"/>
      <c r="AG52" s="85"/>
      <c r="AH52" s="70"/>
      <c r="AI52" s="67"/>
      <c r="AJ52" s="67"/>
      <c r="AK52" s="89">
        <f t="shared" si="4"/>
        <v>0</v>
      </c>
      <c r="AL52" s="69"/>
      <c r="AM52" s="74"/>
      <c r="AN52" s="74"/>
      <c r="AO52" s="74"/>
      <c r="AP52" s="69"/>
      <c r="AQ52" s="69"/>
      <c r="AR52" s="74"/>
      <c r="AS52" s="74"/>
      <c r="AT52" s="74"/>
      <c r="AU52" s="74"/>
      <c r="AV52" s="69"/>
      <c r="AW52" s="69"/>
      <c r="AX52" s="100">
        <f t="shared" si="11"/>
        <v>0</v>
      </c>
      <c r="AY52" s="74"/>
      <c r="AZ52" s="74"/>
      <c r="BA52" s="74"/>
      <c r="BB52" s="74"/>
      <c r="BC52" s="74"/>
      <c r="BD52" s="74"/>
      <c r="BE52" s="74"/>
      <c r="BF52" s="74"/>
      <c r="BG52" s="74"/>
      <c r="BH52" s="225"/>
      <c r="BI52" s="74"/>
      <c r="BJ52" s="72">
        <f>15000*0.25*0</f>
        <v>0</v>
      </c>
      <c r="BK52" s="100">
        <f>SUM(AY52:BJ52)</f>
        <v>0</v>
      </c>
      <c r="BL52" s="202"/>
      <c r="BM52" s="179"/>
      <c r="BN52" s="215"/>
      <c r="BO52" s="179"/>
      <c r="BP52" s="179"/>
      <c r="BQ52" s="215"/>
      <c r="BR52" s="179"/>
      <c r="BS52" s="179"/>
      <c r="BT52" s="179"/>
      <c r="BU52" s="179"/>
      <c r="BV52" s="179"/>
      <c r="BW52" s="237"/>
      <c r="BX52" s="100">
        <f t="shared" si="6"/>
        <v>0</v>
      </c>
      <c r="BY52" s="74"/>
      <c r="BZ52" s="74"/>
      <c r="CA52" s="74"/>
      <c r="CB52" s="74"/>
      <c r="CC52" s="74"/>
      <c r="CD52" s="74"/>
      <c r="CK52" s="100">
        <f t="shared" si="3"/>
        <v>0</v>
      </c>
      <c r="CL52" s="130"/>
      <c r="CY52" s="100">
        <f t="shared" si="7"/>
        <v>0</v>
      </c>
      <c r="DL52" s="100">
        <f t="shared" si="8"/>
        <v>0</v>
      </c>
    </row>
    <row r="53" spans="2:116">
      <c r="B53" s="1" t="s">
        <v>21</v>
      </c>
      <c r="C53" s="102"/>
      <c r="D53" s="102"/>
      <c r="E53" s="102"/>
      <c r="F53" s="102"/>
      <c r="G53" s="139">
        <f>4000*1.21</f>
        <v>4840</v>
      </c>
      <c r="H53" s="102"/>
      <c r="I53" s="102"/>
      <c r="J53" s="102"/>
      <c r="K53" s="102"/>
      <c r="L53" s="102"/>
      <c r="M53" s="102"/>
      <c r="N53" s="102"/>
      <c r="O53" s="40">
        <f t="shared" si="0"/>
        <v>4840</v>
      </c>
      <c r="P53" s="73"/>
      <c r="Q53" s="67">
        <v>7260</v>
      </c>
      <c r="R53" s="73"/>
      <c r="S53" s="73"/>
      <c r="T53" s="73"/>
      <c r="U53" s="73"/>
      <c r="V53" s="67"/>
      <c r="W53" s="68"/>
      <c r="X53" s="73"/>
      <c r="Y53" s="73"/>
      <c r="Z53" s="69"/>
      <c r="AA53" s="67"/>
      <c r="AB53" s="336">
        <f t="shared" si="1"/>
        <v>7260</v>
      </c>
      <c r="AC53" s="120">
        <f>5000</f>
        <v>5000</v>
      </c>
      <c r="AD53" s="68">
        <v>7260</v>
      </c>
      <c r="AE53" s="85"/>
      <c r="AF53" s="67"/>
      <c r="AG53" s="85"/>
      <c r="AH53" s="70"/>
      <c r="AI53" s="85"/>
      <c r="AJ53" s="183"/>
      <c r="AK53" s="89">
        <f t="shared" si="4"/>
        <v>12260</v>
      </c>
      <c r="AL53" s="84"/>
      <c r="AM53" s="90"/>
      <c r="AN53" s="84"/>
      <c r="AO53" s="84"/>
      <c r="AP53" s="69"/>
      <c r="AQ53" s="69"/>
      <c r="AR53" s="69"/>
      <c r="AS53" s="69"/>
      <c r="AT53" s="69"/>
      <c r="AU53" s="69"/>
      <c r="AV53" s="69"/>
      <c r="AW53" s="69"/>
      <c r="AX53" s="100">
        <f t="shared" si="11"/>
        <v>0</v>
      </c>
      <c r="AY53" s="115"/>
      <c r="AZ53" s="69"/>
      <c r="BA53" s="69"/>
      <c r="BB53" s="69"/>
      <c r="BC53" s="69"/>
      <c r="BD53" s="69"/>
      <c r="BE53" s="69"/>
      <c r="BF53" s="69"/>
      <c r="BG53" s="69"/>
      <c r="BH53" s="72"/>
      <c r="BI53" s="69"/>
      <c r="BJ53" s="197"/>
      <c r="BK53" s="100">
        <f t="shared" si="9"/>
        <v>0</v>
      </c>
      <c r="BL53" s="202"/>
      <c r="BM53" s="179"/>
      <c r="BN53" s="215"/>
      <c r="BO53" s="179"/>
      <c r="BP53" s="179"/>
      <c r="BQ53" s="215"/>
      <c r="BR53" s="179"/>
      <c r="BS53" s="179"/>
      <c r="BT53" s="179"/>
      <c r="BU53" s="179"/>
      <c r="BV53" s="179"/>
      <c r="BW53" s="237"/>
      <c r="BX53" s="100">
        <f t="shared" si="6"/>
        <v>0</v>
      </c>
      <c r="BY53" s="74"/>
      <c r="BZ53" s="74"/>
      <c r="CA53" s="74"/>
      <c r="CB53" s="74"/>
      <c r="CC53" s="74"/>
      <c r="CD53" s="74"/>
      <c r="CK53" s="100">
        <f t="shared" si="3"/>
        <v>0</v>
      </c>
      <c r="CL53" s="130"/>
      <c r="CY53" s="100">
        <f t="shared" si="7"/>
        <v>0</v>
      </c>
      <c r="DL53" s="100">
        <f t="shared" si="8"/>
        <v>0</v>
      </c>
    </row>
    <row r="54" spans="2:116">
      <c r="B54" s="1" t="s">
        <v>53</v>
      </c>
      <c r="C54" s="102"/>
      <c r="D54" s="102"/>
      <c r="E54" s="102"/>
      <c r="F54" s="102"/>
      <c r="G54" s="102"/>
      <c r="H54" s="102"/>
      <c r="I54" s="102"/>
      <c r="J54" s="102"/>
      <c r="K54" s="102"/>
      <c r="L54" s="102"/>
      <c r="M54" s="102"/>
      <c r="N54" s="102"/>
      <c r="O54" s="40">
        <f t="shared" si="0"/>
        <v>0</v>
      </c>
      <c r="P54" s="73"/>
      <c r="Q54" s="73"/>
      <c r="R54" s="73"/>
      <c r="S54" s="73"/>
      <c r="T54" s="73"/>
      <c r="U54" s="67">
        <v>1512.5</v>
      </c>
      <c r="V54" s="67"/>
      <c r="W54" s="68"/>
      <c r="X54" s="73"/>
      <c r="Y54" s="73"/>
      <c r="Z54" s="69"/>
      <c r="AA54" s="67"/>
      <c r="AB54" s="336">
        <f t="shared" si="1"/>
        <v>1512.5</v>
      </c>
      <c r="AC54" s="120"/>
      <c r="AD54" s="67"/>
      <c r="AE54" s="85"/>
      <c r="AF54" s="67"/>
      <c r="AG54" s="85"/>
      <c r="AH54" s="70"/>
      <c r="AI54" s="85"/>
      <c r="AJ54" s="183"/>
      <c r="AK54" s="89">
        <f t="shared" si="4"/>
        <v>0</v>
      </c>
      <c r="AL54" s="84"/>
      <c r="AM54" s="90"/>
      <c r="AN54" s="84"/>
      <c r="AO54" s="84"/>
      <c r="AP54" s="69"/>
      <c r="AQ54" s="69"/>
      <c r="AR54" s="69"/>
      <c r="AS54" s="69"/>
      <c r="AT54" s="69"/>
      <c r="AU54" s="69"/>
      <c r="AV54" s="69"/>
      <c r="AW54" s="69"/>
      <c r="AX54" s="100">
        <f t="shared" si="11"/>
        <v>0</v>
      </c>
      <c r="AY54" s="115"/>
      <c r="AZ54" s="69"/>
      <c r="BA54" s="69"/>
      <c r="BB54" s="69"/>
      <c r="BC54" s="69"/>
      <c r="BD54" s="69"/>
      <c r="BE54" s="69"/>
      <c r="BF54" s="69"/>
      <c r="BG54" s="69"/>
      <c r="BH54" s="72"/>
      <c r="BI54" s="69"/>
      <c r="BJ54" s="197"/>
      <c r="BK54" s="100">
        <f t="shared" si="9"/>
        <v>0</v>
      </c>
      <c r="BL54" s="202"/>
      <c r="BM54" s="179"/>
      <c r="BN54" s="215"/>
      <c r="BO54" s="179"/>
      <c r="BP54" s="179"/>
      <c r="BQ54" s="215"/>
      <c r="BR54" s="179"/>
      <c r="BS54" s="179"/>
      <c r="BT54" s="179"/>
      <c r="BU54" s="179"/>
      <c r="BV54" s="179"/>
      <c r="BW54" s="237"/>
      <c r="BX54" s="100">
        <f t="shared" si="6"/>
        <v>0</v>
      </c>
      <c r="BY54" s="74"/>
      <c r="BZ54" s="74"/>
      <c r="CA54" s="74"/>
      <c r="CB54" s="74"/>
      <c r="CC54" s="74"/>
      <c r="CD54" s="74"/>
      <c r="CK54" s="100">
        <f t="shared" si="3"/>
        <v>0</v>
      </c>
      <c r="CL54" s="130"/>
      <c r="CY54" s="100">
        <f t="shared" si="7"/>
        <v>0</v>
      </c>
      <c r="DL54" s="100">
        <f t="shared" si="8"/>
        <v>0</v>
      </c>
    </row>
    <row r="55" spans="2:116">
      <c r="B55" s="1" t="s">
        <v>165</v>
      </c>
      <c r="C55" s="102"/>
      <c r="D55" s="102"/>
      <c r="E55" s="102"/>
      <c r="F55" s="102"/>
      <c r="G55" s="102"/>
      <c r="H55" s="102"/>
      <c r="I55" s="102"/>
      <c r="J55" s="102"/>
      <c r="K55" s="102"/>
      <c r="L55" s="102"/>
      <c r="M55" s="102"/>
      <c r="N55" s="102"/>
      <c r="O55" s="40">
        <f t="shared" si="0"/>
        <v>0</v>
      </c>
      <c r="P55" s="73"/>
      <c r="Q55" s="73"/>
      <c r="R55" s="73"/>
      <c r="S55" s="73"/>
      <c r="T55" s="73"/>
      <c r="U55" s="67"/>
      <c r="V55" s="67"/>
      <c r="W55" s="68">
        <v>238.55</v>
      </c>
      <c r="X55" s="73"/>
      <c r="Y55" s="73"/>
      <c r="Z55" s="69"/>
      <c r="AA55" s="67"/>
      <c r="AB55" s="336">
        <f t="shared" si="1"/>
        <v>238.55</v>
      </c>
      <c r="AC55" s="240">
        <f>720.83</f>
        <v>720.83</v>
      </c>
      <c r="AD55" s="67"/>
      <c r="AE55" s="85"/>
      <c r="AF55" s="67"/>
      <c r="AG55" s="68">
        <f>215.93</f>
        <v>215.93</v>
      </c>
      <c r="AH55" s="70"/>
      <c r="AI55" s="85"/>
      <c r="AJ55" s="183"/>
      <c r="AK55" s="89">
        <f t="shared" si="4"/>
        <v>936.76</v>
      </c>
      <c r="AL55" s="84"/>
      <c r="AM55" s="90"/>
      <c r="AN55" s="84"/>
      <c r="AO55" s="84"/>
      <c r="AP55" s="69"/>
      <c r="AQ55" s="69"/>
      <c r="AR55" s="69"/>
      <c r="AS55" s="69"/>
      <c r="AT55" s="69"/>
      <c r="AU55" s="69"/>
      <c r="AV55" s="69"/>
      <c r="AW55" s="69"/>
      <c r="AX55" s="100">
        <f t="shared" si="11"/>
        <v>0</v>
      </c>
      <c r="AY55" s="115"/>
      <c r="AZ55" s="69"/>
      <c r="BA55" s="69"/>
      <c r="BB55" s="69"/>
      <c r="BC55" s="69"/>
      <c r="BD55" s="69"/>
      <c r="BE55" s="68">
        <v>650</v>
      </c>
      <c r="BF55" s="69"/>
      <c r="BG55" s="69"/>
      <c r="BH55" s="72"/>
      <c r="BI55" s="69"/>
      <c r="BJ55" s="197"/>
      <c r="BK55" s="100">
        <f t="shared" si="9"/>
        <v>650</v>
      </c>
      <c r="BL55" s="202"/>
      <c r="BM55" s="179"/>
      <c r="BN55" s="215"/>
      <c r="BO55" s="179"/>
      <c r="BP55" s="179"/>
      <c r="BQ55" s="215"/>
      <c r="BR55" s="179"/>
      <c r="BS55" s="179"/>
      <c r="BT55" s="179"/>
      <c r="BU55" s="179"/>
      <c r="BV55" s="179"/>
      <c r="BW55" s="68">
        <v>273.33</v>
      </c>
      <c r="BX55" s="100">
        <f t="shared" si="6"/>
        <v>273.33</v>
      </c>
      <c r="BY55" s="74"/>
      <c r="BZ55" s="74"/>
      <c r="CA55" s="74"/>
      <c r="CB55" s="74"/>
      <c r="CC55" s="74"/>
      <c r="CD55" s="74"/>
      <c r="CK55" s="100">
        <f t="shared" si="3"/>
        <v>0</v>
      </c>
      <c r="CL55" s="130"/>
      <c r="CY55" s="100">
        <f t="shared" si="7"/>
        <v>0</v>
      </c>
      <c r="DL55" s="100">
        <f t="shared" si="8"/>
        <v>0</v>
      </c>
    </row>
    <row r="56" spans="2:116">
      <c r="B56" s="1" t="s">
        <v>166</v>
      </c>
      <c r="C56" s="102"/>
      <c r="D56" s="102"/>
      <c r="E56" s="102"/>
      <c r="F56" s="102"/>
      <c r="G56" s="102"/>
      <c r="H56" s="102"/>
      <c r="I56" s="102"/>
      <c r="J56" s="102"/>
      <c r="K56" s="102"/>
      <c r="L56" s="102"/>
      <c r="M56" s="102"/>
      <c r="N56" s="102"/>
      <c r="O56" s="40">
        <f>SUM(C56:N56)</f>
        <v>0</v>
      </c>
      <c r="P56" s="73"/>
      <c r="Q56" s="73"/>
      <c r="R56" s="73"/>
      <c r="S56" s="73"/>
      <c r="T56" s="73"/>
      <c r="U56" s="73"/>
      <c r="V56" s="67"/>
      <c r="W56" s="68"/>
      <c r="X56" s="73"/>
      <c r="Y56" s="73"/>
      <c r="Z56" s="69"/>
      <c r="AA56" s="67"/>
      <c r="AB56" s="336">
        <f>SUM(P56:AA56)</f>
        <v>0</v>
      </c>
      <c r="AC56" s="120"/>
      <c r="AD56" s="67"/>
      <c r="AE56" s="85"/>
      <c r="AF56" s="67"/>
      <c r="AG56" s="85"/>
      <c r="AH56" s="67"/>
      <c r="AI56" s="67"/>
      <c r="AJ56" s="67"/>
      <c r="AK56" s="89">
        <f t="shared" si="4"/>
        <v>0</v>
      </c>
      <c r="AL56" s="68">
        <v>19508</v>
      </c>
      <c r="AM56" s="68">
        <v>2782.5</v>
      </c>
      <c r="AN56" s="84"/>
      <c r="AO56" s="84"/>
      <c r="AP56" s="69"/>
      <c r="AQ56" s="69"/>
      <c r="AR56" s="69"/>
      <c r="AS56" s="69"/>
      <c r="AT56" s="69"/>
      <c r="AU56" s="69"/>
      <c r="AV56" s="69"/>
      <c r="AW56" s="69"/>
      <c r="AX56" s="100">
        <f>SUM(AL56:AW56)</f>
        <v>22290.5</v>
      </c>
      <c r="AY56" s="115"/>
      <c r="AZ56" s="69"/>
      <c r="BA56" s="69"/>
      <c r="BB56" s="69"/>
      <c r="BC56" s="69"/>
      <c r="BD56" s="69"/>
      <c r="BE56" s="69"/>
      <c r="BF56" s="69"/>
      <c r="BG56" s="69"/>
      <c r="BH56" s="72"/>
      <c r="BI56" s="69"/>
      <c r="BJ56" s="197"/>
      <c r="BK56" s="100">
        <f t="shared" si="9"/>
        <v>0</v>
      </c>
      <c r="BL56" s="202"/>
      <c r="BM56" s="179"/>
      <c r="BN56" s="215"/>
      <c r="BO56" s="179"/>
      <c r="BP56" s="179"/>
      <c r="BQ56" s="215"/>
      <c r="BR56" s="179"/>
      <c r="BS56" s="179"/>
      <c r="BT56" s="179"/>
      <c r="BU56" s="179"/>
      <c r="BV56" s="179"/>
      <c r="BW56" s="237"/>
      <c r="BX56" s="100">
        <f t="shared" si="6"/>
        <v>0</v>
      </c>
      <c r="BY56" s="74"/>
      <c r="BZ56" s="74"/>
      <c r="CA56" s="74"/>
      <c r="CB56" s="74"/>
      <c r="CC56" s="74"/>
      <c r="CD56" s="74"/>
      <c r="CK56" s="100">
        <f t="shared" si="3"/>
        <v>0</v>
      </c>
      <c r="CL56" s="130"/>
      <c r="CY56" s="100">
        <f t="shared" si="7"/>
        <v>0</v>
      </c>
      <c r="DL56" s="100">
        <f t="shared" si="8"/>
        <v>0</v>
      </c>
    </row>
    <row r="57" spans="2:116">
      <c r="B57" s="1" t="s">
        <v>167</v>
      </c>
      <c r="C57" s="102"/>
      <c r="D57" s="102"/>
      <c r="E57" s="102"/>
      <c r="F57" s="102"/>
      <c r="G57" s="102"/>
      <c r="H57" s="102"/>
      <c r="I57" s="102"/>
      <c r="J57" s="102"/>
      <c r="K57" s="102"/>
      <c r="L57" s="102"/>
      <c r="M57" s="102"/>
      <c r="N57" s="102"/>
      <c r="O57" s="40"/>
      <c r="P57" s="73"/>
      <c r="Q57" s="73"/>
      <c r="R57" s="73"/>
      <c r="S57" s="73"/>
      <c r="T57" s="73"/>
      <c r="U57" s="73"/>
      <c r="V57" s="67"/>
      <c r="W57" s="68"/>
      <c r="X57" s="73"/>
      <c r="Y57" s="73"/>
      <c r="Z57" s="69"/>
      <c r="AA57" s="67"/>
      <c r="AB57" s="336">
        <f>SUM(P57:AA57)</f>
        <v>0</v>
      </c>
      <c r="AC57" s="120"/>
      <c r="AD57" s="67"/>
      <c r="AE57" s="85"/>
      <c r="AF57" s="67"/>
      <c r="AG57" s="85"/>
      <c r="AH57" s="67"/>
      <c r="AI57" s="67"/>
      <c r="AJ57" s="67"/>
      <c r="AK57" s="89">
        <f t="shared" si="4"/>
        <v>0</v>
      </c>
      <c r="AL57" s="68"/>
      <c r="AM57" s="68"/>
      <c r="AN57" s="84"/>
      <c r="AO57" s="95">
        <f>2201.63*1.21</f>
        <v>2663.9722999999999</v>
      </c>
      <c r="AP57" s="69"/>
      <c r="AQ57" s="69"/>
      <c r="AR57" s="69"/>
      <c r="AS57" s="69"/>
      <c r="AT57" s="69"/>
      <c r="AU57" s="69"/>
      <c r="AV57" s="69"/>
      <c r="AW57" s="69"/>
      <c r="AX57" s="100">
        <f>SUM(AL57:AW57)</f>
        <v>2663.9722999999999</v>
      </c>
      <c r="AY57" s="115"/>
      <c r="AZ57" s="69"/>
      <c r="BA57" s="69"/>
      <c r="BB57" s="69"/>
      <c r="BC57" s="69"/>
      <c r="BD57" s="69"/>
      <c r="BE57" s="69"/>
      <c r="BF57" s="69"/>
      <c r="BG57" s="69"/>
      <c r="BH57" s="72"/>
      <c r="BI57" s="69"/>
      <c r="BJ57" s="197"/>
      <c r="BK57" s="100">
        <f t="shared" si="9"/>
        <v>0</v>
      </c>
      <c r="BL57" s="202"/>
      <c r="BM57" s="179"/>
      <c r="BN57" s="215"/>
      <c r="BO57" s="179"/>
      <c r="BP57" s="179"/>
      <c r="BQ57" s="215"/>
      <c r="BR57" s="179"/>
      <c r="BS57" s="179"/>
      <c r="BT57" s="179"/>
      <c r="BU57" s="179"/>
      <c r="BV57" s="179"/>
      <c r="BW57" s="237"/>
      <c r="BX57" s="100">
        <f t="shared" si="6"/>
        <v>0</v>
      </c>
      <c r="BY57" s="74"/>
      <c r="BZ57" s="74"/>
      <c r="CA57" s="74"/>
      <c r="CB57" s="74"/>
      <c r="CC57" s="74"/>
      <c r="CD57" s="74"/>
      <c r="CK57" s="100">
        <f t="shared" si="3"/>
        <v>0</v>
      </c>
      <c r="CL57" s="130"/>
      <c r="CY57" s="100">
        <f t="shared" si="7"/>
        <v>0</v>
      </c>
      <c r="DL57" s="100">
        <f t="shared" si="8"/>
        <v>0</v>
      </c>
    </row>
    <row r="58" spans="2:116">
      <c r="B58" s="81" t="s">
        <v>168</v>
      </c>
      <c r="C58" s="102"/>
      <c r="D58" s="102"/>
      <c r="E58" s="102"/>
      <c r="F58" s="102"/>
      <c r="G58" s="102"/>
      <c r="H58" s="102"/>
      <c r="I58" s="102"/>
      <c r="J58" s="102"/>
      <c r="K58" s="102"/>
      <c r="L58" s="102"/>
      <c r="M58" s="102"/>
      <c r="N58" s="102"/>
      <c r="O58" s="40">
        <f t="shared" si="0"/>
        <v>0</v>
      </c>
      <c r="P58" s="73"/>
      <c r="Q58" s="73"/>
      <c r="R58" s="73"/>
      <c r="S58" s="73"/>
      <c r="T58" s="73"/>
      <c r="U58" s="73"/>
      <c r="V58" s="67"/>
      <c r="W58" s="68"/>
      <c r="X58" s="73"/>
      <c r="Y58" s="73"/>
      <c r="Z58" s="69"/>
      <c r="AA58" s="67"/>
      <c r="AB58" s="336"/>
      <c r="AC58" s="120"/>
      <c r="AD58" s="67"/>
      <c r="AE58" s="85"/>
      <c r="AF58" s="67"/>
      <c r="AG58" s="85"/>
      <c r="AH58" s="70"/>
      <c r="AI58" s="85"/>
      <c r="AJ58" s="183"/>
      <c r="AK58" s="89"/>
      <c r="AL58" s="84"/>
      <c r="AM58" s="90"/>
      <c r="AN58" s="84"/>
      <c r="AO58" s="84"/>
      <c r="AP58" s="69"/>
      <c r="AQ58" s="69"/>
      <c r="AR58" s="69"/>
      <c r="AS58" s="69"/>
      <c r="AT58" s="69"/>
      <c r="AU58" s="69"/>
      <c r="AV58" s="69"/>
      <c r="AW58" s="69"/>
      <c r="AX58" s="100"/>
      <c r="AY58" s="115"/>
      <c r="AZ58" s="69"/>
      <c r="BA58" s="69"/>
      <c r="BB58" s="69"/>
      <c r="BC58" s="69"/>
      <c r="BD58" s="69"/>
      <c r="BE58" s="69"/>
      <c r="BF58" s="69"/>
      <c r="BG58" s="69"/>
      <c r="BH58" s="72"/>
      <c r="BI58" s="69"/>
      <c r="BJ58" s="197"/>
      <c r="BK58" s="100"/>
      <c r="BL58" s="202"/>
      <c r="BM58" s="179"/>
      <c r="BN58" s="215"/>
      <c r="BO58" s="179"/>
      <c r="BP58" s="179"/>
      <c r="BQ58" s="215"/>
      <c r="BR58" s="179"/>
      <c r="BS58" s="179"/>
      <c r="BT58" s="179"/>
      <c r="BU58" s="179"/>
      <c r="BV58" s="179"/>
      <c r="BW58" s="237"/>
      <c r="BX58" s="100">
        <f t="shared" si="6"/>
        <v>0</v>
      </c>
      <c r="BY58" s="74"/>
      <c r="BZ58" s="74"/>
      <c r="CA58" s="74"/>
      <c r="CB58" s="74"/>
      <c r="CC58" s="74"/>
      <c r="CD58" s="74"/>
      <c r="CK58" s="100">
        <f t="shared" si="3"/>
        <v>0</v>
      </c>
      <c r="CL58" s="130"/>
      <c r="CY58" s="100">
        <f t="shared" si="7"/>
        <v>0</v>
      </c>
      <c r="DL58" s="100">
        <f t="shared" si="8"/>
        <v>0</v>
      </c>
    </row>
    <row r="59" spans="2:116">
      <c r="B59" s="36" t="s">
        <v>30</v>
      </c>
      <c r="C59" s="102"/>
      <c r="D59" s="102"/>
      <c r="E59" s="102"/>
      <c r="F59" s="102"/>
      <c r="G59" s="102"/>
      <c r="H59" s="102"/>
      <c r="I59" s="102"/>
      <c r="J59" s="102"/>
      <c r="K59" s="102"/>
      <c r="L59" s="102"/>
      <c r="M59" s="102"/>
      <c r="N59" s="102"/>
      <c r="O59" s="40">
        <f t="shared" si="0"/>
        <v>0</v>
      </c>
      <c r="P59" s="73"/>
      <c r="Q59" s="73"/>
      <c r="R59" s="73"/>
      <c r="S59" s="73"/>
      <c r="T59" s="73"/>
      <c r="U59" s="73"/>
      <c r="V59" s="67">
        <f>1174.58</f>
        <v>1174.58</v>
      </c>
      <c r="W59" s="68"/>
      <c r="X59" s="73"/>
      <c r="Y59" s="73"/>
      <c r="Z59" s="69"/>
      <c r="AA59" s="67"/>
      <c r="AB59" s="336">
        <f t="shared" si="1"/>
        <v>1174.58</v>
      </c>
      <c r="AC59" s="115"/>
      <c r="AD59" s="69"/>
      <c r="AE59" s="85"/>
      <c r="AF59" s="69"/>
      <c r="AG59" s="90"/>
      <c r="AH59" s="71"/>
      <c r="AI59" s="90"/>
      <c r="AJ59" s="84"/>
      <c r="AK59" s="89">
        <f t="shared" si="4"/>
        <v>0</v>
      </c>
      <c r="AL59" s="84"/>
      <c r="AM59" s="90"/>
      <c r="AN59" s="84"/>
      <c r="AO59" s="84"/>
      <c r="AP59" s="69"/>
      <c r="AQ59" s="69"/>
      <c r="AR59" s="69"/>
      <c r="AS59" s="69"/>
      <c r="AT59" s="69"/>
      <c r="AU59" s="69"/>
      <c r="AV59" s="69"/>
      <c r="AW59" s="69"/>
      <c r="AX59" s="100">
        <f t="shared" si="11"/>
        <v>0</v>
      </c>
      <c r="AY59" s="115"/>
      <c r="AZ59" s="69"/>
      <c r="BA59" s="69"/>
      <c r="BB59" s="69"/>
      <c r="BC59" s="69"/>
      <c r="BD59" s="69"/>
      <c r="BE59" s="69"/>
      <c r="BF59" s="69"/>
      <c r="BG59" s="69"/>
      <c r="BH59" s="72"/>
      <c r="BI59" s="69"/>
      <c r="BJ59" s="197"/>
      <c r="BK59" s="100">
        <f t="shared" si="9"/>
        <v>0</v>
      </c>
      <c r="BL59" s="202"/>
      <c r="BM59" s="179"/>
      <c r="BN59" s="215"/>
      <c r="BO59" s="179"/>
      <c r="BP59" s="179"/>
      <c r="BQ59" s="215"/>
      <c r="BR59" s="179"/>
      <c r="BS59" s="179"/>
      <c r="BT59" s="179"/>
      <c r="BU59" s="179"/>
      <c r="BV59" s="179"/>
      <c r="BW59" s="237"/>
      <c r="BX59" s="100">
        <f t="shared" si="6"/>
        <v>0</v>
      </c>
      <c r="BY59" s="74"/>
      <c r="BZ59" s="74"/>
      <c r="CA59" s="74"/>
      <c r="CB59" s="74"/>
      <c r="CC59" s="74"/>
      <c r="CD59" s="74"/>
      <c r="CK59" s="100">
        <f t="shared" si="3"/>
        <v>0</v>
      </c>
      <c r="CL59" s="130"/>
      <c r="CY59" s="100">
        <f t="shared" si="7"/>
        <v>0</v>
      </c>
      <c r="DL59" s="100">
        <f t="shared" si="8"/>
        <v>0</v>
      </c>
    </row>
    <row r="60" spans="2:116">
      <c r="B60" s="1" t="s">
        <v>169</v>
      </c>
      <c r="C60" s="102"/>
      <c r="D60" s="102"/>
      <c r="E60" s="102"/>
      <c r="F60" s="102"/>
      <c r="G60" s="102"/>
      <c r="H60" s="102"/>
      <c r="I60" s="102"/>
      <c r="J60" s="102"/>
      <c r="K60" s="102"/>
      <c r="L60" s="102"/>
      <c r="M60" s="102"/>
      <c r="N60" s="102"/>
      <c r="O60" s="40">
        <f t="shared" si="0"/>
        <v>0</v>
      </c>
      <c r="P60" s="73"/>
      <c r="Q60" s="73"/>
      <c r="R60" s="73"/>
      <c r="S60" s="73"/>
      <c r="T60" s="73"/>
      <c r="U60" s="73"/>
      <c r="V60" s="67">
        <f>1203.1+4975.49</f>
        <v>6178.59</v>
      </c>
      <c r="W60" s="68">
        <f>2294.62+5739.08</f>
        <v>8033.7</v>
      </c>
      <c r="X60" s="73"/>
      <c r="Y60" s="73"/>
      <c r="Z60" s="69"/>
      <c r="AA60" s="67"/>
      <c r="AB60" s="336">
        <f t="shared" si="1"/>
        <v>14212.29</v>
      </c>
      <c r="AC60" s="115"/>
      <c r="AD60" s="69"/>
      <c r="AE60" s="85"/>
      <c r="AF60" s="69"/>
      <c r="AG60" s="90"/>
      <c r="AH60" s="71"/>
      <c r="AI60" s="90"/>
      <c r="AJ60" s="84"/>
      <c r="AK60" s="89">
        <f t="shared" si="4"/>
        <v>0</v>
      </c>
      <c r="AL60" s="84"/>
      <c r="AM60" s="90"/>
      <c r="AN60" s="84"/>
      <c r="AO60" s="84"/>
      <c r="AP60" s="69"/>
      <c r="AQ60" s="69"/>
      <c r="AR60" s="69"/>
      <c r="AS60" s="69"/>
      <c r="AT60" s="69"/>
      <c r="AU60" s="69"/>
      <c r="AV60" s="69"/>
      <c r="AW60" s="69"/>
      <c r="AX60" s="100">
        <f t="shared" si="11"/>
        <v>0</v>
      </c>
      <c r="AY60" s="115"/>
      <c r="AZ60" s="69"/>
      <c r="BA60" s="69"/>
      <c r="BB60" s="69"/>
      <c r="BC60" s="69"/>
      <c r="BD60" s="69"/>
      <c r="BE60" s="69"/>
      <c r="BF60" s="69"/>
      <c r="BG60" s="69"/>
      <c r="BH60" s="72"/>
      <c r="BI60" s="69"/>
      <c r="BJ60" s="197"/>
      <c r="BK60" s="100">
        <f t="shared" si="9"/>
        <v>0</v>
      </c>
      <c r="BL60" s="202"/>
      <c r="BM60" s="179"/>
      <c r="BN60" s="215"/>
      <c r="BO60" s="179"/>
      <c r="BP60" s="179"/>
      <c r="BQ60" s="215"/>
      <c r="BR60" s="179"/>
      <c r="BS60" s="179"/>
      <c r="BT60" s="179"/>
      <c r="BU60" s="179"/>
      <c r="BV60" s="179"/>
      <c r="BW60" s="237"/>
      <c r="BX60" s="100">
        <f t="shared" si="6"/>
        <v>0</v>
      </c>
      <c r="BY60" s="74"/>
      <c r="BZ60" s="74"/>
      <c r="CA60" s="74"/>
      <c r="CB60" s="74"/>
      <c r="CC60" s="74"/>
      <c r="CD60" s="74"/>
      <c r="CK60" s="100">
        <f t="shared" si="3"/>
        <v>0</v>
      </c>
      <c r="CL60" s="130"/>
      <c r="CY60" s="100">
        <f t="shared" si="7"/>
        <v>0</v>
      </c>
      <c r="DL60" s="100">
        <f t="shared" si="8"/>
        <v>0</v>
      </c>
    </row>
    <row r="61" spans="2:116">
      <c r="B61" s="1" t="s">
        <v>170</v>
      </c>
      <c r="C61" s="102"/>
      <c r="D61" s="102"/>
      <c r="E61" s="102"/>
      <c r="F61" s="102"/>
      <c r="G61" s="102"/>
      <c r="H61" s="102"/>
      <c r="I61" s="102"/>
      <c r="J61" s="102"/>
      <c r="K61" s="102"/>
      <c r="L61" s="102"/>
      <c r="M61" s="102"/>
      <c r="N61" s="102"/>
      <c r="O61" s="40">
        <f t="shared" si="0"/>
        <v>0</v>
      </c>
      <c r="P61" s="73"/>
      <c r="Q61" s="73"/>
      <c r="R61" s="73"/>
      <c r="S61" s="73"/>
      <c r="T61" s="68">
        <v>5893.52</v>
      </c>
      <c r="U61" s="68"/>
      <c r="V61" s="67"/>
      <c r="W61" s="68">
        <v>5442.38</v>
      </c>
      <c r="X61" s="73"/>
      <c r="Y61" s="73"/>
      <c r="Z61" s="69"/>
      <c r="AA61" s="67"/>
      <c r="AB61" s="336">
        <f t="shared" si="1"/>
        <v>11335.900000000001</v>
      </c>
      <c r="AC61" s="115"/>
      <c r="AD61" s="69"/>
      <c r="AE61" s="85"/>
      <c r="AF61" s="69"/>
      <c r="AG61" s="90"/>
      <c r="AH61" s="71"/>
      <c r="AI61" s="90"/>
      <c r="AJ61" s="84"/>
      <c r="AK61" s="89">
        <f t="shared" si="4"/>
        <v>0</v>
      </c>
      <c r="AL61" s="84"/>
      <c r="AM61" s="90"/>
      <c r="AN61" s="84"/>
      <c r="AO61" s="84"/>
      <c r="AP61" s="69"/>
      <c r="AQ61" s="69"/>
      <c r="AR61" s="69"/>
      <c r="AS61" s="69"/>
      <c r="AT61" s="69"/>
      <c r="AU61" s="69"/>
      <c r="AV61" s="69"/>
      <c r="AW61" s="69"/>
      <c r="AX61" s="100">
        <f t="shared" si="11"/>
        <v>0</v>
      </c>
      <c r="AY61" s="115"/>
      <c r="AZ61" s="69"/>
      <c r="BA61" s="69"/>
      <c r="BB61" s="69"/>
      <c r="BC61" s="69"/>
      <c r="BD61" s="69"/>
      <c r="BE61" s="69"/>
      <c r="BF61" s="69"/>
      <c r="BG61" s="69"/>
      <c r="BH61" s="72"/>
      <c r="BI61" s="69"/>
      <c r="BJ61" s="197"/>
      <c r="BK61" s="100">
        <f t="shared" si="9"/>
        <v>0</v>
      </c>
      <c r="BL61" s="202"/>
      <c r="BM61" s="179"/>
      <c r="BN61" s="215"/>
      <c r="BO61" s="179"/>
      <c r="BP61" s="179"/>
      <c r="BQ61" s="215"/>
      <c r="BR61" s="179"/>
      <c r="BS61" s="179"/>
      <c r="BT61" s="179"/>
      <c r="BU61" s="179"/>
      <c r="BV61" s="179"/>
      <c r="BW61" s="237"/>
      <c r="BX61" s="100">
        <f t="shared" si="6"/>
        <v>0</v>
      </c>
      <c r="BY61" s="74"/>
      <c r="BZ61" s="74"/>
      <c r="CA61" s="74"/>
      <c r="CB61" s="74"/>
      <c r="CC61" s="74"/>
      <c r="CD61" s="74"/>
      <c r="CK61" s="100">
        <f t="shared" si="3"/>
        <v>0</v>
      </c>
      <c r="CL61" s="130"/>
      <c r="CY61" s="100">
        <f t="shared" si="7"/>
        <v>0</v>
      </c>
      <c r="DL61" s="100">
        <f t="shared" si="8"/>
        <v>0</v>
      </c>
    </row>
    <row r="62" spans="2:116">
      <c r="B62" s="1" t="s">
        <v>171</v>
      </c>
      <c r="C62" s="102"/>
      <c r="D62" s="102"/>
      <c r="E62" s="102"/>
      <c r="F62" s="102"/>
      <c r="G62" s="102"/>
      <c r="H62" s="102"/>
      <c r="I62" s="102"/>
      <c r="J62" s="102"/>
      <c r="K62" s="102"/>
      <c r="L62" s="102"/>
      <c r="M62" s="102"/>
      <c r="N62" s="102"/>
      <c r="O62" s="40">
        <f t="shared" si="0"/>
        <v>0</v>
      </c>
      <c r="P62" s="73"/>
      <c r="Q62" s="73"/>
      <c r="R62" s="73"/>
      <c r="S62" s="73"/>
      <c r="T62" s="73"/>
      <c r="U62" s="73"/>
      <c r="V62" s="67"/>
      <c r="W62" s="68"/>
      <c r="X62" s="73"/>
      <c r="Y62" s="73"/>
      <c r="Z62" s="69"/>
      <c r="AA62" s="67">
        <f>12803.93-25.61</f>
        <v>12778.32</v>
      </c>
      <c r="AB62" s="336">
        <f t="shared" si="1"/>
        <v>12778.32</v>
      </c>
      <c r="AC62" s="115"/>
      <c r="AD62" s="69"/>
      <c r="AE62" s="85"/>
      <c r="AF62" s="69"/>
      <c r="AG62" s="90"/>
      <c r="AH62" s="84">
        <f>7000*2.5/1.1*0</f>
        <v>0</v>
      </c>
      <c r="AI62" s="84">
        <f>7000*2.5/1.1*0</f>
        <v>0</v>
      </c>
      <c r="AJ62" s="84">
        <f>7000*2.5/1.1*0</f>
        <v>0</v>
      </c>
      <c r="AK62" s="89">
        <f t="shared" si="4"/>
        <v>0</v>
      </c>
      <c r="AL62" s="84"/>
      <c r="AM62" s="90"/>
      <c r="AN62" s="74"/>
      <c r="AO62" s="84"/>
      <c r="AP62" s="69"/>
      <c r="AQ62" s="74"/>
      <c r="AR62" s="94"/>
      <c r="AS62" s="95">
        <f>15000/1.2007</f>
        <v>12492.712584325809</v>
      </c>
      <c r="AT62" s="69"/>
      <c r="AU62" s="69"/>
      <c r="AV62" s="69"/>
      <c r="AW62" s="69"/>
      <c r="AX62" s="100">
        <f t="shared" ref="AX62:AX68" si="18">SUM(AL62:AW62)</f>
        <v>12492.712584325809</v>
      </c>
      <c r="AY62" s="203"/>
      <c r="AZ62" s="69"/>
      <c r="BA62" s="217"/>
      <c r="BB62" s="69"/>
      <c r="BC62" s="69"/>
      <c r="BD62" s="69"/>
      <c r="BE62" s="69"/>
      <c r="BF62" s="69"/>
      <c r="BG62" s="69"/>
      <c r="BH62" s="72"/>
      <c r="BI62" s="69"/>
      <c r="BJ62" s="197"/>
      <c r="BK62" s="100">
        <f t="shared" si="9"/>
        <v>0</v>
      </c>
      <c r="BL62" s="202">
        <f>15000*2/1.1*0</f>
        <v>0</v>
      </c>
      <c r="BM62" s="179"/>
      <c r="BN62" s="215"/>
      <c r="BO62" s="179"/>
      <c r="BP62" s="179"/>
      <c r="BQ62" s="215"/>
      <c r="BR62" s="179"/>
      <c r="BS62" s="179"/>
      <c r="BT62" s="179"/>
      <c r="BU62" s="179"/>
      <c r="BV62" s="179"/>
      <c r="BW62" s="237"/>
      <c r="BX62" s="100">
        <f t="shared" si="6"/>
        <v>0</v>
      </c>
      <c r="BY62" s="74"/>
      <c r="BZ62" s="74"/>
      <c r="CA62" s="74"/>
      <c r="CB62" s="74"/>
      <c r="CC62" s="74"/>
      <c r="CD62" s="74"/>
      <c r="CK62" s="100">
        <f t="shared" si="3"/>
        <v>0</v>
      </c>
      <c r="CL62" s="130"/>
      <c r="CY62" s="100">
        <f t="shared" si="7"/>
        <v>0</v>
      </c>
      <c r="DL62" s="100">
        <f t="shared" si="8"/>
        <v>0</v>
      </c>
    </row>
    <row r="63" spans="2:116">
      <c r="B63" s="1" t="s">
        <v>142</v>
      </c>
      <c r="C63" s="102"/>
      <c r="D63" s="102"/>
      <c r="E63" s="102"/>
      <c r="F63" s="102"/>
      <c r="G63" s="102"/>
      <c r="H63" s="102"/>
      <c r="I63" s="102"/>
      <c r="J63" s="102"/>
      <c r="K63" s="102"/>
      <c r="L63" s="102"/>
      <c r="M63" s="102"/>
      <c r="N63" s="102"/>
      <c r="O63" s="40">
        <f t="shared" si="0"/>
        <v>0</v>
      </c>
      <c r="P63" s="73"/>
      <c r="Q63" s="73"/>
      <c r="R63" s="73"/>
      <c r="S63" s="73"/>
      <c r="T63" s="73"/>
      <c r="U63" s="73"/>
      <c r="V63" s="67"/>
      <c r="W63" s="68"/>
      <c r="X63" s="68">
        <v>21889.39</v>
      </c>
      <c r="Y63" s="73"/>
      <c r="Z63" s="67">
        <f>12963.73-25.93</f>
        <v>12937.8</v>
      </c>
      <c r="AA63" s="67"/>
      <c r="AB63" s="336">
        <f t="shared" si="1"/>
        <v>34827.19</v>
      </c>
      <c r="AC63" s="115"/>
      <c r="AD63" s="69"/>
      <c r="AE63" s="85"/>
      <c r="AF63" s="69"/>
      <c r="AG63" s="90"/>
      <c r="AH63" s="84"/>
      <c r="AI63" s="84"/>
      <c r="AJ63" s="84"/>
      <c r="AK63" s="89">
        <f t="shared" si="4"/>
        <v>0</v>
      </c>
      <c r="AL63" s="69"/>
      <c r="AM63" s="153">
        <f>7522*2/1.177</f>
        <v>12781.648258283773</v>
      </c>
      <c r="AN63" s="84"/>
      <c r="AO63" s="84"/>
      <c r="AP63" s="69"/>
      <c r="AQ63" s="74"/>
      <c r="AR63" s="74"/>
      <c r="AS63" s="74"/>
      <c r="AT63" s="74"/>
      <c r="AU63" s="69">
        <f>45126*0</f>
        <v>0</v>
      </c>
      <c r="AV63" s="69"/>
      <c r="AW63" s="69"/>
      <c r="AX63" s="100">
        <f t="shared" si="18"/>
        <v>12781.648258283773</v>
      </c>
      <c r="AY63" s="115"/>
      <c r="AZ63" s="67">
        <f>9804.98*2/1.1645</f>
        <v>16839.811077715756</v>
      </c>
      <c r="BA63" s="74"/>
      <c r="BB63" s="95"/>
      <c r="BC63" s="69"/>
      <c r="BD63" s="69"/>
      <c r="BE63" s="69"/>
      <c r="BF63" s="69"/>
      <c r="BG63" s="69"/>
      <c r="BH63" s="72"/>
      <c r="BI63" s="69"/>
      <c r="BJ63" s="197"/>
      <c r="BK63" s="100">
        <f t="shared" si="9"/>
        <v>16839.811077715756</v>
      </c>
      <c r="BL63" s="202"/>
      <c r="BM63" s="179"/>
      <c r="BN63" s="215"/>
      <c r="BO63" s="179"/>
      <c r="BP63" s="179"/>
      <c r="BQ63" s="215"/>
      <c r="BR63" s="179"/>
      <c r="BS63" s="179"/>
      <c r="BT63" s="179"/>
      <c r="BU63" s="179"/>
      <c r="BV63" s="179"/>
      <c r="BW63" s="237"/>
      <c r="BX63" s="100">
        <f t="shared" si="6"/>
        <v>0</v>
      </c>
      <c r="BY63" s="74"/>
      <c r="BZ63" s="74"/>
      <c r="CA63" s="74"/>
      <c r="CB63" s="74"/>
      <c r="CC63" s="74"/>
      <c r="CD63" s="74"/>
      <c r="CK63" s="100">
        <f t="shared" si="3"/>
        <v>0</v>
      </c>
      <c r="CL63" s="130"/>
      <c r="CY63" s="100">
        <f t="shared" si="7"/>
        <v>0</v>
      </c>
      <c r="DL63" s="100">
        <f t="shared" si="8"/>
        <v>0</v>
      </c>
    </row>
    <row r="64" spans="2:116">
      <c r="B64" s="1" t="s">
        <v>172</v>
      </c>
      <c r="C64" s="102"/>
      <c r="D64" s="102"/>
      <c r="E64" s="102"/>
      <c r="F64" s="102"/>
      <c r="G64" s="102"/>
      <c r="H64" s="102"/>
      <c r="I64" s="102"/>
      <c r="J64" s="102"/>
      <c r="K64" s="102"/>
      <c r="L64" s="102"/>
      <c r="M64" s="102"/>
      <c r="N64" s="102"/>
      <c r="O64" s="40">
        <f t="shared" si="0"/>
        <v>0</v>
      </c>
      <c r="P64" s="73"/>
      <c r="Q64" s="73"/>
      <c r="R64" s="73"/>
      <c r="S64" s="73"/>
      <c r="T64" s="73"/>
      <c r="U64" s="73"/>
      <c r="V64" s="67"/>
      <c r="W64" s="68"/>
      <c r="X64" s="68"/>
      <c r="Y64" s="73"/>
      <c r="Z64" s="67"/>
      <c r="AA64" s="67"/>
      <c r="AB64" s="336">
        <v>0</v>
      </c>
      <c r="AC64" s="115"/>
      <c r="AD64" s="69"/>
      <c r="AE64" s="85"/>
      <c r="AF64" s="69"/>
      <c r="AG64" s="90"/>
      <c r="AH64" s="84"/>
      <c r="AI64" s="69"/>
      <c r="AJ64" s="69"/>
      <c r="AK64" s="89">
        <f t="shared" si="4"/>
        <v>0</v>
      </c>
      <c r="AL64" s="110">
        <f>5659/1.1787</f>
        <v>4801.0520064477814</v>
      </c>
      <c r="AM64" s="74"/>
      <c r="AN64" s="74"/>
      <c r="AO64" s="95">
        <f>8500*0.75*0.9/1.2267-1</f>
        <v>4676.1826852531185</v>
      </c>
      <c r="AP64" s="74"/>
      <c r="AQ64" s="74"/>
      <c r="AR64" s="74"/>
      <c r="AS64" s="74"/>
      <c r="AT64" s="95">
        <f>(2625*0.9)/1.2201</f>
        <v>1936.31669535284</v>
      </c>
      <c r="AU64" s="69">
        <f>+AU63*0.15</f>
        <v>0</v>
      </c>
      <c r="AV64" s="69"/>
      <c r="AW64" s="69"/>
      <c r="AX64" s="100">
        <f t="shared" si="18"/>
        <v>11413.55138705374</v>
      </c>
      <c r="AY64" s="115"/>
      <c r="AZ64" s="74"/>
      <c r="BA64" s="74"/>
      <c r="BB64" s="67">
        <f>(9804.98*0.75-735.37)/1.1291</f>
        <v>5861.6287308475776</v>
      </c>
      <c r="BC64" s="69"/>
      <c r="BD64" s="74"/>
      <c r="BE64" s="189">
        <f>(637.5+262.5)/1.225073</f>
        <v>734.65009840229925</v>
      </c>
      <c r="BF64" s="94"/>
      <c r="BG64" s="69"/>
      <c r="BH64" s="72"/>
      <c r="BI64" s="69"/>
      <c r="BJ64" s="197"/>
      <c r="BK64" s="100">
        <f t="shared" si="9"/>
        <v>6596.2788292498772</v>
      </c>
      <c r="BL64" s="202"/>
      <c r="BM64" s="179"/>
      <c r="BN64" s="215"/>
      <c r="BO64" s="74"/>
      <c r="BP64" s="74"/>
      <c r="BQ64" s="216"/>
      <c r="BR64" s="95">
        <f>735.37/1.128664+(20000-2000)/1.0745</f>
        <v>17403.517892122465</v>
      </c>
      <c r="BS64" s="72"/>
      <c r="BT64" s="67"/>
      <c r="BU64" s="74"/>
      <c r="BV64" s="179"/>
      <c r="BW64" s="237"/>
      <c r="BX64" s="100">
        <f t="shared" si="6"/>
        <v>17403.517892122465</v>
      </c>
      <c r="BY64" s="74"/>
      <c r="BZ64" s="74"/>
      <c r="CA64" s="74"/>
      <c r="CB64" s="74"/>
      <c r="CC64" s="74"/>
      <c r="CD64" s="74"/>
      <c r="CF64" s="290">
        <f>(20000-18000)/0.929454</f>
        <v>2151.8009498049391</v>
      </c>
      <c r="CI64" s="290">
        <f>(20000-2000)/1</f>
        <v>18000</v>
      </c>
      <c r="CK64" s="100">
        <f t="shared" si="3"/>
        <v>20151.80094980494</v>
      </c>
      <c r="CL64" s="130"/>
      <c r="CY64" s="100">
        <f t="shared" si="7"/>
        <v>0</v>
      </c>
      <c r="DL64" s="100">
        <f t="shared" si="8"/>
        <v>0</v>
      </c>
    </row>
    <row r="65" spans="2:116">
      <c r="B65" s="1" t="s">
        <v>173</v>
      </c>
      <c r="C65" s="102"/>
      <c r="D65" s="102"/>
      <c r="E65" s="102"/>
      <c r="F65" s="102"/>
      <c r="G65" s="102"/>
      <c r="H65" s="102"/>
      <c r="I65" s="102"/>
      <c r="J65" s="102"/>
      <c r="K65" s="102"/>
      <c r="L65" s="102"/>
      <c r="M65" s="102"/>
      <c r="N65" s="102"/>
      <c r="O65" s="40">
        <f t="shared" si="0"/>
        <v>0</v>
      </c>
      <c r="P65" s="73"/>
      <c r="Q65" s="73"/>
      <c r="R65" s="73"/>
      <c r="S65" s="73"/>
      <c r="T65" s="73"/>
      <c r="U65" s="73"/>
      <c r="V65" s="67"/>
      <c r="W65" s="68"/>
      <c r="X65" s="68"/>
      <c r="Y65" s="73"/>
      <c r="Z65" s="67"/>
      <c r="AA65" s="67"/>
      <c r="AB65" s="336">
        <v>0</v>
      </c>
      <c r="AC65" s="115"/>
      <c r="AD65" s="69"/>
      <c r="AE65" s="85"/>
      <c r="AF65" s="69"/>
      <c r="AG65" s="90"/>
      <c r="AH65" s="84"/>
      <c r="AI65" s="84"/>
      <c r="AJ65" s="69"/>
      <c r="AK65" s="89">
        <f t="shared" si="4"/>
        <v>0</v>
      </c>
      <c r="AL65" s="69"/>
      <c r="AM65" s="153">
        <f>7521.147*1.5/1.173</f>
        <v>9617.8350383631714</v>
      </c>
      <c r="AN65" s="84"/>
      <c r="AO65" s="84"/>
      <c r="AP65" s="69"/>
      <c r="AQ65" s="69"/>
      <c r="AR65" s="69"/>
      <c r="AS65" s="69"/>
      <c r="AT65" s="69"/>
      <c r="AU65" s="69"/>
      <c r="AV65" s="69"/>
      <c r="AW65" s="69"/>
      <c r="AX65" s="100">
        <f t="shared" si="18"/>
        <v>9617.8350383631714</v>
      </c>
      <c r="AY65" s="115"/>
      <c r="AZ65" s="69"/>
      <c r="BA65" s="69"/>
      <c r="BB65" s="69"/>
      <c r="BC65" s="69"/>
      <c r="BD65" s="69"/>
      <c r="BE65" s="69"/>
      <c r="BF65" s="69"/>
      <c r="BG65" s="69"/>
      <c r="BH65" s="72"/>
      <c r="BI65" s="69"/>
      <c r="BJ65" s="197"/>
      <c r="BK65" s="100">
        <f t="shared" si="9"/>
        <v>0</v>
      </c>
      <c r="BL65" s="202"/>
      <c r="BM65" s="179"/>
      <c r="BN65" s="215"/>
      <c r="BO65" s="179"/>
      <c r="BP65" s="179"/>
      <c r="BQ65" s="215"/>
      <c r="BR65" s="179"/>
      <c r="BS65" s="179"/>
      <c r="BT65" s="179"/>
      <c r="BU65" s="179"/>
      <c r="BV65" s="179"/>
      <c r="BW65" s="237"/>
      <c r="BX65" s="100">
        <f t="shared" si="6"/>
        <v>0</v>
      </c>
      <c r="BY65" s="74"/>
      <c r="BZ65" s="74"/>
      <c r="CA65" s="74"/>
      <c r="CB65" s="74"/>
      <c r="CC65" s="74"/>
      <c r="CD65" s="74"/>
      <c r="CK65" s="100">
        <f t="shared" si="3"/>
        <v>0</v>
      </c>
      <c r="CL65" s="130"/>
      <c r="CY65" s="100">
        <f t="shared" si="7"/>
        <v>0</v>
      </c>
      <c r="DL65" s="100">
        <f t="shared" si="8"/>
        <v>0</v>
      </c>
    </row>
    <row r="66" spans="2:116">
      <c r="B66" s="1" t="s">
        <v>174</v>
      </c>
      <c r="C66" s="102"/>
      <c r="D66" s="102"/>
      <c r="E66" s="102"/>
      <c r="F66" s="102"/>
      <c r="G66" s="102"/>
      <c r="H66" s="102"/>
      <c r="I66" s="102"/>
      <c r="J66" s="102"/>
      <c r="K66" s="102"/>
      <c r="L66" s="102"/>
      <c r="M66" s="102"/>
      <c r="N66" s="102"/>
      <c r="O66" s="40">
        <f t="shared" si="0"/>
        <v>0</v>
      </c>
      <c r="P66" s="73"/>
      <c r="Q66" s="73"/>
      <c r="R66" s="73"/>
      <c r="S66" s="73"/>
      <c r="T66" s="73"/>
      <c r="U66" s="73"/>
      <c r="V66" s="67"/>
      <c r="W66" s="68"/>
      <c r="X66" s="68"/>
      <c r="Y66" s="73"/>
      <c r="Z66" s="67"/>
      <c r="AA66" s="67"/>
      <c r="AB66" s="336">
        <v>0</v>
      </c>
      <c r="AC66" s="115"/>
      <c r="AD66" s="69"/>
      <c r="AE66" s="85"/>
      <c r="AF66" s="69"/>
      <c r="AG66" s="90"/>
      <c r="AH66" s="84"/>
      <c r="AI66" s="84"/>
      <c r="AJ66" s="69"/>
      <c r="AK66" s="89">
        <f t="shared" si="4"/>
        <v>0</v>
      </c>
      <c r="AL66" s="69"/>
      <c r="AM66" s="95">
        <f>6768.95+5460</f>
        <v>12228.95</v>
      </c>
      <c r="AN66" s="84"/>
      <c r="AO66" s="84"/>
      <c r="AP66" s="69"/>
      <c r="AQ66" s="69"/>
      <c r="AR66" s="69"/>
      <c r="AS66" s="69"/>
      <c r="AT66" s="69"/>
      <c r="AU66" s="69"/>
      <c r="AV66" s="69"/>
      <c r="AW66" s="69"/>
      <c r="AX66" s="100">
        <f t="shared" si="18"/>
        <v>12228.95</v>
      </c>
      <c r="AY66" s="115"/>
      <c r="AZ66" s="69"/>
      <c r="BA66" s="69"/>
      <c r="BB66" s="69"/>
      <c r="BC66" s="69"/>
      <c r="BD66" s="69"/>
      <c r="BE66" s="69"/>
      <c r="BF66" s="69"/>
      <c r="BG66" s="67">
        <f>4083.177*1.05</f>
        <v>4287.3358500000004</v>
      </c>
      <c r="BH66" s="68">
        <f>6000*6</f>
        <v>36000</v>
      </c>
      <c r="BI66" s="74"/>
      <c r="BJ66" s="232">
        <v>0</v>
      </c>
      <c r="BK66" s="100">
        <f>SUM(AY66:BJ66)</f>
        <v>40287.335850000003</v>
      </c>
      <c r="BL66" s="202"/>
      <c r="BM66" s="179"/>
      <c r="BN66" s="215"/>
      <c r="BO66" s="179"/>
      <c r="BP66" s="179"/>
      <c r="BQ66" s="215"/>
      <c r="BR66" s="179"/>
      <c r="BS66" s="179"/>
      <c r="BT66" s="179"/>
      <c r="BU66" s="179"/>
      <c r="BV66" s="179"/>
      <c r="BW66" s="237"/>
      <c r="BX66" s="100">
        <f t="shared" si="6"/>
        <v>0</v>
      </c>
      <c r="BY66" s="74"/>
      <c r="BZ66" s="74"/>
      <c r="CA66" s="74"/>
      <c r="CB66" s="74"/>
      <c r="CC66" s="74"/>
      <c r="CD66" s="74"/>
      <c r="CK66" s="100">
        <f t="shared" si="3"/>
        <v>0</v>
      </c>
      <c r="CL66" s="130"/>
      <c r="CY66" s="100">
        <f t="shared" si="7"/>
        <v>0</v>
      </c>
      <c r="DL66" s="100">
        <f t="shared" si="8"/>
        <v>0</v>
      </c>
    </row>
    <row r="67" spans="2:116">
      <c r="B67" s="1" t="s">
        <v>13</v>
      </c>
      <c r="C67" s="102"/>
      <c r="D67" s="102"/>
      <c r="E67" s="102"/>
      <c r="F67" s="102"/>
      <c r="G67" s="102"/>
      <c r="H67" s="102"/>
      <c r="I67" s="102"/>
      <c r="J67" s="102"/>
      <c r="K67" s="102"/>
      <c r="L67" s="102"/>
      <c r="M67" s="102"/>
      <c r="N67" s="102"/>
      <c r="O67" s="40"/>
      <c r="P67" s="73"/>
      <c r="Q67" s="73"/>
      <c r="R67" s="73"/>
      <c r="S67" s="73"/>
      <c r="T67" s="73"/>
      <c r="U67" s="73"/>
      <c r="V67" s="67"/>
      <c r="W67" s="68"/>
      <c r="X67" s="68"/>
      <c r="Y67" s="73"/>
      <c r="Z67" s="67"/>
      <c r="AA67" s="67"/>
      <c r="AB67" s="336">
        <f t="shared" si="1"/>
        <v>0</v>
      </c>
      <c r="AC67" s="115"/>
      <c r="AD67" s="69"/>
      <c r="AE67" s="85"/>
      <c r="AF67" s="69"/>
      <c r="AG67" s="90"/>
      <c r="AH67" s="84"/>
      <c r="AI67" s="84"/>
      <c r="AJ67" s="69"/>
      <c r="AK67" s="89">
        <f t="shared" si="4"/>
        <v>0</v>
      </c>
      <c r="AL67" s="69"/>
      <c r="AM67" s="74"/>
      <c r="AN67" s="74"/>
      <c r="AO67" s="74"/>
      <c r="AP67" s="74"/>
      <c r="AQ67" s="189">
        <f>2859*1</f>
        <v>2859</v>
      </c>
      <c r="AR67" s="69"/>
      <c r="AS67" s="69"/>
      <c r="AT67" s="69"/>
      <c r="AU67" s="69"/>
      <c r="AV67" s="69"/>
      <c r="AW67" s="69"/>
      <c r="AX67" s="100">
        <f t="shared" si="18"/>
        <v>2859</v>
      </c>
      <c r="AY67" s="115"/>
      <c r="AZ67" s="69"/>
      <c r="BA67" s="69"/>
      <c r="BB67" s="69"/>
      <c r="BC67" s="69"/>
      <c r="BD67" s="69"/>
      <c r="BE67" s="69"/>
      <c r="BF67" s="69"/>
      <c r="BG67" s="69"/>
      <c r="BH67" s="69"/>
      <c r="BI67" s="69"/>
      <c r="BJ67" s="197"/>
      <c r="BK67" s="100">
        <f t="shared" si="9"/>
        <v>0</v>
      </c>
      <c r="BL67" s="202"/>
      <c r="BM67" s="179"/>
      <c r="BN67" s="215"/>
      <c r="BO67" s="179"/>
      <c r="BP67" s="179"/>
      <c r="BQ67" s="215"/>
      <c r="BR67" s="179"/>
      <c r="BS67" s="179"/>
      <c r="BT67" s="179"/>
      <c r="BU67" s="179"/>
      <c r="BV67" s="179"/>
      <c r="BW67" s="237"/>
      <c r="BX67" s="100">
        <f t="shared" si="6"/>
        <v>0</v>
      </c>
      <c r="BY67" s="74"/>
      <c r="BZ67" s="74"/>
      <c r="CA67" s="74"/>
      <c r="CB67" s="74"/>
      <c r="CC67" s="74"/>
      <c r="CD67" s="74"/>
      <c r="CK67" s="100">
        <f t="shared" si="3"/>
        <v>0</v>
      </c>
      <c r="CL67" s="130"/>
      <c r="CY67" s="100">
        <f t="shared" si="7"/>
        <v>0</v>
      </c>
      <c r="DL67" s="100">
        <f t="shared" si="8"/>
        <v>0</v>
      </c>
    </row>
    <row r="68" spans="2:116">
      <c r="B68" s="1" t="s">
        <v>175</v>
      </c>
      <c r="C68" s="102"/>
      <c r="D68" s="102"/>
      <c r="E68" s="102"/>
      <c r="F68" s="102"/>
      <c r="G68" s="102"/>
      <c r="H68" s="102"/>
      <c r="I68" s="102"/>
      <c r="J68" s="102"/>
      <c r="K68" s="102"/>
      <c r="L68" s="102"/>
      <c r="M68" s="102"/>
      <c r="N68" s="102"/>
      <c r="O68" s="40"/>
      <c r="P68" s="73"/>
      <c r="Q68" s="73"/>
      <c r="R68" s="73"/>
      <c r="S68" s="73"/>
      <c r="T68" s="73"/>
      <c r="U68" s="73"/>
      <c r="V68" s="67"/>
      <c r="W68" s="68"/>
      <c r="X68" s="68"/>
      <c r="Y68" s="73"/>
      <c r="Z68" s="67"/>
      <c r="AA68" s="67"/>
      <c r="AB68" s="336"/>
      <c r="AC68" s="115"/>
      <c r="AD68" s="69"/>
      <c r="AE68" s="85"/>
      <c r="AF68" s="69"/>
      <c r="AG68" s="90"/>
      <c r="AH68" s="84"/>
      <c r="AI68" s="84"/>
      <c r="AJ68" s="69"/>
      <c r="AK68" s="89"/>
      <c r="AL68" s="69"/>
      <c r="AM68" s="74"/>
      <c r="AN68" s="74"/>
      <c r="AO68" s="74"/>
      <c r="AP68" s="74"/>
      <c r="AQ68" s="189"/>
      <c r="AR68" s="69"/>
      <c r="AS68" s="69"/>
      <c r="AT68" s="69"/>
      <c r="AU68" s="69"/>
      <c r="AV68" s="69"/>
      <c r="AW68" s="69"/>
      <c r="AX68" s="100">
        <f t="shared" si="18"/>
        <v>0</v>
      </c>
      <c r="AY68" s="115"/>
      <c r="AZ68" s="69"/>
      <c r="BA68" s="69"/>
      <c r="BB68" s="69"/>
      <c r="BC68" s="69"/>
      <c r="BD68" s="69"/>
      <c r="BE68" s="69"/>
      <c r="BF68" s="69"/>
      <c r="BG68" s="69"/>
      <c r="BH68" s="68">
        <f>(6000*2.5+8400*10+4083*13.5)/1.0743</f>
        <v>143461.323652611</v>
      </c>
      <c r="BI68" s="69"/>
      <c r="BJ68" s="197"/>
      <c r="BK68" s="100">
        <f>SUM(AY68:BJ68)</f>
        <v>143461.323652611</v>
      </c>
      <c r="BL68" s="179">
        <v>0</v>
      </c>
      <c r="BM68" s="179"/>
      <c r="BN68" s="215"/>
      <c r="BO68" s="74"/>
      <c r="BP68" s="68">
        <f>43400/1.0696</f>
        <v>40575.916230366485</v>
      </c>
      <c r="BQ68" s="216"/>
      <c r="BR68" s="179"/>
      <c r="BS68" s="179"/>
      <c r="BT68" s="179"/>
      <c r="BU68" s="179"/>
      <c r="BV68" s="179"/>
      <c r="BW68" s="237"/>
      <c r="BX68" s="100">
        <f t="shared" si="6"/>
        <v>40575.916230366485</v>
      </c>
      <c r="BY68" s="179"/>
      <c r="BZ68" s="179"/>
      <c r="CA68" s="74"/>
      <c r="CB68" s="74"/>
      <c r="CC68" s="74"/>
      <c r="CD68" s="74"/>
      <c r="CK68" s="100">
        <f t="shared" si="3"/>
        <v>0</v>
      </c>
      <c r="CL68" s="130"/>
      <c r="CY68" s="100">
        <f t="shared" si="7"/>
        <v>0</v>
      </c>
      <c r="DL68" s="100">
        <f t="shared" si="8"/>
        <v>0</v>
      </c>
    </row>
    <row r="69" spans="2:116">
      <c r="B69" s="1" t="s">
        <v>162</v>
      </c>
      <c r="C69" s="102"/>
      <c r="D69" s="102"/>
      <c r="E69" s="102"/>
      <c r="F69" s="102"/>
      <c r="G69" s="102"/>
      <c r="H69" s="102"/>
      <c r="I69" s="102"/>
      <c r="J69" s="102"/>
      <c r="K69" s="102"/>
      <c r="L69" s="102"/>
      <c r="M69" s="102"/>
      <c r="N69" s="102"/>
      <c r="O69" s="40"/>
      <c r="P69" s="73"/>
      <c r="Q69" s="73"/>
      <c r="R69" s="73"/>
      <c r="S69" s="73"/>
      <c r="T69" s="73"/>
      <c r="U69" s="73"/>
      <c r="V69" s="67"/>
      <c r="W69" s="68"/>
      <c r="X69" s="68"/>
      <c r="Y69" s="73"/>
      <c r="Z69" s="67"/>
      <c r="AA69" s="67"/>
      <c r="AB69" s="336"/>
      <c r="AC69" s="115"/>
      <c r="AD69" s="69"/>
      <c r="AE69" s="85"/>
      <c r="AF69" s="69"/>
      <c r="AG69" s="90"/>
      <c r="AH69" s="84"/>
      <c r="AI69" s="84"/>
      <c r="AJ69" s="69"/>
      <c r="AK69" s="89"/>
      <c r="AL69" s="69"/>
      <c r="AM69" s="74"/>
      <c r="AN69" s="74"/>
      <c r="AO69" s="74"/>
      <c r="AP69" s="74"/>
      <c r="AQ69" s="189"/>
      <c r="AR69" s="69"/>
      <c r="AS69" s="69"/>
      <c r="AT69" s="69"/>
      <c r="AU69" s="69"/>
      <c r="AV69" s="69"/>
      <c r="AW69" s="69"/>
      <c r="AX69" s="100"/>
      <c r="AY69" s="115"/>
      <c r="AZ69" s="69"/>
      <c r="BA69" s="69"/>
      <c r="BB69" s="69"/>
      <c r="BC69" s="69"/>
      <c r="BD69" s="69"/>
      <c r="BE69" s="69"/>
      <c r="BF69" s="69"/>
      <c r="BG69" s="69"/>
      <c r="BH69" s="68"/>
      <c r="BI69" s="69"/>
      <c r="BJ69" s="197"/>
      <c r="BK69" s="100">
        <f>SUM(AY69:BJ69)</f>
        <v>0</v>
      </c>
      <c r="BL69" s="179"/>
      <c r="BM69" s="179"/>
      <c r="BN69" s="215"/>
      <c r="BO69" s="74"/>
      <c r="BP69" s="74"/>
      <c r="BQ69" s="216"/>
      <c r="BR69" s="74"/>
      <c r="BS69" s="68">
        <f>20440/1.1042</f>
        <v>18511.139286361165</v>
      </c>
      <c r="BT69" s="74"/>
      <c r="BU69" s="179"/>
      <c r="BV69" s="179"/>
      <c r="BW69" s="237"/>
      <c r="BX69" s="100">
        <f t="shared" si="6"/>
        <v>18511.139286361165</v>
      </c>
      <c r="BY69" s="74"/>
      <c r="BZ69" s="74"/>
      <c r="CA69" s="74"/>
      <c r="CB69" s="74"/>
      <c r="CC69" s="74"/>
      <c r="CD69" s="74"/>
      <c r="CK69" s="100">
        <f t="shared" si="3"/>
        <v>0</v>
      </c>
      <c r="CL69" s="130"/>
      <c r="CY69" s="100">
        <f t="shared" si="7"/>
        <v>0</v>
      </c>
      <c r="DL69" s="100">
        <f t="shared" si="8"/>
        <v>0</v>
      </c>
    </row>
    <row r="70" spans="2:116">
      <c r="B70" s="81" t="s">
        <v>176</v>
      </c>
      <c r="C70" s="102"/>
      <c r="D70" s="102"/>
      <c r="E70" s="102"/>
      <c r="F70" s="102"/>
      <c r="G70" s="102"/>
      <c r="H70" s="102"/>
      <c r="I70" s="102"/>
      <c r="J70" s="102"/>
      <c r="K70" s="102"/>
      <c r="L70" s="102"/>
      <c r="M70" s="102"/>
      <c r="N70" s="102"/>
      <c r="O70" s="40">
        <f t="shared" si="0"/>
        <v>0</v>
      </c>
      <c r="P70" s="73"/>
      <c r="Q70" s="73"/>
      <c r="R70" s="73"/>
      <c r="S70" s="73"/>
      <c r="T70" s="73"/>
      <c r="U70" s="73"/>
      <c r="V70" s="67"/>
      <c r="W70" s="68"/>
      <c r="X70" s="73"/>
      <c r="Y70" s="73"/>
      <c r="Z70" s="69"/>
      <c r="AA70" s="67"/>
      <c r="AB70" s="336"/>
      <c r="AC70" s="115"/>
      <c r="AD70" s="69"/>
      <c r="AE70" s="85"/>
      <c r="AF70" s="69"/>
      <c r="AG70" s="90"/>
      <c r="AH70" s="71"/>
      <c r="AI70" s="90"/>
      <c r="AJ70" s="84"/>
      <c r="AK70" s="89"/>
      <c r="AL70" s="84"/>
      <c r="AM70" s="84"/>
      <c r="AN70" s="84"/>
      <c r="AO70" s="84"/>
      <c r="AP70" s="69"/>
      <c r="AQ70" s="69"/>
      <c r="AR70" s="69"/>
      <c r="AS70" s="69"/>
      <c r="AT70" s="69"/>
      <c r="AU70" s="69"/>
      <c r="AV70" s="69"/>
      <c r="AW70" s="69"/>
      <c r="AX70" s="100"/>
      <c r="AY70" s="115"/>
      <c r="AZ70" s="69"/>
      <c r="BA70" s="69"/>
      <c r="BB70" s="69"/>
      <c r="BC70" s="69"/>
      <c r="BD70" s="69"/>
      <c r="BE70" s="69"/>
      <c r="BF70" s="69"/>
      <c r="BG70" s="69"/>
      <c r="BH70" s="69"/>
      <c r="BI70" s="69"/>
      <c r="BJ70" s="197"/>
      <c r="BK70" s="100"/>
      <c r="BL70" s="202"/>
      <c r="BM70" s="179"/>
      <c r="BN70" s="215"/>
      <c r="BO70" s="179"/>
      <c r="BP70" s="179"/>
      <c r="BQ70" s="215"/>
      <c r="BR70" s="179"/>
      <c r="BS70" s="179"/>
      <c r="BT70" s="179"/>
      <c r="BU70" s="179"/>
      <c r="BV70" s="179"/>
      <c r="BW70" s="237"/>
      <c r="BX70" s="100">
        <f t="shared" si="6"/>
        <v>0</v>
      </c>
      <c r="BY70" s="74"/>
      <c r="BZ70" s="74"/>
      <c r="CA70" s="74"/>
      <c r="CB70" s="74"/>
      <c r="CC70" s="74"/>
      <c r="CD70" s="74"/>
      <c r="CK70" s="100">
        <f t="shared" ref="CK70" si="19">SUM(BY70:CJ70)</f>
        <v>0</v>
      </c>
      <c r="CL70" s="130"/>
      <c r="CY70" s="100">
        <f t="shared" si="7"/>
        <v>0</v>
      </c>
      <c r="DL70" s="100">
        <f t="shared" si="8"/>
        <v>0</v>
      </c>
    </row>
    <row r="71" spans="2:116">
      <c r="B71" s="1" t="s">
        <v>177</v>
      </c>
      <c r="C71" s="102"/>
      <c r="D71" s="102"/>
      <c r="E71" s="102"/>
      <c r="F71" s="102"/>
      <c r="G71" s="102"/>
      <c r="H71" s="102"/>
      <c r="I71" s="102"/>
      <c r="J71" s="102"/>
      <c r="K71" s="102"/>
      <c r="L71" s="102"/>
      <c r="M71" s="102"/>
      <c r="N71" s="102"/>
      <c r="O71" s="40">
        <f t="shared" si="0"/>
        <v>0</v>
      </c>
      <c r="P71" s="73"/>
      <c r="Q71" s="73"/>
      <c r="R71" s="73"/>
      <c r="S71" s="73"/>
      <c r="T71" s="73"/>
      <c r="U71" s="73"/>
      <c r="V71" s="67"/>
      <c r="W71" s="68"/>
      <c r="X71" s="73"/>
      <c r="Y71" s="73"/>
      <c r="Z71" s="69"/>
      <c r="AA71" s="67"/>
      <c r="AB71" s="336">
        <f t="shared" si="1"/>
        <v>0</v>
      </c>
      <c r="AC71" s="115"/>
      <c r="AD71" s="69"/>
      <c r="AE71" s="85"/>
      <c r="AF71" s="69"/>
      <c r="AG71" s="85">
        <f>21420/1.1136</f>
        <v>19234.913793103449</v>
      </c>
      <c r="AH71" s="68">
        <f>-2625/1.1174-75/1.121+(1050+19593+14994)/1.121</f>
        <v>29374.257687217378</v>
      </c>
      <c r="AI71" s="90"/>
      <c r="AJ71" s="84"/>
      <c r="AK71" s="89">
        <f t="shared" si="4"/>
        <v>48609.171480320831</v>
      </c>
      <c r="AL71" s="84"/>
      <c r="AM71" s="90"/>
      <c r="AN71" s="84"/>
      <c r="AO71" s="84"/>
      <c r="AP71" s="69"/>
      <c r="AQ71" s="69"/>
      <c r="AR71" s="69"/>
      <c r="AS71" s="69"/>
      <c r="AT71" s="67">
        <f>92575/1.2081</f>
        <v>76628.590348481084</v>
      </c>
      <c r="AU71" s="67">
        <v>-20000</v>
      </c>
      <c r="AV71" s="67">
        <f>41591-20500</f>
        <v>21091</v>
      </c>
      <c r="AW71" s="67">
        <v>216</v>
      </c>
      <c r="AX71" s="100">
        <f>SUM(AL71:AW71)</f>
        <v>77935.590348481084</v>
      </c>
      <c r="AY71" s="120">
        <f>52200+33560-17360/1.1629</f>
        <v>70831.803250494457</v>
      </c>
      <c r="AZ71" s="179"/>
      <c r="BA71" s="69"/>
      <c r="BB71" s="67">
        <f>701700-93925</f>
        <v>607775</v>
      </c>
      <c r="BC71" s="69"/>
      <c r="BD71" s="69"/>
      <c r="BE71" s="69"/>
      <c r="BF71" s="69"/>
      <c r="BG71" s="67">
        <f>637500-16642.5/1.1328</f>
        <v>622808.52754237293</v>
      </c>
      <c r="BH71" s="69"/>
      <c r="BI71" s="69"/>
      <c r="BJ71" s="67">
        <f>38752/1.0195</f>
        <v>38010.789602746445</v>
      </c>
      <c r="BK71" s="100">
        <f>SUM(AY71:BJ71)</f>
        <v>1339426.1203956138</v>
      </c>
      <c r="BL71" s="202"/>
      <c r="BM71" s="67">
        <f>-19792.08/1.0927</f>
        <v>-18113.004484304933</v>
      </c>
      <c r="BN71" s="244">
        <f>-5952.24/1.0927+26992/1.0366-159215-270000-270000</f>
        <v>-678623.30381885881</v>
      </c>
      <c r="BO71" s="67">
        <f>24375/1.0538</f>
        <v>23130.575061681531</v>
      </c>
      <c r="BP71" s="179"/>
      <c r="BQ71" s="215"/>
      <c r="BR71" s="244">
        <f>5040/1.0586-4480/1.0596</f>
        <v>532.99453105046905</v>
      </c>
      <c r="BS71" s="179"/>
      <c r="BT71" s="179"/>
      <c r="BU71" s="179"/>
      <c r="BV71" s="244">
        <f>-1087.2/1.0821</f>
        <v>-1004.7130579428888</v>
      </c>
      <c r="BW71" s="237"/>
      <c r="BX71" s="100">
        <f t="shared" si="6"/>
        <v>-674077.45176837465</v>
      </c>
      <c r="BY71" s="74"/>
      <c r="BZ71" s="74"/>
      <c r="CA71" s="67">
        <f>600/1.0683-11550/1.0813</f>
        <v>-10119.946989869628</v>
      </c>
      <c r="CB71" s="74"/>
      <c r="CC71" s="67">
        <f>-14114.44+19406.74-60952.97+31291.39+11589.4+11589.4</f>
        <v>-1190.4799999999996</v>
      </c>
      <c r="CD71" s="74"/>
      <c r="CJ71" s="109"/>
      <c r="CK71" s="100">
        <f t="shared" ref="CK71:CK73" si="20">SUM(BY71:CJ71)</f>
        <v>-11310.426989869628</v>
      </c>
      <c r="CL71" s="130"/>
      <c r="CY71" s="100">
        <f t="shared" ref="CY71:CY73" si="21">SUM(CM71:CX71)</f>
        <v>0</v>
      </c>
      <c r="DL71" s="100">
        <f t="shared" ref="DL71:DL73" si="22">SUM(CZ71:DK71)</f>
        <v>0</v>
      </c>
    </row>
    <row r="72" spans="2:116">
      <c r="B72" s="1" t="s">
        <v>178</v>
      </c>
      <c r="C72" s="139"/>
      <c r="D72" s="102"/>
      <c r="E72" s="102"/>
      <c r="F72" s="102"/>
      <c r="G72" s="102"/>
      <c r="H72" s="102"/>
      <c r="I72" s="102"/>
      <c r="J72" s="102"/>
      <c r="K72" s="102"/>
      <c r="L72" s="102"/>
      <c r="M72" s="102"/>
      <c r="N72" s="102"/>
      <c r="O72" s="40">
        <f t="shared" si="0"/>
        <v>0</v>
      </c>
      <c r="P72" s="73"/>
      <c r="Q72" s="73"/>
      <c r="R72" s="73"/>
      <c r="S72" s="73"/>
      <c r="T72" s="73"/>
      <c r="U72" s="73"/>
      <c r="V72" s="67"/>
      <c r="W72" s="68"/>
      <c r="X72" s="73"/>
      <c r="Y72" s="73"/>
      <c r="Z72" s="69"/>
      <c r="AA72" s="67"/>
      <c r="AB72" s="336">
        <f t="shared" si="1"/>
        <v>0</v>
      </c>
      <c r="AC72" s="115"/>
      <c r="AD72" s="69"/>
      <c r="AE72" s="85"/>
      <c r="AF72" s="68"/>
      <c r="AG72" s="90"/>
      <c r="AH72" s="71"/>
      <c r="AI72" s="90"/>
      <c r="AJ72" s="84"/>
      <c r="AK72" s="89">
        <f t="shared" si="4"/>
        <v>0</v>
      </c>
      <c r="AL72" s="84"/>
      <c r="AM72" s="90"/>
      <c r="AN72" s="84"/>
      <c r="AO72" s="84"/>
      <c r="AP72" s="69"/>
      <c r="AQ72" s="69"/>
      <c r="AR72" s="69"/>
      <c r="AS72" s="69"/>
      <c r="AT72" s="69"/>
      <c r="AU72" s="69"/>
      <c r="AV72" s="69"/>
      <c r="AW72" s="69"/>
      <c r="AX72" s="100">
        <f t="shared" si="11"/>
        <v>0</v>
      </c>
      <c r="AY72" s="115"/>
      <c r="AZ72" s="69"/>
      <c r="BA72" s="69"/>
      <c r="BB72" s="69"/>
      <c r="BC72" s="69"/>
      <c r="BD72" s="69"/>
      <c r="BE72" s="69"/>
      <c r="BF72" s="69"/>
      <c r="BG72" s="69"/>
      <c r="BH72" s="69"/>
      <c r="BI72" s="69"/>
      <c r="BJ72" s="197"/>
      <c r="BK72" s="100">
        <f t="shared" si="9"/>
        <v>0</v>
      </c>
      <c r="BL72" s="115"/>
      <c r="BM72" s="69"/>
      <c r="BN72" s="213"/>
      <c r="BO72" s="69"/>
      <c r="BP72" s="69"/>
      <c r="BQ72" s="213"/>
      <c r="BR72" s="69"/>
      <c r="BS72" s="69"/>
      <c r="BT72" s="69"/>
      <c r="BU72" s="69"/>
      <c r="BV72" s="69"/>
      <c r="BW72" s="197"/>
      <c r="BX72" s="100">
        <f t="shared" si="6"/>
        <v>0</v>
      </c>
      <c r="BY72" s="74"/>
      <c r="BZ72" s="74"/>
      <c r="CA72" s="74"/>
      <c r="CB72" s="74"/>
      <c r="CC72" s="74"/>
      <c r="CD72" s="74"/>
      <c r="CK72" s="100">
        <f t="shared" si="20"/>
        <v>0</v>
      </c>
      <c r="CL72" s="130"/>
      <c r="CY72" s="100">
        <f t="shared" si="21"/>
        <v>0</v>
      </c>
      <c r="DL72" s="100">
        <f t="shared" si="22"/>
        <v>0</v>
      </c>
    </row>
    <row r="73" spans="2:116" s="13" customFormat="1">
      <c r="B73" s="140" t="s">
        <v>179</v>
      </c>
      <c r="C73" s="103">
        <v>1000</v>
      </c>
      <c r="D73" s="103"/>
      <c r="E73" s="103"/>
      <c r="F73" s="103"/>
      <c r="G73" s="103"/>
      <c r="H73" s="103"/>
      <c r="I73" s="103"/>
      <c r="J73" s="103"/>
      <c r="K73" s="103"/>
      <c r="L73" s="103"/>
      <c r="M73" s="103"/>
      <c r="N73" s="103"/>
      <c r="O73" s="41"/>
      <c r="P73" s="76"/>
      <c r="Q73" s="76"/>
      <c r="R73" s="76"/>
      <c r="S73" s="76"/>
      <c r="T73" s="76"/>
      <c r="U73" s="76"/>
      <c r="V73" s="77"/>
      <c r="W73" s="112"/>
      <c r="X73" s="78"/>
      <c r="Y73" s="78"/>
      <c r="Z73" s="78"/>
      <c r="AA73" s="78"/>
      <c r="AB73" s="337">
        <f t="shared" si="1"/>
        <v>0</v>
      </c>
      <c r="AC73" s="204"/>
      <c r="AD73" s="86"/>
      <c r="AE73" s="86"/>
      <c r="AF73" s="231"/>
      <c r="AG73" s="112"/>
      <c r="AH73" s="86"/>
      <c r="AI73" s="86"/>
      <c r="AJ73" s="86"/>
      <c r="AK73" s="87">
        <f t="shared" si="4"/>
        <v>0</v>
      </c>
      <c r="AL73" s="86"/>
      <c r="AM73" s="86"/>
      <c r="AN73" s="86"/>
      <c r="AO73" s="86"/>
      <c r="AP73" s="112"/>
      <c r="AQ73" s="112"/>
      <c r="AR73" s="112"/>
      <c r="AS73" s="112"/>
      <c r="AT73" s="112"/>
      <c r="AU73" s="112"/>
      <c r="AV73" s="112"/>
      <c r="AW73" s="112"/>
      <c r="AX73" s="111"/>
      <c r="AY73" s="204"/>
      <c r="AZ73" s="112"/>
      <c r="BA73" s="112"/>
      <c r="BB73" s="112"/>
      <c r="BC73" s="112"/>
      <c r="BD73" s="112"/>
      <c r="BE73" s="112"/>
      <c r="BF73" s="112"/>
      <c r="BG73" s="112"/>
      <c r="BH73" s="112"/>
      <c r="BI73" s="112"/>
      <c r="BJ73" s="198"/>
      <c r="BK73" s="111">
        <f>SUM(AY73:BJ73)</f>
        <v>0</v>
      </c>
      <c r="BL73" s="204"/>
      <c r="BM73" s="112"/>
      <c r="BN73" s="246"/>
      <c r="BO73" s="112"/>
      <c r="BP73" s="112"/>
      <c r="BQ73" s="246"/>
      <c r="BR73" s="112"/>
      <c r="BS73" s="112"/>
      <c r="BT73" s="112"/>
      <c r="BU73" s="112"/>
      <c r="BV73" s="112"/>
      <c r="BW73" s="198"/>
      <c r="BX73" s="111">
        <f t="shared" si="6"/>
        <v>0</v>
      </c>
      <c r="BY73" s="440"/>
      <c r="BZ73" s="440"/>
      <c r="CA73" s="440"/>
      <c r="CB73" s="440"/>
      <c r="CC73" s="440"/>
      <c r="CD73" s="440"/>
      <c r="CK73" s="111">
        <f t="shared" si="20"/>
        <v>0</v>
      </c>
      <c r="CL73" s="132"/>
      <c r="CY73" s="111">
        <f t="shared" si="21"/>
        <v>0</v>
      </c>
      <c r="DL73" s="111">
        <f t="shared" si="22"/>
        <v>0</v>
      </c>
    </row>
    <row r="74" spans="2:116" s="43" customFormat="1" ht="16.5">
      <c r="B74" s="154" t="s">
        <v>426</v>
      </c>
      <c r="C74" s="155">
        <f t="shared" ref="C74:N74" si="23">SUM(C5:C73)</f>
        <v>16000</v>
      </c>
      <c r="D74" s="155">
        <f t="shared" si="23"/>
        <v>35000</v>
      </c>
      <c r="E74" s="155">
        <f t="shared" si="23"/>
        <v>15000</v>
      </c>
      <c r="F74" s="156">
        <f t="shared" si="23"/>
        <v>0</v>
      </c>
      <c r="G74" s="156">
        <f t="shared" si="23"/>
        <v>4840</v>
      </c>
      <c r="H74" s="156">
        <f t="shared" si="23"/>
        <v>5000</v>
      </c>
      <c r="I74" s="156">
        <f t="shared" si="23"/>
        <v>5000</v>
      </c>
      <c r="J74" s="156">
        <f t="shared" si="23"/>
        <v>10000</v>
      </c>
      <c r="K74" s="156">
        <f t="shared" si="23"/>
        <v>0</v>
      </c>
      <c r="L74" s="156">
        <f t="shared" si="23"/>
        <v>0</v>
      </c>
      <c r="M74" s="155">
        <f t="shared" si="23"/>
        <v>26000</v>
      </c>
      <c r="N74" s="155">
        <f t="shared" si="23"/>
        <v>0</v>
      </c>
      <c r="O74" s="157">
        <f t="shared" si="0"/>
        <v>116840</v>
      </c>
      <c r="P74" s="158">
        <f t="shared" ref="P74:AV74" si="24">SUM(P5:P73)</f>
        <v>50000</v>
      </c>
      <c r="Q74" s="158">
        <f t="shared" si="24"/>
        <v>40760</v>
      </c>
      <c r="R74" s="158">
        <f t="shared" si="24"/>
        <v>13612.5</v>
      </c>
      <c r="S74" s="158">
        <f t="shared" si="24"/>
        <v>22650</v>
      </c>
      <c r="T74" s="158">
        <f t="shared" si="24"/>
        <v>25462.7</v>
      </c>
      <c r="U74" s="158">
        <f t="shared" si="24"/>
        <v>9012.5</v>
      </c>
      <c r="V74" s="158">
        <f t="shared" si="24"/>
        <v>51853.17</v>
      </c>
      <c r="W74" s="159">
        <f t="shared" si="24"/>
        <v>24486.62</v>
      </c>
      <c r="X74" s="158">
        <f t="shared" si="24"/>
        <v>43965.75</v>
      </c>
      <c r="Y74" s="158">
        <f t="shared" si="24"/>
        <v>38625</v>
      </c>
      <c r="Z74" s="158">
        <f t="shared" si="24"/>
        <v>31087.8</v>
      </c>
      <c r="AA74" s="158">
        <f t="shared" si="24"/>
        <v>12778.32</v>
      </c>
      <c r="AB74" s="160">
        <f t="shared" si="24"/>
        <v>364294.36</v>
      </c>
      <c r="AC74" s="262">
        <f t="shared" si="24"/>
        <v>48220.83</v>
      </c>
      <c r="AD74" s="162">
        <f t="shared" si="24"/>
        <v>52830.32</v>
      </c>
      <c r="AE74" s="162">
        <f t="shared" si="24"/>
        <v>39000</v>
      </c>
      <c r="AF74" s="162">
        <f t="shared" si="24"/>
        <v>26074.41</v>
      </c>
      <c r="AG74" s="162">
        <f t="shared" si="24"/>
        <v>70790.354541806184</v>
      </c>
      <c r="AH74" s="162">
        <f t="shared" si="24"/>
        <v>42463.313956601516</v>
      </c>
      <c r="AI74" s="162">
        <f t="shared" si="24"/>
        <v>46654.299379738113</v>
      </c>
      <c r="AJ74" s="162">
        <f t="shared" si="24"/>
        <v>18500</v>
      </c>
      <c r="AK74" s="161">
        <f t="shared" si="24"/>
        <v>344533.5278781458</v>
      </c>
      <c r="AL74" s="162">
        <f t="shared" si="24"/>
        <v>56309.052006447782</v>
      </c>
      <c r="AM74" s="162">
        <f t="shared" si="24"/>
        <v>82185.933296646937</v>
      </c>
      <c r="AN74" s="162">
        <f t="shared" si="24"/>
        <v>38500</v>
      </c>
      <c r="AO74" s="162">
        <f t="shared" si="24"/>
        <v>11448.474985253117</v>
      </c>
      <c r="AP74" s="162">
        <f t="shared" si="24"/>
        <v>70203.845549151767</v>
      </c>
      <c r="AQ74" s="162">
        <f t="shared" si="24"/>
        <v>13376.867647058823</v>
      </c>
      <c r="AR74" s="162">
        <f>SUM(AR5:AR73)</f>
        <v>42500</v>
      </c>
      <c r="AS74" s="162">
        <f t="shared" si="24"/>
        <v>12492.712584325809</v>
      </c>
      <c r="AT74" s="162">
        <f t="shared" si="24"/>
        <v>109982.24918983609</v>
      </c>
      <c r="AU74" s="162">
        <f>SUM(AU5:AU73)</f>
        <v>1000</v>
      </c>
      <c r="AV74" s="162">
        <f t="shared" si="24"/>
        <v>82287.354210928868</v>
      </c>
      <c r="AW74" s="162">
        <f>SUM(AW5:AW73)</f>
        <v>35872.237218813905</v>
      </c>
      <c r="AX74" s="186">
        <f>SUM(AX4:AX73)</f>
        <v>556158.72668846312</v>
      </c>
      <c r="AY74" s="205">
        <f>SUM(AY5:AY73)</f>
        <v>100831.80325049446</v>
      </c>
      <c r="AZ74" s="208">
        <f t="shared" ref="AZ74:BG74" si="25">SUM(AZ5:AZ73)</f>
        <v>59361.532273482611</v>
      </c>
      <c r="BA74" s="208">
        <f>SUM(BA5:BA73)</f>
        <v>74138.986629134408</v>
      </c>
      <c r="BB74" s="208">
        <f t="shared" si="25"/>
        <v>645636.62873084762</v>
      </c>
      <c r="BC74" s="208">
        <f>SUM(BC5:BC73)</f>
        <v>25471.577060931901</v>
      </c>
      <c r="BD74" s="208">
        <f t="shared" si="25"/>
        <v>34537.5</v>
      </c>
      <c r="BE74" s="208">
        <f t="shared" si="25"/>
        <v>73384.650098402301</v>
      </c>
      <c r="BF74" s="208">
        <f t="shared" si="25"/>
        <v>111695.32941711858</v>
      </c>
      <c r="BG74" s="208">
        <f t="shared" si="25"/>
        <v>633946.49053034326</v>
      </c>
      <c r="BH74" s="208">
        <f>SUM(BH5:BH73)</f>
        <v>211205.20767274898</v>
      </c>
      <c r="BI74" s="208">
        <f>SUM(BI5:BI73)</f>
        <v>39751.922447855999</v>
      </c>
      <c r="BJ74" s="233">
        <f>SUM(BJ5:BJ73)</f>
        <v>66010.789602746445</v>
      </c>
      <c r="BK74" s="186">
        <f>SUM(BK4:BK73)</f>
        <v>2075972.4177141064</v>
      </c>
      <c r="BL74" s="205">
        <f t="shared" ref="BL74:BW74" si="26">SUM(BL5:BL73)</f>
        <v>34000</v>
      </c>
      <c r="BM74" s="208">
        <f>SUM(BM5:BM73)</f>
        <v>17243.254465316386</v>
      </c>
      <c r="BN74" s="208">
        <f>SUM(BN5:BN73)</f>
        <v>-611998.30381885881</v>
      </c>
      <c r="BO74" s="208">
        <f>SUM(BO5:BO73)</f>
        <v>45630.575061681535</v>
      </c>
      <c r="BP74" s="208">
        <f>SUM(BP5:BP73)</f>
        <v>116325.44388330603</v>
      </c>
      <c r="BQ74" s="274">
        <f t="shared" si="26"/>
        <v>49058.561761513833</v>
      </c>
      <c r="BR74" s="208">
        <f t="shared" si="26"/>
        <v>129337.52916399957</v>
      </c>
      <c r="BS74" s="208">
        <f>SUM(BS5:BS73)</f>
        <v>104496.17435192192</v>
      </c>
      <c r="BT74" s="208">
        <f t="shared" si="26"/>
        <v>0</v>
      </c>
      <c r="BU74" s="208">
        <f t="shared" si="26"/>
        <v>16815.793078257695</v>
      </c>
      <c r="BV74" s="208">
        <f t="shared" si="26"/>
        <v>28708.009611376219</v>
      </c>
      <c r="BW74" s="233">
        <f t="shared" si="26"/>
        <v>61273.33</v>
      </c>
      <c r="BX74" s="273">
        <f>SUM(BL74:BW74)</f>
        <v>-9109.6324414856063</v>
      </c>
      <c r="BY74" s="208">
        <f>SUM(BY5:BY73)</f>
        <v>32688.785571890112</v>
      </c>
      <c r="BZ74" s="208">
        <f t="shared" ref="BZ74:CA74" si="27">SUM(BZ5:BZ73)</f>
        <v>79900.912261431615</v>
      </c>
      <c r="CA74" s="208">
        <f t="shared" si="27"/>
        <v>42825.233160954318</v>
      </c>
      <c r="CB74" s="208">
        <f t="shared" ref="CB74" si="28">SUM(CB5:CB73)</f>
        <v>43500</v>
      </c>
      <c r="CC74" s="208">
        <f t="shared" ref="CC74" si="29">SUM(CC5:CC73)</f>
        <v>79921.479217415268</v>
      </c>
      <c r="CD74" s="208">
        <f t="shared" ref="CD74" si="30">SUM(CD5:CD73)</f>
        <v>63280.332780564167</v>
      </c>
      <c r="CE74" s="187">
        <f t="shared" ref="CE74" si="31">SUM(CE5:CE73)</f>
        <v>4535.438854204921</v>
      </c>
      <c r="CF74" s="187">
        <f t="shared" ref="CF74" si="32">SUM(CF5:CF73)</f>
        <v>121011.80094980494</v>
      </c>
      <c r="CG74" s="187">
        <f t="shared" ref="CG74" si="33">SUM(CG5:CG73)</f>
        <v>45409</v>
      </c>
      <c r="CH74" s="187">
        <f t="shared" ref="CH74" si="34">SUM(CH5:CH73)</f>
        <v>22210</v>
      </c>
      <c r="CI74" s="187">
        <f t="shared" ref="CI74" si="35">SUM(CI5:CI73)</f>
        <v>71460</v>
      </c>
      <c r="CJ74" s="187">
        <f t="shared" ref="CJ74" si="36">SUM(CJ5:CJ73)</f>
        <v>27460</v>
      </c>
      <c r="CK74" s="186">
        <f>SUM(CK4:CK73)</f>
        <v>634202.98279626551</v>
      </c>
      <c r="CL74" s="379"/>
      <c r="CM74" s="187">
        <f>SUM(CM5:CM73)</f>
        <v>4960</v>
      </c>
      <c r="CN74" s="187">
        <f t="shared" ref="CN74:CX74" si="37">SUM(CN5:CN73)</f>
        <v>32460</v>
      </c>
      <c r="CO74" s="187">
        <f t="shared" si="37"/>
        <v>72110</v>
      </c>
      <c r="CP74" s="187">
        <f t="shared" si="37"/>
        <v>35960</v>
      </c>
      <c r="CQ74" s="187">
        <f t="shared" si="37"/>
        <v>115460</v>
      </c>
      <c r="CR74" s="187">
        <f t="shared" si="37"/>
        <v>55700</v>
      </c>
      <c r="CS74" s="187">
        <f t="shared" si="37"/>
        <v>66000</v>
      </c>
      <c r="CT74" s="187">
        <f t="shared" si="37"/>
        <v>67500</v>
      </c>
      <c r="CU74" s="187">
        <f t="shared" si="37"/>
        <v>0</v>
      </c>
      <c r="CV74" s="187">
        <f t="shared" si="37"/>
        <v>17250</v>
      </c>
      <c r="CW74" s="187">
        <f t="shared" si="37"/>
        <v>48500</v>
      </c>
      <c r="CX74" s="187">
        <f t="shared" si="37"/>
        <v>28500</v>
      </c>
      <c r="CY74" s="186">
        <f>SUM(CY4:CY73)</f>
        <v>544400</v>
      </c>
      <c r="DL74" s="186">
        <f>SUM(DL4:DL73)</f>
        <v>497600</v>
      </c>
    </row>
    <row r="75" spans="2:116">
      <c r="C75" s="139"/>
      <c r="D75" s="139"/>
      <c r="E75" s="139"/>
      <c r="F75" s="4"/>
      <c r="G75" s="4"/>
      <c r="H75" s="4"/>
      <c r="I75" s="4"/>
      <c r="J75" s="4"/>
      <c r="K75" s="4"/>
      <c r="L75" s="4"/>
      <c r="M75" s="139"/>
      <c r="N75" s="139"/>
      <c r="O75" s="40"/>
      <c r="P75" s="69"/>
      <c r="Q75" s="69"/>
      <c r="R75" s="69"/>
      <c r="S75" s="69"/>
      <c r="T75" s="69"/>
      <c r="U75" s="69"/>
      <c r="V75" s="69"/>
      <c r="W75" s="72"/>
      <c r="X75" s="69"/>
      <c r="Y75" s="69"/>
      <c r="Z75" s="69"/>
      <c r="AA75" s="69"/>
      <c r="AB75" s="114"/>
      <c r="AC75" s="115"/>
      <c r="AD75" s="69"/>
      <c r="AE75" s="69"/>
      <c r="AF75" s="69"/>
      <c r="AG75" s="69"/>
      <c r="AH75" s="69"/>
      <c r="AI75" s="69"/>
      <c r="AJ75" s="69"/>
      <c r="AK75" s="100"/>
      <c r="AL75" s="69"/>
      <c r="AM75" s="69"/>
      <c r="AN75" s="69"/>
      <c r="AO75" s="69"/>
      <c r="AP75" s="69"/>
      <c r="AQ75" s="69"/>
      <c r="AR75" s="69"/>
      <c r="AS75" s="69"/>
      <c r="AT75" s="69"/>
      <c r="AU75" s="69"/>
      <c r="AV75" s="69"/>
      <c r="AW75" s="69"/>
      <c r="AX75" s="116">
        <f>SUM(AL74:AW74)-AX74</f>
        <v>0</v>
      </c>
      <c r="AY75" s="115"/>
      <c r="AZ75" s="69"/>
      <c r="BA75" s="69"/>
      <c r="BB75" s="69"/>
      <c r="BC75" s="69"/>
      <c r="BD75" s="69"/>
      <c r="BE75" s="69"/>
      <c r="BF75" s="69"/>
      <c r="BG75" s="69"/>
      <c r="BH75" s="69"/>
      <c r="BI75" s="69"/>
      <c r="BJ75" s="197"/>
      <c r="BK75" s="116">
        <f>SUM(AY74:BJ74)-BK74</f>
        <v>0</v>
      </c>
      <c r="BL75" s="115"/>
      <c r="BM75" s="69"/>
      <c r="BN75" s="69"/>
      <c r="BO75" s="69"/>
      <c r="BP75" s="69"/>
      <c r="BQ75" s="213"/>
      <c r="BR75" s="69"/>
      <c r="BS75" s="69"/>
      <c r="BT75" s="69"/>
      <c r="BU75" s="69"/>
      <c r="BV75" s="69"/>
      <c r="BW75" s="197"/>
      <c r="BX75" s="100">
        <f t="shared" ref="BX75:BX130" si="38">SUM(BL75:BW75)</f>
        <v>0</v>
      </c>
      <c r="BY75" s="74"/>
      <c r="BZ75" s="74"/>
      <c r="CA75" s="74"/>
      <c r="CB75" s="74"/>
      <c r="CC75" s="74"/>
      <c r="CD75" s="74"/>
      <c r="CK75" s="116">
        <f>SUM(BY74:CJ74)-CK74</f>
        <v>0</v>
      </c>
      <c r="CL75" s="380"/>
      <c r="CY75" s="116">
        <f>SUM(CM74:CX74)-CY74</f>
        <v>0</v>
      </c>
      <c r="DL75" s="116">
        <f>SUM(CZ74:DK74)-DL74</f>
        <v>-497600</v>
      </c>
    </row>
    <row r="76" spans="2:116">
      <c r="B76" s="31" t="s">
        <v>181</v>
      </c>
      <c r="C76" s="139"/>
      <c r="D76" s="139"/>
      <c r="E76" s="139"/>
      <c r="F76" s="4"/>
      <c r="G76" s="4"/>
      <c r="H76" s="4"/>
      <c r="I76" s="4"/>
      <c r="J76" s="4"/>
      <c r="K76" s="4"/>
      <c r="L76" s="4"/>
      <c r="M76" s="139"/>
      <c r="N76" s="139"/>
      <c r="O76" s="40"/>
      <c r="P76" s="69"/>
      <c r="Q76" s="69"/>
      <c r="R76" s="69"/>
      <c r="S76" s="69"/>
      <c r="T76" s="69"/>
      <c r="U76" s="69"/>
      <c r="V76" s="69"/>
      <c r="W76" s="72"/>
      <c r="X76" s="69"/>
      <c r="Y76" s="69"/>
      <c r="Z76" s="69"/>
      <c r="AA76" s="69"/>
      <c r="AB76" s="114"/>
      <c r="AC76" s="115"/>
      <c r="AD76" s="69"/>
      <c r="AE76" s="69"/>
      <c r="AF76" s="69"/>
      <c r="AG76" s="69"/>
      <c r="AH76" s="69"/>
      <c r="AI76" s="69"/>
      <c r="AJ76" s="69"/>
      <c r="AK76" s="100"/>
      <c r="AL76" s="69"/>
      <c r="AM76" s="69"/>
      <c r="AN76" s="69"/>
      <c r="AO76" s="69"/>
      <c r="AP76" s="69"/>
      <c r="AQ76" s="69"/>
      <c r="AR76" s="69"/>
      <c r="AS76" s="69"/>
      <c r="AT76" s="69"/>
      <c r="AU76" s="69"/>
      <c r="AV76" s="69"/>
      <c r="AW76" s="69"/>
      <c r="AX76" s="100"/>
      <c r="AY76" s="115"/>
      <c r="AZ76" s="69"/>
      <c r="BA76" s="69"/>
      <c r="BB76" s="69"/>
      <c r="BC76" s="69"/>
      <c r="BD76" s="69"/>
      <c r="BE76" s="69"/>
      <c r="BF76" s="69"/>
      <c r="BG76" s="69"/>
      <c r="BH76" s="69"/>
      <c r="BI76" s="69"/>
      <c r="BJ76" s="197"/>
      <c r="BK76" s="100"/>
      <c r="BL76" s="202"/>
      <c r="BM76" s="179"/>
      <c r="BN76" s="179"/>
      <c r="BO76" s="179"/>
      <c r="BP76" s="179"/>
      <c r="BQ76" s="215"/>
      <c r="BR76" s="179"/>
      <c r="BS76" s="179"/>
      <c r="BT76" s="179"/>
      <c r="BU76" s="179"/>
      <c r="BV76" s="179"/>
      <c r="BW76" s="237"/>
      <c r="BX76" s="100"/>
      <c r="BY76" s="74"/>
      <c r="BZ76" s="74"/>
      <c r="CA76" s="74"/>
      <c r="CB76" s="74"/>
      <c r="CC76" s="74"/>
      <c r="CD76" s="74"/>
      <c r="CK76" s="100"/>
      <c r="CL76" s="130"/>
      <c r="CY76" s="100"/>
      <c r="DL76" s="100"/>
    </row>
    <row r="77" spans="2:116">
      <c r="B77" s="2" t="s">
        <v>182</v>
      </c>
      <c r="C77" s="139"/>
      <c r="D77" s="139"/>
      <c r="E77" s="139"/>
      <c r="F77" s="4"/>
      <c r="G77" s="4"/>
      <c r="H77" s="4"/>
      <c r="I77" s="4"/>
      <c r="J77" s="4"/>
      <c r="K77" s="4"/>
      <c r="L77" s="4"/>
      <c r="M77" s="139"/>
      <c r="N77" s="139"/>
      <c r="O77" s="40"/>
      <c r="P77" s="69"/>
      <c r="Q77" s="69"/>
      <c r="R77" s="69"/>
      <c r="S77" s="69"/>
      <c r="T77" s="69"/>
      <c r="U77" s="69"/>
      <c r="V77" s="69"/>
      <c r="W77" s="72"/>
      <c r="X77" s="69"/>
      <c r="Y77" s="69"/>
      <c r="Z77" s="69"/>
      <c r="AA77" s="69"/>
      <c r="AB77" s="114"/>
      <c r="AC77" s="115"/>
      <c r="AD77" s="69"/>
      <c r="AE77" s="69"/>
      <c r="AF77" s="69"/>
      <c r="AG77" s="69"/>
      <c r="AH77" s="69"/>
      <c r="AI77" s="69"/>
      <c r="AJ77" s="69"/>
      <c r="AK77" s="100"/>
      <c r="AL77" s="69"/>
      <c r="AM77" s="69"/>
      <c r="AN77" s="69"/>
      <c r="AO77" s="69"/>
      <c r="AP77" s="69"/>
      <c r="AQ77" s="69"/>
      <c r="AR77" s="69"/>
      <c r="AS77" s="69"/>
      <c r="AT77" s="69"/>
      <c r="AU77" s="69"/>
      <c r="AV77" s="69"/>
      <c r="AW77" s="69"/>
      <c r="AX77" s="100"/>
      <c r="AY77" s="115"/>
      <c r="AZ77" s="69"/>
      <c r="BA77" s="69"/>
      <c r="BB77" s="69"/>
      <c r="BC77" s="69"/>
      <c r="BD77" s="69"/>
      <c r="BE77" s="69"/>
      <c r="BF77" s="69"/>
      <c r="BG77" s="69"/>
      <c r="BH77" s="69"/>
      <c r="BI77" s="69"/>
      <c r="BJ77" s="197"/>
      <c r="BK77" s="100"/>
      <c r="BL77" s="202"/>
      <c r="BM77" s="179"/>
      <c r="BN77" s="179"/>
      <c r="BO77" s="179"/>
      <c r="BP77" s="179"/>
      <c r="BQ77" s="215"/>
      <c r="BR77" s="179"/>
      <c r="BS77" s="179"/>
      <c r="BT77" s="179"/>
      <c r="BU77" s="179"/>
      <c r="BV77" s="179"/>
      <c r="BW77" s="237"/>
      <c r="BX77" s="100"/>
      <c r="BY77" s="74"/>
      <c r="BZ77" s="74"/>
      <c r="CA77" s="74"/>
      <c r="CB77" s="74"/>
      <c r="CC77" s="74"/>
      <c r="CD77" s="74"/>
      <c r="CK77" s="100"/>
      <c r="CL77" s="130"/>
      <c r="CY77" s="100"/>
      <c r="DL77" s="100"/>
    </row>
    <row r="78" spans="2:116">
      <c r="B78" s="1" t="s">
        <v>183</v>
      </c>
      <c r="C78" s="139"/>
      <c r="D78" s="139">
        <f>5445+21175</f>
        <v>26620</v>
      </c>
      <c r="E78" s="139">
        <v>5445</v>
      </c>
      <c r="F78" s="4">
        <v>0</v>
      </c>
      <c r="H78" s="4">
        <f>1500*1.21</f>
        <v>1815</v>
      </c>
      <c r="I78" s="4">
        <f>1500*1.21</f>
        <v>1815</v>
      </c>
      <c r="J78" s="4">
        <f>J11*0.3</f>
        <v>3000</v>
      </c>
      <c r="K78" s="4"/>
      <c r="L78" s="4"/>
      <c r="M78" s="139">
        <v>2722.5</v>
      </c>
      <c r="N78" s="139"/>
      <c r="O78" s="40">
        <f t="shared" ref="O78:O127" si="39">SUM(C78:N78)</f>
        <v>41417.5</v>
      </c>
      <c r="P78" s="69"/>
      <c r="Q78" s="69"/>
      <c r="R78" s="69"/>
      <c r="S78" s="69"/>
      <c r="T78" s="69"/>
      <c r="U78" s="69"/>
      <c r="V78" s="69"/>
      <c r="W78" s="72"/>
      <c r="X78" s="69"/>
      <c r="Y78" s="69"/>
      <c r="Z78" s="69"/>
      <c r="AA78" s="69"/>
      <c r="AB78" s="117">
        <f t="shared" ref="AB78:AB125" si="40">SUM(P78:AA78)</f>
        <v>0</v>
      </c>
      <c r="AC78" s="118">
        <v>762.3</v>
      </c>
      <c r="AD78" s="69"/>
      <c r="AE78" s="69"/>
      <c r="AF78" s="69"/>
      <c r="AG78" s="69"/>
      <c r="AH78" s="69"/>
      <c r="AI78" s="69"/>
      <c r="AJ78" s="69"/>
      <c r="AK78" s="119">
        <f>SUM(AC78:AJ78)</f>
        <v>762.3</v>
      </c>
      <c r="AL78" s="69"/>
      <c r="AM78" s="69"/>
      <c r="AN78" s="69"/>
      <c r="AO78" s="69"/>
      <c r="AP78" s="69"/>
      <c r="AQ78" s="69"/>
      <c r="AR78" s="69"/>
      <c r="AS78" s="69"/>
      <c r="AT78" s="69"/>
      <c r="AU78" s="69"/>
      <c r="AV78" s="69"/>
      <c r="AW78" s="69"/>
      <c r="AX78" s="100">
        <f t="shared" ref="AX78:AX111" si="41">SUM(AL78:AW78)</f>
        <v>0</v>
      </c>
      <c r="AY78" s="115"/>
      <c r="AZ78" s="69"/>
      <c r="BA78" s="69"/>
      <c r="BB78" s="69"/>
      <c r="BC78" s="69"/>
      <c r="BD78" s="69"/>
      <c r="BE78" s="69"/>
      <c r="BF78" s="69"/>
      <c r="BG78" s="67">
        <f>920*1.21</f>
        <v>1113.2</v>
      </c>
      <c r="BH78" s="69"/>
      <c r="BI78" s="69"/>
      <c r="BJ78" s="197"/>
      <c r="BK78" s="100">
        <f>SUM(AY78:BJ78)</f>
        <v>1113.2</v>
      </c>
      <c r="BL78" s="202"/>
      <c r="BM78" s="179"/>
      <c r="BN78" s="179"/>
      <c r="BO78" s="67">
        <f>950*1.21</f>
        <v>1149.5</v>
      </c>
      <c r="BP78" s="179"/>
      <c r="BQ78" s="215"/>
      <c r="BR78" s="179"/>
      <c r="BS78" s="179"/>
      <c r="BT78" s="179"/>
      <c r="BU78" s="179"/>
      <c r="BV78" s="179"/>
      <c r="BW78" s="237"/>
      <c r="BX78" s="100">
        <f t="shared" si="38"/>
        <v>1149.5</v>
      </c>
      <c r="BY78" s="74"/>
      <c r="BZ78" s="74"/>
      <c r="CA78" s="74"/>
      <c r="CB78" s="179"/>
      <c r="CC78" s="67">
        <f>1050*1.21</f>
        <v>1270.5</v>
      </c>
      <c r="CD78" s="74"/>
      <c r="CE78" s="377"/>
      <c r="CK78" s="100">
        <f t="shared" ref="CK78:CK125" si="42">SUM(BY78:CJ78)</f>
        <v>1270.5</v>
      </c>
      <c r="CL78" s="130"/>
      <c r="CQ78" s="377">
        <v>1500</v>
      </c>
      <c r="CS78" s="377"/>
      <c r="CY78" s="100">
        <f t="shared" ref="CY78:CY96" si="43">SUM(CM78:CX78)</f>
        <v>1500</v>
      </c>
      <c r="DD78" s="377">
        <v>1500</v>
      </c>
      <c r="DL78" s="100">
        <f t="shared" ref="DL78:DL96" si="44">SUM(CZ78:DK78)</f>
        <v>1500</v>
      </c>
    </row>
    <row r="79" spans="2:116">
      <c r="B79" s="1" t="s">
        <v>184</v>
      </c>
      <c r="C79" s="139"/>
      <c r="D79" s="102">
        <v>120</v>
      </c>
      <c r="E79" s="139"/>
      <c r="F79" s="4"/>
      <c r="G79" s="4"/>
      <c r="H79" s="4"/>
      <c r="I79" s="4"/>
      <c r="J79" s="4"/>
      <c r="K79" s="4"/>
      <c r="L79" s="4"/>
      <c r="M79" s="139"/>
      <c r="N79" s="139"/>
      <c r="O79" s="40">
        <f t="shared" si="39"/>
        <v>120</v>
      </c>
      <c r="P79" s="69"/>
      <c r="Q79" s="69">
        <v>859</v>
      </c>
      <c r="R79" s="69"/>
      <c r="S79" s="69"/>
      <c r="T79" s="69">
        <f>632.33</f>
        <v>632.33000000000004</v>
      </c>
      <c r="U79" s="94">
        <f>632.33+171.22+71.27</f>
        <v>874.82</v>
      </c>
      <c r="V79" s="94">
        <v>632.34</v>
      </c>
      <c r="W79" s="72">
        <v>559.99</v>
      </c>
      <c r="X79" s="69"/>
      <c r="Y79" s="69"/>
      <c r="Z79" s="69"/>
      <c r="AA79" s="69"/>
      <c r="AB79" s="117">
        <f t="shared" si="40"/>
        <v>3558.4800000000005</v>
      </c>
      <c r="AC79" s="115"/>
      <c r="AD79" s="69"/>
      <c r="AE79" s="69"/>
      <c r="AF79" s="69"/>
      <c r="AG79" s="69"/>
      <c r="AH79" s="67">
        <f>301+71.27+171.22</f>
        <v>543.49</v>
      </c>
      <c r="AI79" s="95">
        <f>903/3</f>
        <v>301</v>
      </c>
      <c r="AJ79" s="95">
        <f>903/3</f>
        <v>301</v>
      </c>
      <c r="AK79" s="119">
        <f>SUM(AC79:AJ79)</f>
        <v>1145.49</v>
      </c>
      <c r="AL79" s="69"/>
      <c r="AM79" s="69"/>
      <c r="AN79" s="69"/>
      <c r="AO79" s="69"/>
      <c r="AP79" s="67">
        <v>418.95</v>
      </c>
      <c r="AQ79" s="67">
        <f>-418.95+(418.95+6)*1.21</f>
        <v>95.239499999999964</v>
      </c>
      <c r="AR79" s="67">
        <f>73.83*1.21</f>
        <v>89.334299999999999</v>
      </c>
      <c r="AS79" s="69"/>
      <c r="AT79" s="69"/>
      <c r="AU79" s="67">
        <f>71.27</f>
        <v>71.27</v>
      </c>
      <c r="AV79" s="67">
        <f>(3*126*1.21+46.5*1.21)</f>
        <v>513.64499999999998</v>
      </c>
      <c r="AW79" s="69"/>
      <c r="AX79" s="100">
        <f t="shared" si="41"/>
        <v>1188.4387999999999</v>
      </c>
      <c r="AY79" s="115"/>
      <c r="AZ79" s="67">
        <v>1559.01</v>
      </c>
      <c r="BA79" s="67">
        <v>228.69</v>
      </c>
      <c r="BB79" s="67">
        <v>989.33</v>
      </c>
      <c r="BC79" s="67">
        <f>1198</f>
        <v>1198</v>
      </c>
      <c r="BD79" s="69"/>
      <c r="BE79" s="69"/>
      <c r="BF79" s="69"/>
      <c r="BG79" s="67">
        <f>(61.2+8.5)*1.21</f>
        <v>84.337000000000003</v>
      </c>
      <c r="BH79" s="74"/>
      <c r="BI79" s="68">
        <v>513.65</v>
      </c>
      <c r="BJ79" s="67">
        <f>1205.79+544.5</f>
        <v>1750.29</v>
      </c>
      <c r="BK79" s="100">
        <f>SUM(AY79:BJ79)</f>
        <v>6323.3069999999998</v>
      </c>
      <c r="BL79" s="202"/>
      <c r="BM79" s="179"/>
      <c r="BN79" s="179"/>
      <c r="BO79" s="179"/>
      <c r="BP79" s="179"/>
      <c r="BQ79" s="216"/>
      <c r="BR79" s="67">
        <v>239.83</v>
      </c>
      <c r="BS79" s="179"/>
      <c r="BT79" s="179"/>
      <c r="BU79" s="68">
        <f>(67.2+8.5)*1.21</f>
        <v>91.596999999999994</v>
      </c>
      <c r="BV79" s="68">
        <f>(140.4*3+46.5)*1.21</f>
        <v>565.91700000000003</v>
      </c>
      <c r="BW79" s="237"/>
      <c r="BX79" s="100">
        <f t="shared" si="38"/>
        <v>897.34400000000005</v>
      </c>
      <c r="BY79" s="74"/>
      <c r="BZ79" s="68">
        <f>(108.47-46.98)*1.21</f>
        <v>74.402900000000002</v>
      </c>
      <c r="CA79" s="74"/>
      <c r="CB79" s="74"/>
      <c r="CC79" s="67">
        <v>1500</v>
      </c>
      <c r="CD79" s="74"/>
      <c r="CH79" s="109"/>
      <c r="CI79" s="109">
        <v>735</v>
      </c>
      <c r="CK79" s="100">
        <f t="shared" si="42"/>
        <v>2309.4029</v>
      </c>
      <c r="CL79" s="130"/>
      <c r="CV79" s="109"/>
      <c r="CW79" s="109">
        <v>735</v>
      </c>
      <c r="CY79" s="100">
        <f t="shared" si="43"/>
        <v>735</v>
      </c>
      <c r="DJ79" s="109">
        <v>735</v>
      </c>
      <c r="DL79" s="100">
        <f t="shared" si="44"/>
        <v>735</v>
      </c>
    </row>
    <row r="80" spans="2:116">
      <c r="B80" s="1" t="s">
        <v>350</v>
      </c>
      <c r="C80" s="139"/>
      <c r="D80" s="102"/>
      <c r="E80" s="139"/>
      <c r="F80" s="4"/>
      <c r="G80" s="4"/>
      <c r="H80" s="4"/>
      <c r="I80" s="4"/>
      <c r="J80" s="4"/>
      <c r="K80" s="4"/>
      <c r="L80" s="4"/>
      <c r="M80" s="139"/>
      <c r="N80" s="139"/>
      <c r="O80" s="40"/>
      <c r="P80" s="69"/>
      <c r="Q80" s="69"/>
      <c r="R80" s="69"/>
      <c r="S80" s="69"/>
      <c r="T80" s="69"/>
      <c r="U80" s="94"/>
      <c r="V80" s="94"/>
      <c r="W80" s="72"/>
      <c r="X80" s="69"/>
      <c r="Y80" s="69"/>
      <c r="Z80" s="69"/>
      <c r="AA80" s="69"/>
      <c r="AB80" s="117">
        <f t="shared" si="40"/>
        <v>0</v>
      </c>
      <c r="AC80" s="115"/>
      <c r="AD80" s="69"/>
      <c r="AE80" s="69"/>
      <c r="AF80" s="69"/>
      <c r="AG80" s="69"/>
      <c r="AH80" s="67"/>
      <c r="AI80" s="95"/>
      <c r="AJ80" s="95"/>
      <c r="AK80" s="119">
        <f t="shared" ref="AK80:AK81" si="45">SUM(AC80:AJ80)</f>
        <v>0</v>
      </c>
      <c r="AL80" s="69"/>
      <c r="AM80" s="69"/>
      <c r="AN80" s="69"/>
      <c r="AO80" s="69"/>
      <c r="AP80" s="67"/>
      <c r="AQ80" s="67"/>
      <c r="AR80" s="67"/>
      <c r="AS80" s="69"/>
      <c r="AT80" s="69"/>
      <c r="AU80" s="67"/>
      <c r="AV80" s="67"/>
      <c r="AW80" s="69"/>
      <c r="AX80" s="100">
        <f t="shared" si="41"/>
        <v>0</v>
      </c>
      <c r="AY80" s="69"/>
      <c r="AZ80" s="67"/>
      <c r="BA80" s="67"/>
      <c r="BB80" s="67"/>
      <c r="BC80" s="67"/>
      <c r="BD80" s="69"/>
      <c r="BE80" s="69"/>
      <c r="BF80" s="69"/>
      <c r="BG80" s="67"/>
      <c r="BH80" s="74"/>
      <c r="BI80" s="68"/>
      <c r="BJ80" s="67"/>
      <c r="BK80" s="100">
        <f t="shared" ref="BK80:BK82" si="46">SUM(AY80:BJ80)</f>
        <v>0</v>
      </c>
      <c r="BL80" s="202"/>
      <c r="BM80" s="179"/>
      <c r="BN80" s="179"/>
      <c r="BO80" s="179"/>
      <c r="BP80" s="179"/>
      <c r="BQ80" s="67">
        <f>23.39</f>
        <v>23.39</v>
      </c>
      <c r="BR80" s="67"/>
      <c r="BS80" s="67">
        <v>17.09</v>
      </c>
      <c r="BT80" s="67">
        <v>34.049999999999997</v>
      </c>
      <c r="BU80" s="67">
        <f>(190+20+20)*(1.21-0.15)</f>
        <v>243.8</v>
      </c>
      <c r="BV80" s="74"/>
      <c r="BW80" s="67">
        <v>9.24</v>
      </c>
      <c r="BX80" s="100">
        <f t="shared" si="38"/>
        <v>327.57000000000005</v>
      </c>
      <c r="BY80" s="74"/>
      <c r="BZ80" s="67">
        <v>68.97</v>
      </c>
      <c r="CA80" s="67">
        <f>25.88+10.71</f>
        <v>36.590000000000003</v>
      </c>
      <c r="CB80" s="67">
        <f>29.09</f>
        <v>29.09</v>
      </c>
      <c r="CC80" s="67">
        <f>36.06+12.61+74.98</f>
        <v>123.65</v>
      </c>
      <c r="CD80" s="67">
        <f>48.52</f>
        <v>48.52</v>
      </c>
      <c r="CE80" s="254">
        <v>73.3</v>
      </c>
      <c r="CH80" s="109"/>
      <c r="CI80" s="109"/>
      <c r="CK80" s="100">
        <f t="shared" si="42"/>
        <v>380.12</v>
      </c>
      <c r="CL80" s="130"/>
      <c r="CY80" s="100">
        <f t="shared" si="43"/>
        <v>0</v>
      </c>
      <c r="DL80" s="100">
        <f t="shared" si="44"/>
        <v>0</v>
      </c>
    </row>
    <row r="81" spans="2:116">
      <c r="B81" s="1" t="s">
        <v>342</v>
      </c>
      <c r="C81" s="139"/>
      <c r="D81" s="139">
        <f>146.1+485.77</f>
        <v>631.87</v>
      </c>
      <c r="E81" s="139"/>
      <c r="F81" s="4"/>
      <c r="G81" s="4"/>
      <c r="H81" s="4"/>
      <c r="I81" s="4"/>
      <c r="J81" s="4"/>
      <c r="K81" s="4"/>
      <c r="L81" s="4"/>
      <c r="M81" s="139"/>
      <c r="N81" s="139"/>
      <c r="O81" s="40">
        <f t="shared" si="39"/>
        <v>631.87</v>
      </c>
      <c r="P81" s="69">
        <v>719.95</v>
      </c>
      <c r="Q81" s="69">
        <v>4700</v>
      </c>
      <c r="R81" s="69"/>
      <c r="S81" s="69">
        <v>3260.56</v>
      </c>
      <c r="T81" s="69">
        <f>777.7+217.1+1159.95</f>
        <v>2154.75</v>
      </c>
      <c r="U81" s="69"/>
      <c r="V81" s="69"/>
      <c r="W81" s="72">
        <f>453.05+2000+625</f>
        <v>3078.05</v>
      </c>
      <c r="X81" s="67">
        <f>637.1+1190.63+1052.75</f>
        <v>2880.48</v>
      </c>
      <c r="Y81" s="67">
        <f>193.85</f>
        <v>193.85</v>
      </c>
      <c r="Z81" s="67">
        <f>(357.28+78.86)+(24.99+1964.84+14.63)+(271.48+85.04)</f>
        <v>2797.12</v>
      </c>
      <c r="AA81" s="67">
        <f>(205.77+10.4+53+171.76)+(741.77+40.51+180.78)+(223.8+536.1)</f>
        <v>2163.8900000000003</v>
      </c>
      <c r="AB81" s="117">
        <f>SUM(P81:AA81)</f>
        <v>21948.649999999998</v>
      </c>
      <c r="AC81" s="120">
        <f>403.12</f>
        <v>403.12</v>
      </c>
      <c r="AD81" s="67">
        <f>1255.01+1099.75+951.98</f>
        <v>3306.7400000000002</v>
      </c>
      <c r="AE81" s="67">
        <f>1196.19</f>
        <v>1196.19</v>
      </c>
      <c r="AF81" s="69"/>
      <c r="AG81" s="69"/>
      <c r="AH81" s="69"/>
      <c r="AI81" s="69"/>
      <c r="AJ81" s="69"/>
      <c r="AK81" s="119">
        <f t="shared" si="45"/>
        <v>4906.05</v>
      </c>
      <c r="AL81" s="67"/>
      <c r="AM81" s="74"/>
      <c r="AN81" s="74"/>
      <c r="AO81" s="74"/>
      <c r="AP81" s="74"/>
      <c r="AQ81" s="67">
        <f>47.6+22.82+17.25+113.96+148.02+781.18+112.57+45.4+61.3+891.3</f>
        <v>2241.3999999999996</v>
      </c>
      <c r="AR81" s="69"/>
      <c r="AS81" s="179"/>
      <c r="AT81" s="179"/>
      <c r="AU81" s="179"/>
      <c r="AV81" s="67">
        <f>239.58</f>
        <v>239.58</v>
      </c>
      <c r="AW81" s="179"/>
      <c r="AX81" s="100">
        <f t="shared" si="41"/>
        <v>2480.9799999999996</v>
      </c>
      <c r="AY81" s="68"/>
      <c r="AZ81" s="67">
        <f>(76.1+89+131+26+184.5+10.45+225.5+18+126.35+13+18+75+3.35+5.2+3.35)+400</f>
        <v>1404.8000000000002</v>
      </c>
      <c r="BA81" s="74"/>
      <c r="BB81" s="67">
        <f>1426.47+424.42</f>
        <v>1850.89</v>
      </c>
      <c r="BC81" s="74"/>
      <c r="BD81" s="74"/>
      <c r="BE81" s="74"/>
      <c r="BF81" s="67">
        <f>1487.52+11560</f>
        <v>13047.52</v>
      </c>
      <c r="BG81" s="67">
        <v>144.97999999999999</v>
      </c>
      <c r="BH81" s="68">
        <v>96.99</v>
      </c>
      <c r="BI81" s="74"/>
      <c r="BJ81" s="69"/>
      <c r="BK81" s="100">
        <f t="shared" si="46"/>
        <v>16545.180000000004</v>
      </c>
      <c r="BL81" s="240">
        <f>536.44/0.865295</f>
        <v>619.95042153254099</v>
      </c>
      <c r="BM81" s="74"/>
      <c r="BN81" s="68">
        <f>297</f>
        <v>297</v>
      </c>
      <c r="BO81" s="74"/>
      <c r="BP81" s="74"/>
      <c r="BQ81" s="223">
        <f>1041.1</f>
        <v>1041.0999999999999</v>
      </c>
      <c r="BR81" s="226">
        <v>2456.4899999999998</v>
      </c>
      <c r="BS81" s="226">
        <v>3373.49</v>
      </c>
      <c r="BT81" s="226">
        <v>3978.46</v>
      </c>
      <c r="BU81" s="226">
        <v>3401.57</v>
      </c>
      <c r="BV81" s="226">
        <v>1161.44</v>
      </c>
      <c r="BW81" s="226">
        <v>1061.8</v>
      </c>
      <c r="BX81" s="100">
        <f t="shared" si="38"/>
        <v>17391.300421532542</v>
      </c>
      <c r="BY81" s="226">
        <f>1514.37-10.91</f>
        <v>1503.4599999999998</v>
      </c>
      <c r="BZ81" s="226">
        <f>535.61/0.8609+(2534.77-925.21)</f>
        <v>2231.7112370774771</v>
      </c>
      <c r="CA81" s="226">
        <v>3275.29</v>
      </c>
      <c r="CB81" s="226">
        <v>4393.7700000000004</v>
      </c>
      <c r="CC81" s="226">
        <v>1311.37</v>
      </c>
      <c r="CD81" s="226">
        <v>726.56</v>
      </c>
      <c r="CE81" s="226">
        <v>1117.22</v>
      </c>
      <c r="CF81" s="109">
        <f>5000/2+250+1000</f>
        <v>3750</v>
      </c>
      <c r="CG81" s="109">
        <v>3000</v>
      </c>
      <c r="CH81" s="109">
        <v>250</v>
      </c>
      <c r="CI81" s="109">
        <v>500</v>
      </c>
      <c r="CJ81" s="109">
        <v>500</v>
      </c>
      <c r="CK81" s="100">
        <f>SUM(BY81:CJ81)</f>
        <v>22559.381237077476</v>
      </c>
      <c r="CL81" s="130"/>
      <c r="CM81" s="171">
        <v>500</v>
      </c>
      <c r="CN81" s="171">
        <v>2000</v>
      </c>
      <c r="CO81" s="109">
        <f>1500</f>
        <v>1500</v>
      </c>
      <c r="CP81" s="171">
        <v>500</v>
      </c>
      <c r="CQ81" s="171">
        <v>500</v>
      </c>
      <c r="CR81" s="171">
        <v>500</v>
      </c>
      <c r="CS81" s="109">
        <f>5000/2</f>
        <v>2500</v>
      </c>
      <c r="CT81" s="109">
        <f>5000/2+250+1000</f>
        <v>3750</v>
      </c>
      <c r="CU81" s="109">
        <v>3000</v>
      </c>
      <c r="CV81" s="109">
        <v>250</v>
      </c>
      <c r="CW81" s="109">
        <v>500</v>
      </c>
      <c r="CX81" s="109">
        <v>500</v>
      </c>
      <c r="CY81" s="100">
        <f t="shared" si="43"/>
        <v>16000</v>
      </c>
      <c r="CZ81" s="171">
        <v>500</v>
      </c>
      <c r="DA81" s="171">
        <v>2000</v>
      </c>
      <c r="DB81" s="109">
        <f>1500</f>
        <v>1500</v>
      </c>
      <c r="DC81" s="171">
        <v>500</v>
      </c>
      <c r="DD81" s="171">
        <v>500</v>
      </c>
      <c r="DE81" s="171">
        <v>500</v>
      </c>
      <c r="DF81" s="109">
        <f>5000/2</f>
        <v>2500</v>
      </c>
      <c r="DG81" s="109">
        <f>5000/2+250+1000</f>
        <v>3750</v>
      </c>
      <c r="DH81" s="109">
        <v>3000</v>
      </c>
      <c r="DI81" s="109">
        <v>250</v>
      </c>
      <c r="DJ81" s="109">
        <v>500</v>
      </c>
      <c r="DK81" s="109">
        <v>500</v>
      </c>
      <c r="DL81" s="100">
        <f t="shared" si="44"/>
        <v>16000</v>
      </c>
    </row>
    <row r="82" spans="2:116">
      <c r="B82" s="1" t="s">
        <v>185</v>
      </c>
      <c r="C82" s="139"/>
      <c r="D82" s="139"/>
      <c r="E82" s="139"/>
      <c r="F82" s="4"/>
      <c r="G82" s="4"/>
      <c r="H82" s="4"/>
      <c r="I82" s="4"/>
      <c r="J82" s="4"/>
      <c r="K82" s="4"/>
      <c r="L82" s="4"/>
      <c r="M82" s="139"/>
      <c r="N82" s="139"/>
      <c r="O82" s="40">
        <f t="shared" si="39"/>
        <v>0</v>
      </c>
      <c r="P82" s="69"/>
      <c r="Q82" s="69">
        <v>1425</v>
      </c>
      <c r="R82" s="69"/>
      <c r="S82" s="69"/>
      <c r="T82" s="69"/>
      <c r="U82" s="69">
        <v>1500</v>
      </c>
      <c r="V82" s="69"/>
      <c r="W82" s="72"/>
      <c r="X82" s="69"/>
      <c r="Y82" s="69"/>
      <c r="Z82" s="67">
        <v>1500</v>
      </c>
      <c r="AA82" s="69"/>
      <c r="AB82" s="117">
        <f t="shared" si="40"/>
        <v>4425</v>
      </c>
      <c r="AC82" s="115"/>
      <c r="AD82" s="69"/>
      <c r="AE82" s="69"/>
      <c r="AF82" s="69"/>
      <c r="AG82" s="69"/>
      <c r="AH82" s="69"/>
      <c r="AI82" s="69"/>
      <c r="AJ82" s="69"/>
      <c r="AK82" s="119">
        <f t="shared" ref="AK82:AK125" si="47">SUM(AC82:AJ82)</f>
        <v>0</v>
      </c>
      <c r="AL82" s="67"/>
      <c r="AM82" s="74"/>
      <c r="AN82" s="74"/>
      <c r="AO82" s="74"/>
      <c r="AP82" s="67">
        <v>3536</v>
      </c>
      <c r="AQ82" s="69"/>
      <c r="AR82" s="69"/>
      <c r="AS82" s="179"/>
      <c r="AT82" s="179"/>
      <c r="AU82" s="74"/>
      <c r="AV82" s="74"/>
      <c r="AW82" s="179"/>
      <c r="AX82" s="100">
        <f>SUM(AL82:AW82)</f>
        <v>3536</v>
      </c>
      <c r="AY82" s="68"/>
      <c r="AZ82" s="74"/>
      <c r="BA82" s="74"/>
      <c r="BB82" s="74"/>
      <c r="BC82" s="68">
        <v>4540</v>
      </c>
      <c r="BD82" s="69"/>
      <c r="BE82" s="179"/>
      <c r="BF82" s="69"/>
      <c r="BG82" s="69"/>
      <c r="BH82" s="225"/>
      <c r="BI82" s="74"/>
      <c r="BJ82" s="179"/>
      <c r="BK82" s="100">
        <f t="shared" si="46"/>
        <v>4540</v>
      </c>
      <c r="BL82" s="202"/>
      <c r="BM82" s="74"/>
      <c r="BN82" s="74"/>
      <c r="BO82" s="179"/>
      <c r="BP82" s="74"/>
      <c r="BQ82" s="216"/>
      <c r="BR82" s="68">
        <f>180*6+180*6</f>
        <v>2160</v>
      </c>
      <c r="BS82" s="68">
        <v>3940</v>
      </c>
      <c r="BT82" s="74"/>
      <c r="BU82" s="179"/>
      <c r="BV82" s="179"/>
      <c r="BW82" s="237"/>
      <c r="BX82" s="100">
        <f t="shared" si="38"/>
        <v>6100</v>
      </c>
      <c r="BY82" s="74"/>
      <c r="BZ82" s="74"/>
      <c r="CA82" s="74"/>
      <c r="CB82" s="74"/>
      <c r="CC82" s="74"/>
      <c r="CD82" s="74"/>
      <c r="CE82" s="109">
        <f>180*6+180*6</f>
        <v>2160</v>
      </c>
      <c r="CF82" s="109">
        <v>3940</v>
      </c>
      <c r="CK82" s="100">
        <f t="shared" si="42"/>
        <v>6100</v>
      </c>
      <c r="CL82" s="130"/>
      <c r="CS82" s="109">
        <f>180*6+180*6</f>
        <v>2160</v>
      </c>
      <c r="CT82" s="109">
        <v>3940</v>
      </c>
      <c r="CY82" s="100">
        <f t="shared" si="43"/>
        <v>6100</v>
      </c>
      <c r="DF82" s="109">
        <f>180*6+180*6</f>
        <v>2160</v>
      </c>
      <c r="DG82" s="109">
        <v>3940</v>
      </c>
      <c r="DL82" s="100">
        <f t="shared" si="44"/>
        <v>6100</v>
      </c>
    </row>
    <row r="83" spans="2:116">
      <c r="B83" s="1" t="s">
        <v>186</v>
      </c>
      <c r="C83" s="139"/>
      <c r="D83" s="139"/>
      <c r="E83" s="139"/>
      <c r="F83" s="4"/>
      <c r="G83" s="4"/>
      <c r="H83" s="4"/>
      <c r="I83" s="4"/>
      <c r="J83" s="4"/>
      <c r="K83" s="4"/>
      <c r="L83" s="4"/>
      <c r="M83" s="139"/>
      <c r="N83" s="139"/>
      <c r="O83" s="40">
        <f t="shared" si="39"/>
        <v>0</v>
      </c>
      <c r="P83" s="69"/>
      <c r="Q83" s="69"/>
      <c r="R83" s="69"/>
      <c r="S83" s="69"/>
      <c r="T83" s="69"/>
      <c r="U83" s="69"/>
      <c r="V83" s="69"/>
      <c r="W83" s="72"/>
      <c r="X83" s="69"/>
      <c r="Y83" s="67">
        <v>3213.33</v>
      </c>
      <c r="Z83" s="67">
        <f>1584.94</f>
        <v>1584.94</v>
      </c>
      <c r="AA83" s="67">
        <v>2994</v>
      </c>
      <c r="AB83" s="117">
        <f t="shared" si="40"/>
        <v>7792.27</v>
      </c>
      <c r="AC83" s="120">
        <f>2000-1409.06/3</f>
        <v>1530.3133333333333</v>
      </c>
      <c r="AD83" s="67">
        <f>2000-1409.06/3</f>
        <v>1530.3133333333333</v>
      </c>
      <c r="AE83" s="67">
        <f>2000-1409.06/3</f>
        <v>1530.3133333333333</v>
      </c>
      <c r="AF83" s="67">
        <f>1782.45-652.64</f>
        <v>1129.81</v>
      </c>
      <c r="AG83" s="67">
        <v>1959.52</v>
      </c>
      <c r="AH83" s="67">
        <v>1959.52</v>
      </c>
      <c r="AI83" s="67">
        <v>1959.52</v>
      </c>
      <c r="AJ83" s="67">
        <v>1959.52</v>
      </c>
      <c r="AK83" s="119">
        <f t="shared" si="47"/>
        <v>13558.830000000002</v>
      </c>
      <c r="AL83" s="67">
        <v>1959.52</v>
      </c>
      <c r="AM83" s="67">
        <v>3950</v>
      </c>
      <c r="AN83" s="67">
        <v>3950</v>
      </c>
      <c r="AO83" s="67">
        <v>3950</v>
      </c>
      <c r="AP83" s="67">
        <v>3950</v>
      </c>
      <c r="AQ83" s="67">
        <v>3950</v>
      </c>
      <c r="AR83" s="67">
        <v>3950</v>
      </c>
      <c r="AS83" s="192">
        <v>3950</v>
      </c>
      <c r="AT83" s="68">
        <v>3950</v>
      </c>
      <c r="AU83" s="68">
        <v>3950</v>
      </c>
      <c r="AV83" s="68">
        <v>3950</v>
      </c>
      <c r="AW83" s="67">
        <v>3950</v>
      </c>
      <c r="AX83" s="100">
        <f t="shared" si="41"/>
        <v>45409.520000000004</v>
      </c>
      <c r="AY83" s="68">
        <v>3950</v>
      </c>
      <c r="AZ83" s="67">
        <v>3950</v>
      </c>
      <c r="BA83" s="67">
        <v>3950</v>
      </c>
      <c r="BB83" s="67">
        <v>3950</v>
      </c>
      <c r="BC83" s="67">
        <v>3950.06</v>
      </c>
      <c r="BD83" s="67">
        <v>3950</v>
      </c>
      <c r="BE83" s="67">
        <v>3950</v>
      </c>
      <c r="BF83" s="67">
        <v>3950</v>
      </c>
      <c r="BG83" s="67">
        <f>1250+5200</f>
        <v>6450</v>
      </c>
      <c r="BH83" s="68">
        <v>5200</v>
      </c>
      <c r="BI83" s="68">
        <v>5200</v>
      </c>
      <c r="BJ83" s="235">
        <v>5200</v>
      </c>
      <c r="BK83" s="100">
        <f t="shared" ref="BK83:BK111" si="48">SUM(AY83:BJ83)</f>
        <v>53650.06</v>
      </c>
      <c r="BL83" s="240">
        <v>5200</v>
      </c>
      <c r="BM83" s="68">
        <f>274.95+3000</f>
        <v>3274.95</v>
      </c>
      <c r="BN83" s="68">
        <v>3000</v>
      </c>
      <c r="BO83" s="68">
        <v>3000</v>
      </c>
      <c r="BP83" s="68">
        <v>3000</v>
      </c>
      <c r="BQ83" s="212">
        <v>4300</v>
      </c>
      <c r="BR83" s="68">
        <v>4300</v>
      </c>
      <c r="BS83" s="68">
        <v>4300</v>
      </c>
      <c r="BT83" s="68">
        <v>4300</v>
      </c>
      <c r="BU83" s="68">
        <v>4300</v>
      </c>
      <c r="BV83" s="68">
        <v>4300</v>
      </c>
      <c r="BW83" s="68">
        <v>4300</v>
      </c>
      <c r="BX83" s="100">
        <f t="shared" si="38"/>
        <v>47574.95</v>
      </c>
      <c r="BY83" s="68">
        <v>4300</v>
      </c>
      <c r="BZ83" s="68">
        <v>4300</v>
      </c>
      <c r="CA83" s="68">
        <v>4300</v>
      </c>
      <c r="CB83" s="68">
        <v>4300</v>
      </c>
      <c r="CC83" s="68">
        <v>4300</v>
      </c>
      <c r="CD83" s="67">
        <v>4300</v>
      </c>
      <c r="CE83" s="66">
        <v>4300</v>
      </c>
      <c r="CF83" s="109">
        <v>4300</v>
      </c>
      <c r="CG83" s="109">
        <v>4300</v>
      </c>
      <c r="CH83" s="109">
        <v>4300</v>
      </c>
      <c r="CI83" s="109">
        <v>4300</v>
      </c>
      <c r="CJ83" s="109">
        <v>4300</v>
      </c>
      <c r="CK83" s="100">
        <f t="shared" si="42"/>
        <v>51600</v>
      </c>
      <c r="CL83" s="130"/>
      <c r="CM83" s="109">
        <v>4300</v>
      </c>
      <c r="CN83" s="109">
        <v>4300</v>
      </c>
      <c r="CO83" s="109">
        <v>4300</v>
      </c>
      <c r="CP83" s="109">
        <v>4300</v>
      </c>
      <c r="CQ83" s="109">
        <v>4300</v>
      </c>
      <c r="CR83" s="109">
        <v>4300</v>
      </c>
      <c r="CS83" s="109">
        <v>4300</v>
      </c>
      <c r="CT83" s="109">
        <v>4300</v>
      </c>
      <c r="CU83" s="109">
        <v>4300</v>
      </c>
      <c r="CV83" s="109">
        <v>4300</v>
      </c>
      <c r="CW83" s="109">
        <v>4300</v>
      </c>
      <c r="CX83" s="109">
        <v>4300</v>
      </c>
      <c r="CY83" s="100">
        <f t="shared" si="43"/>
        <v>51600</v>
      </c>
      <c r="CZ83" s="109">
        <v>4300</v>
      </c>
      <c r="DA83" s="109">
        <v>4300</v>
      </c>
      <c r="DB83" s="109">
        <v>4300</v>
      </c>
      <c r="DC83" s="109">
        <v>4300</v>
      </c>
      <c r="DD83" s="109">
        <v>4300</v>
      </c>
      <c r="DE83" s="109">
        <v>4300</v>
      </c>
      <c r="DF83" s="109">
        <v>4300</v>
      </c>
      <c r="DG83" s="109">
        <v>4300</v>
      </c>
      <c r="DH83" s="109">
        <v>4300</v>
      </c>
      <c r="DI83" s="109">
        <v>4300</v>
      </c>
      <c r="DJ83" s="109">
        <v>4300</v>
      </c>
      <c r="DK83" s="109">
        <v>4300</v>
      </c>
      <c r="DL83" s="100">
        <f t="shared" si="44"/>
        <v>51600</v>
      </c>
    </row>
    <row r="84" spans="2:116">
      <c r="B84" s="1" t="s">
        <v>187</v>
      </c>
      <c r="C84" s="139"/>
      <c r="D84" s="139"/>
      <c r="E84" s="139"/>
      <c r="F84" s="4"/>
      <c r="G84" s="4"/>
      <c r="H84" s="4"/>
      <c r="I84" s="4"/>
      <c r="J84" s="4"/>
      <c r="K84" s="4"/>
      <c r="L84" s="4"/>
      <c r="M84" s="139">
        <v>16000</v>
      </c>
      <c r="N84" s="139">
        <f>8000+5000</f>
        <v>13000</v>
      </c>
      <c r="O84" s="40">
        <f t="shared" si="39"/>
        <v>29000</v>
      </c>
      <c r="P84" s="69"/>
      <c r="Q84" s="69">
        <f>8000+8480</f>
        <v>16480</v>
      </c>
      <c r="R84" s="69">
        <v>10600</v>
      </c>
      <c r="S84" s="69">
        <v>10600</v>
      </c>
      <c r="T84" s="69">
        <v>11660</v>
      </c>
      <c r="U84" s="69">
        <v>13780</v>
      </c>
      <c r="V84" s="69">
        <v>13780</v>
      </c>
      <c r="W84" s="72">
        <v>13780</v>
      </c>
      <c r="X84" s="67">
        <v>11660</v>
      </c>
      <c r="Y84" s="67">
        <v>11660</v>
      </c>
      <c r="Z84" s="67">
        <v>11660</v>
      </c>
      <c r="AA84" s="67">
        <v>11660</v>
      </c>
      <c r="AB84" s="117">
        <f t="shared" si="40"/>
        <v>137320</v>
      </c>
      <c r="AC84" s="120">
        <v>13780</v>
      </c>
      <c r="AD84" s="67">
        <v>11660</v>
      </c>
      <c r="AE84" s="67">
        <v>11660</v>
      </c>
      <c r="AF84" s="67">
        <v>11660</v>
      </c>
      <c r="AG84" s="67">
        <v>11660</v>
      </c>
      <c r="AH84" s="67">
        <v>11660</v>
      </c>
      <c r="AI84" s="67">
        <v>13780</v>
      </c>
      <c r="AJ84" s="67">
        <v>11660</v>
      </c>
      <c r="AK84" s="119">
        <f t="shared" si="47"/>
        <v>97520</v>
      </c>
      <c r="AL84" s="67">
        <v>11660</v>
      </c>
      <c r="AM84" s="67">
        <v>11660</v>
      </c>
      <c r="AN84" s="67">
        <v>11660</v>
      </c>
      <c r="AO84" s="67">
        <v>11660</v>
      </c>
      <c r="AP84" s="67">
        <v>11660</v>
      </c>
      <c r="AQ84" s="67">
        <v>11660</v>
      </c>
      <c r="AR84" s="67">
        <v>11660</v>
      </c>
      <c r="AS84" s="192">
        <v>11660</v>
      </c>
      <c r="AT84" s="68">
        <v>11660</v>
      </c>
      <c r="AU84" s="68">
        <v>11660</v>
      </c>
      <c r="AV84" s="68">
        <v>11660</v>
      </c>
      <c r="AW84" s="67">
        <v>11660</v>
      </c>
      <c r="AX84" s="100">
        <f t="shared" si="41"/>
        <v>139920</v>
      </c>
      <c r="AY84" s="68">
        <v>11660</v>
      </c>
      <c r="AZ84" s="67">
        <v>11660</v>
      </c>
      <c r="BA84" s="67">
        <v>11660</v>
      </c>
      <c r="BB84" s="67">
        <v>11660</v>
      </c>
      <c r="BC84" s="68">
        <v>11660</v>
      </c>
      <c r="BD84" s="67">
        <v>11660</v>
      </c>
      <c r="BE84" s="67">
        <v>11660</v>
      </c>
      <c r="BF84" s="67">
        <v>11660</v>
      </c>
      <c r="BG84" s="67">
        <v>11660</v>
      </c>
      <c r="BH84" s="68">
        <v>11660</v>
      </c>
      <c r="BI84" s="68">
        <v>11660</v>
      </c>
      <c r="BJ84" s="235">
        <v>11660</v>
      </c>
      <c r="BK84" s="100">
        <f t="shared" si="48"/>
        <v>139920</v>
      </c>
      <c r="BL84" s="240">
        <v>11660</v>
      </c>
      <c r="BM84" s="68">
        <v>11660</v>
      </c>
      <c r="BN84" s="68">
        <v>11660</v>
      </c>
      <c r="BO84" s="68">
        <v>11660</v>
      </c>
      <c r="BP84" s="68">
        <v>11660</v>
      </c>
      <c r="BQ84" s="212">
        <v>11660</v>
      </c>
      <c r="BR84" s="68">
        <v>11660</v>
      </c>
      <c r="BS84" s="68">
        <v>11660</v>
      </c>
      <c r="BT84" s="68">
        <v>11660</v>
      </c>
      <c r="BU84" s="68">
        <v>11660</v>
      </c>
      <c r="BV84" s="68">
        <v>11660</v>
      </c>
      <c r="BW84" s="235">
        <v>11660</v>
      </c>
      <c r="BX84" s="100">
        <f t="shared" si="38"/>
        <v>139920</v>
      </c>
      <c r="BY84" s="68">
        <v>11660</v>
      </c>
      <c r="BZ84" s="68">
        <v>11660</v>
      </c>
      <c r="CA84" s="68">
        <v>11660</v>
      </c>
      <c r="CB84" s="68">
        <v>11660</v>
      </c>
      <c r="CC84" s="68">
        <v>11660</v>
      </c>
      <c r="CD84" s="67">
        <v>11660</v>
      </c>
      <c r="CE84" s="66">
        <v>11660</v>
      </c>
      <c r="CF84" s="109">
        <v>11660</v>
      </c>
      <c r="CG84" s="109">
        <v>11660</v>
      </c>
      <c r="CH84" s="109">
        <v>11660</v>
      </c>
      <c r="CI84" s="109">
        <v>11660</v>
      </c>
      <c r="CJ84" s="109">
        <v>11660</v>
      </c>
      <c r="CK84" s="100">
        <f t="shared" si="42"/>
        <v>139920</v>
      </c>
      <c r="CL84" s="130"/>
      <c r="CM84" s="109">
        <v>11660</v>
      </c>
      <c r="CN84" s="109">
        <v>11660</v>
      </c>
      <c r="CO84" s="109">
        <v>11660</v>
      </c>
      <c r="CP84" s="109">
        <v>11660</v>
      </c>
      <c r="CQ84" s="109">
        <v>11660</v>
      </c>
      <c r="CR84" s="109">
        <v>11660</v>
      </c>
      <c r="CS84" s="109">
        <v>11660</v>
      </c>
      <c r="CT84" s="109">
        <v>11660</v>
      </c>
      <c r="CU84" s="109">
        <v>11660</v>
      </c>
      <c r="CV84" s="109">
        <v>11660</v>
      </c>
      <c r="CW84" s="109">
        <v>11660</v>
      </c>
      <c r="CX84" s="109">
        <v>11660</v>
      </c>
      <c r="CY84" s="100">
        <f t="shared" si="43"/>
        <v>139920</v>
      </c>
      <c r="CZ84" s="109">
        <v>11660</v>
      </c>
      <c r="DA84" s="109">
        <v>11660</v>
      </c>
      <c r="DB84" s="109">
        <v>11660</v>
      </c>
      <c r="DC84" s="109">
        <v>11660</v>
      </c>
      <c r="DD84" s="109">
        <v>11660</v>
      </c>
      <c r="DE84" s="109">
        <v>11660</v>
      </c>
      <c r="DF84" s="109">
        <v>11660</v>
      </c>
      <c r="DG84" s="109">
        <v>11660</v>
      </c>
      <c r="DH84" s="109">
        <v>11660</v>
      </c>
      <c r="DI84" s="109">
        <v>11660</v>
      </c>
      <c r="DJ84" s="109">
        <v>11660</v>
      </c>
      <c r="DK84" s="109">
        <v>11660</v>
      </c>
      <c r="DL84" s="100">
        <f t="shared" si="44"/>
        <v>139920</v>
      </c>
    </row>
    <row r="85" spans="2:116">
      <c r="B85" s="1" t="s">
        <v>188</v>
      </c>
      <c r="C85" s="139"/>
      <c r="D85" s="139"/>
      <c r="E85" s="139"/>
      <c r="F85" s="4"/>
      <c r="G85" s="4"/>
      <c r="H85" s="4"/>
      <c r="I85" s="4"/>
      <c r="J85" s="4"/>
      <c r="K85" s="4"/>
      <c r="L85" s="4"/>
      <c r="M85" s="139"/>
      <c r="N85" s="139"/>
      <c r="O85" s="40"/>
      <c r="P85" s="69"/>
      <c r="Q85" s="69"/>
      <c r="R85" s="69"/>
      <c r="S85" s="69"/>
      <c r="T85" s="69"/>
      <c r="U85" s="69"/>
      <c r="V85" s="69"/>
      <c r="W85" s="72"/>
      <c r="X85" s="67"/>
      <c r="Y85" s="67"/>
      <c r="Z85" s="67"/>
      <c r="AA85" s="67"/>
      <c r="AB85" s="117">
        <f t="shared" si="40"/>
        <v>0</v>
      </c>
      <c r="AC85" s="120"/>
      <c r="AD85" s="67"/>
      <c r="AE85" s="67"/>
      <c r="AF85" s="67"/>
      <c r="AG85" s="67"/>
      <c r="AH85" s="67"/>
      <c r="AI85" s="67"/>
      <c r="AJ85" s="67"/>
      <c r="AK85" s="119">
        <f t="shared" si="47"/>
        <v>0</v>
      </c>
      <c r="AL85" s="67"/>
      <c r="AM85" s="67">
        <v>800</v>
      </c>
      <c r="AN85" s="67">
        <v>800</v>
      </c>
      <c r="AO85" s="69"/>
      <c r="AP85" s="69"/>
      <c r="AQ85" s="67">
        <v>800</v>
      </c>
      <c r="AR85" s="67">
        <v>800</v>
      </c>
      <c r="AS85" s="192">
        <v>453.33</v>
      </c>
      <c r="AT85" s="179"/>
      <c r="AU85" s="179"/>
      <c r="AV85" s="179"/>
      <c r="AW85" s="67">
        <v>613.33000000000004</v>
      </c>
      <c r="AX85" s="100">
        <f t="shared" si="41"/>
        <v>4266.66</v>
      </c>
      <c r="AY85" s="68">
        <v>800</v>
      </c>
      <c r="AZ85" s="68">
        <v>800</v>
      </c>
      <c r="BA85" s="68">
        <v>800</v>
      </c>
      <c r="BB85" s="68">
        <v>800</v>
      </c>
      <c r="BC85" s="68">
        <v>800</v>
      </c>
      <c r="BD85" s="68">
        <v>800</v>
      </c>
      <c r="BE85" s="68">
        <v>800</v>
      </c>
      <c r="BF85" s="68">
        <v>800</v>
      </c>
      <c r="BG85" s="68">
        <v>800</v>
      </c>
      <c r="BH85" s="68">
        <v>800</v>
      </c>
      <c r="BI85" s="68">
        <v>800</v>
      </c>
      <c r="BJ85" s="68">
        <v>800</v>
      </c>
      <c r="BK85" s="100">
        <f t="shared" si="48"/>
        <v>9600</v>
      </c>
      <c r="BL85" s="240">
        <v>800</v>
      </c>
      <c r="BM85" s="68">
        <v>800</v>
      </c>
      <c r="BN85" s="68">
        <v>800</v>
      </c>
      <c r="BO85" s="68">
        <v>800</v>
      </c>
      <c r="BP85" s="68">
        <v>800</v>
      </c>
      <c r="BQ85" s="212">
        <v>800</v>
      </c>
      <c r="BR85" s="68">
        <f>800</f>
        <v>800</v>
      </c>
      <c r="BS85" s="68">
        <v>1280</v>
      </c>
      <c r="BT85" s="68">
        <v>1280</v>
      </c>
      <c r="BU85" s="68">
        <v>1280</v>
      </c>
      <c r="BV85" s="68">
        <v>1280</v>
      </c>
      <c r="BW85" s="68">
        <v>1280</v>
      </c>
      <c r="BX85" s="100">
        <f t="shared" si="38"/>
        <v>12000</v>
      </c>
      <c r="BY85" s="68">
        <v>1280</v>
      </c>
      <c r="BZ85" s="68">
        <v>1280</v>
      </c>
      <c r="CA85" s="68">
        <v>1280</v>
      </c>
      <c r="CB85" s="68">
        <v>1280</v>
      </c>
      <c r="CC85" s="68">
        <v>1280</v>
      </c>
      <c r="CD85" s="67">
        <v>1280</v>
      </c>
      <c r="CE85" s="66">
        <v>1280</v>
      </c>
      <c r="CF85" s="109">
        <v>1280</v>
      </c>
      <c r="CG85" s="109">
        <v>1280</v>
      </c>
      <c r="CH85" s="109">
        <v>1280</v>
      </c>
      <c r="CI85" s="109">
        <v>1280</v>
      </c>
      <c r="CJ85" s="109">
        <v>1280</v>
      </c>
      <c r="CK85" s="100">
        <f t="shared" si="42"/>
        <v>15360</v>
      </c>
      <c r="CL85" s="130"/>
      <c r="CM85" s="109">
        <v>1280</v>
      </c>
      <c r="CN85" s="109">
        <v>1280</v>
      </c>
      <c r="CO85" s="109">
        <v>1280</v>
      </c>
      <c r="CP85" s="109">
        <v>1280</v>
      </c>
      <c r="CQ85" s="109">
        <v>1280</v>
      </c>
      <c r="CR85" s="109">
        <v>1280</v>
      </c>
      <c r="CS85" s="109">
        <v>1280</v>
      </c>
      <c r="CT85" s="109">
        <v>1280</v>
      </c>
      <c r="CU85" s="109">
        <v>1280</v>
      </c>
      <c r="CV85" s="109">
        <v>1280</v>
      </c>
      <c r="CW85" s="109">
        <v>1280</v>
      </c>
      <c r="CX85" s="109">
        <v>1280</v>
      </c>
      <c r="CY85" s="100">
        <f t="shared" si="43"/>
        <v>15360</v>
      </c>
      <c r="CZ85" s="109">
        <v>1280</v>
      </c>
      <c r="DA85" s="109">
        <v>1280</v>
      </c>
      <c r="DB85" s="109">
        <v>1280</v>
      </c>
      <c r="DC85" s="109">
        <v>1280</v>
      </c>
      <c r="DD85" s="109">
        <v>1280</v>
      </c>
      <c r="DE85" s="109">
        <v>1280</v>
      </c>
      <c r="DF85" s="109">
        <v>1280</v>
      </c>
      <c r="DG85" s="109">
        <v>1280</v>
      </c>
      <c r="DH85" s="109">
        <v>1280</v>
      </c>
      <c r="DI85" s="109">
        <v>1280</v>
      </c>
      <c r="DJ85" s="109">
        <v>1280</v>
      </c>
      <c r="DK85" s="109">
        <v>1280</v>
      </c>
      <c r="DL85" s="100">
        <f t="shared" si="44"/>
        <v>15360</v>
      </c>
    </row>
    <row r="86" spans="2:116">
      <c r="B86" s="1" t="s">
        <v>189</v>
      </c>
      <c r="C86" s="139"/>
      <c r="D86" s="139"/>
      <c r="E86" s="139"/>
      <c r="F86" s="4"/>
      <c r="G86" s="4"/>
      <c r="H86" s="4"/>
      <c r="I86" s="4"/>
      <c r="J86" s="4"/>
      <c r="K86" s="4"/>
      <c r="L86" s="4"/>
      <c r="M86" s="139"/>
      <c r="N86" s="139"/>
      <c r="O86" s="40"/>
      <c r="P86" s="69"/>
      <c r="Q86" s="69"/>
      <c r="R86" s="69"/>
      <c r="S86" s="69"/>
      <c r="T86" s="69"/>
      <c r="U86" s="69"/>
      <c r="V86" s="69"/>
      <c r="W86" s="72"/>
      <c r="X86" s="67"/>
      <c r="Y86" s="67"/>
      <c r="Z86" s="67"/>
      <c r="AA86" s="67"/>
      <c r="AB86" s="117">
        <f t="shared" si="40"/>
        <v>0</v>
      </c>
      <c r="AC86" s="120"/>
      <c r="AD86" s="67"/>
      <c r="AE86" s="67"/>
      <c r="AF86" s="67"/>
      <c r="AG86" s="67"/>
      <c r="AH86" s="67"/>
      <c r="AI86" s="67"/>
      <c r="AJ86" s="67"/>
      <c r="AK86" s="119">
        <f t="shared" si="47"/>
        <v>0</v>
      </c>
      <c r="AL86" s="67"/>
      <c r="AM86" s="67"/>
      <c r="AN86" s="67"/>
      <c r="AO86" s="69"/>
      <c r="AP86" s="67">
        <v>296.10000000000002</v>
      </c>
      <c r="AQ86" s="67">
        <v>634.52</v>
      </c>
      <c r="AR86" s="67">
        <v>632.27</v>
      </c>
      <c r="AS86" s="67">
        <f>479.44+233.93</f>
        <v>713.37</v>
      </c>
      <c r="AT86" s="68">
        <v>701.8</v>
      </c>
      <c r="AU86" s="69"/>
      <c r="AV86" s="69"/>
      <c r="AW86" s="69"/>
      <c r="AX86" s="100">
        <f t="shared" si="41"/>
        <v>2978.0599999999995</v>
      </c>
      <c r="AY86" s="68"/>
      <c r="AZ86" s="69"/>
      <c r="BA86" s="69"/>
      <c r="BB86" s="69"/>
      <c r="BC86" s="69"/>
      <c r="BD86" s="69"/>
      <c r="BE86" s="69"/>
      <c r="BF86" s="69"/>
      <c r="BG86" s="69"/>
      <c r="BH86" s="72"/>
      <c r="BI86" s="69"/>
      <c r="BJ86" s="197"/>
      <c r="BK86" s="100">
        <f t="shared" si="48"/>
        <v>0</v>
      </c>
      <c r="BL86" s="202"/>
      <c r="BM86" s="179"/>
      <c r="BN86" s="179"/>
      <c r="BO86" s="179"/>
      <c r="BP86" s="179"/>
      <c r="BQ86" s="215"/>
      <c r="BR86" s="179"/>
      <c r="BS86" s="179"/>
      <c r="BT86" s="179"/>
      <c r="BU86" s="179"/>
      <c r="BV86" s="179"/>
      <c r="BW86" s="237"/>
      <c r="BX86" s="100">
        <f t="shared" si="38"/>
        <v>0</v>
      </c>
      <c r="BY86" s="68">
        <v>1313.4</v>
      </c>
      <c r="BZ86" s="68">
        <v>1313.4</v>
      </c>
      <c r="CA86" s="68">
        <v>1313.4</v>
      </c>
      <c r="CB86" s="68">
        <v>1313.4</v>
      </c>
      <c r="CC86" s="68">
        <v>1323.6</v>
      </c>
      <c r="CD86" s="67">
        <v>1327.2</v>
      </c>
      <c r="CE86" s="66">
        <v>1327.2</v>
      </c>
      <c r="CF86" s="109">
        <v>1313.4</v>
      </c>
      <c r="CG86" s="109">
        <v>1313.4</v>
      </c>
      <c r="CH86" s="109">
        <v>1313.4</v>
      </c>
      <c r="CI86" s="109">
        <v>1313.4</v>
      </c>
      <c r="CJ86" s="109">
        <v>1313.4</v>
      </c>
      <c r="CK86" s="100">
        <f t="shared" si="42"/>
        <v>15798.599999999999</v>
      </c>
      <c r="CL86" s="130"/>
      <c r="CM86" s="109">
        <v>1313.4</v>
      </c>
      <c r="CN86" s="109">
        <v>1313.4</v>
      </c>
      <c r="CO86" s="109">
        <v>1313.4</v>
      </c>
      <c r="CP86" s="109">
        <v>1313.4</v>
      </c>
      <c r="CQ86" s="109">
        <v>1313.4</v>
      </c>
      <c r="CR86" s="109">
        <v>1313.4</v>
      </c>
      <c r="CS86" s="109">
        <v>1313.4</v>
      </c>
      <c r="CT86" s="109">
        <v>1313.4</v>
      </c>
      <c r="CU86" s="109">
        <v>1313.4</v>
      </c>
      <c r="CV86" s="109">
        <v>1313.4</v>
      </c>
      <c r="CW86" s="109">
        <v>1313.4</v>
      </c>
      <c r="CX86" s="109">
        <v>1313.4</v>
      </c>
      <c r="CY86" s="100">
        <f t="shared" si="43"/>
        <v>15760.799999999997</v>
      </c>
      <c r="CZ86" s="109">
        <v>1313.4</v>
      </c>
      <c r="DA86" s="109">
        <v>1313.4</v>
      </c>
      <c r="DB86" s="109">
        <v>1313.4</v>
      </c>
      <c r="DC86" s="109">
        <v>1313.4</v>
      </c>
      <c r="DD86" s="109">
        <v>1313.4</v>
      </c>
      <c r="DE86" s="109">
        <v>1313.4</v>
      </c>
      <c r="DF86" s="109">
        <v>1313.4</v>
      </c>
      <c r="DG86" s="109">
        <v>1313.4</v>
      </c>
      <c r="DH86" s="109">
        <v>1313.4</v>
      </c>
      <c r="DI86" s="109">
        <v>1313.4</v>
      </c>
      <c r="DJ86" s="109">
        <v>1313.4</v>
      </c>
      <c r="DK86" s="109">
        <v>1313.4</v>
      </c>
      <c r="DL86" s="100">
        <f t="shared" si="44"/>
        <v>15760.799999999997</v>
      </c>
    </row>
    <row r="87" spans="2:116">
      <c r="B87" s="1" t="s">
        <v>190</v>
      </c>
      <c r="C87" s="139"/>
      <c r="D87" s="139"/>
      <c r="E87" s="139"/>
      <c r="F87" s="4"/>
      <c r="G87" s="4"/>
      <c r="H87" s="4"/>
      <c r="I87" s="4"/>
      <c r="J87" s="4"/>
      <c r="K87" s="4"/>
      <c r="L87" s="4"/>
      <c r="M87" s="139"/>
      <c r="N87" s="139"/>
      <c r="O87" s="40">
        <f t="shared" si="39"/>
        <v>0</v>
      </c>
      <c r="P87" s="69"/>
      <c r="Q87" s="69"/>
      <c r="R87" s="69"/>
      <c r="S87" s="69"/>
      <c r="T87" s="69"/>
      <c r="U87" s="69">
        <v>0</v>
      </c>
      <c r="V87" s="69"/>
      <c r="W87" s="72"/>
      <c r="X87" s="67"/>
      <c r="Y87" s="67"/>
      <c r="Z87" s="67">
        <f>128.61</f>
        <v>128.61000000000001</v>
      </c>
      <c r="AA87" s="67">
        <f>748.03</f>
        <v>748.03</v>
      </c>
      <c r="AB87" s="117">
        <f t="shared" si="40"/>
        <v>876.64</v>
      </c>
      <c r="AC87" s="120">
        <f>748.03</f>
        <v>748.03</v>
      </c>
      <c r="AD87" s="67">
        <f>736.28</f>
        <v>736.28</v>
      </c>
      <c r="AE87" s="67">
        <f>736.28</f>
        <v>736.28</v>
      </c>
      <c r="AF87" s="67">
        <f>736.28</f>
        <v>736.28</v>
      </c>
      <c r="AG87" s="67">
        <f>736.28</f>
        <v>736.28</v>
      </c>
      <c r="AH87" s="67">
        <f>736.28+11.75</f>
        <v>748.03</v>
      </c>
      <c r="AI87" s="67">
        <f>736.28+11.75</f>
        <v>748.03</v>
      </c>
      <c r="AJ87" s="67">
        <f>736.28+11.75</f>
        <v>748.03</v>
      </c>
      <c r="AK87" s="119">
        <f t="shared" si="47"/>
        <v>5937.2399999999989</v>
      </c>
      <c r="AL87" s="67">
        <f>736.28+11.75</f>
        <v>748.03</v>
      </c>
      <c r="AM87" s="67">
        <f>736.28+11.75</f>
        <v>748.03</v>
      </c>
      <c r="AN87" s="68">
        <f>1673.52-582.75</f>
        <v>1090.77</v>
      </c>
      <c r="AO87" s="68">
        <f>1673.52-582.75</f>
        <v>1090.77</v>
      </c>
      <c r="AP87" s="179"/>
      <c r="AQ87" s="179"/>
      <c r="AR87" s="68">
        <f>1331.99+741.57+1239.97</f>
        <v>3313.5299999999997</v>
      </c>
      <c r="AS87" s="68">
        <f>-720.06</f>
        <v>-720.06</v>
      </c>
      <c r="AT87" s="179"/>
      <c r="AU87" s="179"/>
      <c r="AV87" s="179"/>
      <c r="AW87" s="68">
        <f>1254.09+1031.7+660.55+611.93+611.93</f>
        <v>4170.2</v>
      </c>
      <c r="AX87" s="100">
        <f t="shared" si="41"/>
        <v>10441.27</v>
      </c>
      <c r="AY87" s="68"/>
      <c r="AZ87" s="179"/>
      <c r="BA87" s="179"/>
      <c r="BB87" s="68">
        <f>880.42+962.17+951.05</f>
        <v>2793.64</v>
      </c>
      <c r="BC87" s="74"/>
      <c r="BD87" s="68">
        <f>951.31+951.05</f>
        <v>1902.36</v>
      </c>
      <c r="BE87" s="74"/>
      <c r="BF87" s="74"/>
      <c r="BG87" s="68">
        <f>979.54+956.72+956.72+956.72</f>
        <v>3849.7</v>
      </c>
      <c r="BH87" s="225"/>
      <c r="BI87" s="74"/>
      <c r="BJ87" s="68">
        <f>956.72+956.72+956.72</f>
        <v>2870.16</v>
      </c>
      <c r="BK87" s="100">
        <f>SUM(AY87:BJ87)</f>
        <v>11415.86</v>
      </c>
      <c r="BL87" s="74"/>
      <c r="BM87" s="74"/>
      <c r="BN87" s="68">
        <f>956.72+956.72</f>
        <v>1913.44</v>
      </c>
      <c r="BO87" s="68">
        <f>956.72+956.72</f>
        <v>1913.44</v>
      </c>
      <c r="BP87" s="74"/>
      <c r="BQ87" s="212">
        <f>956.73+1018.43</f>
        <v>1975.1599999999999</v>
      </c>
      <c r="BR87" s="74"/>
      <c r="BS87" s="74"/>
      <c r="BT87" s="74"/>
      <c r="BU87" s="74"/>
      <c r="BV87" s="68">
        <f>1018.43+1018.43+1225.27+1213.49</f>
        <v>4475.62</v>
      </c>
      <c r="BW87" s="68">
        <f>1213.49+1213.49</f>
        <v>2426.98</v>
      </c>
      <c r="BX87" s="100">
        <f t="shared" si="38"/>
        <v>12704.64</v>
      </c>
      <c r="BY87" s="68">
        <f>1015.02+1131.54</f>
        <v>2146.56</v>
      </c>
      <c r="BZ87" s="68">
        <f>1131.54+1015.02</f>
        <v>2146.56</v>
      </c>
      <c r="CA87" s="68">
        <f>15.13+26.97+(1131.54+673.7)</f>
        <v>1847.34</v>
      </c>
      <c r="CB87" s="68">
        <f>1131.54+696.96-23.27</f>
        <v>1805.23</v>
      </c>
      <c r="CC87" s="68">
        <f>1131.54+1022.83-349.13</f>
        <v>1805.2399999999998</v>
      </c>
      <c r="CD87" s="68">
        <f>2209.93-377.24</f>
        <v>1832.6899999999998</v>
      </c>
      <c r="CE87" s="66">
        <f>3469.41-377.24</f>
        <v>3092.17</v>
      </c>
      <c r="CF87" s="109">
        <v>1805</v>
      </c>
      <c r="CG87" s="109">
        <v>1805</v>
      </c>
      <c r="CH87" s="109">
        <v>1805</v>
      </c>
      <c r="CI87" s="109">
        <v>1805</v>
      </c>
      <c r="CJ87" s="109">
        <v>1805</v>
      </c>
      <c r="CK87" s="100">
        <f t="shared" si="42"/>
        <v>23700.79</v>
      </c>
      <c r="CL87" s="130"/>
      <c r="CM87" s="109">
        <v>1805</v>
      </c>
      <c r="CN87" s="109">
        <v>1805</v>
      </c>
      <c r="CO87" s="109">
        <v>1805</v>
      </c>
      <c r="CP87" s="109">
        <v>1805</v>
      </c>
      <c r="CQ87" s="109">
        <v>1805</v>
      </c>
      <c r="CR87" s="109">
        <v>1805</v>
      </c>
      <c r="CS87" s="109">
        <v>1805</v>
      </c>
      <c r="CT87" s="109">
        <v>1805</v>
      </c>
      <c r="CU87" s="109">
        <v>1805</v>
      </c>
      <c r="CV87" s="109">
        <v>1805</v>
      </c>
      <c r="CW87" s="109">
        <v>1805</v>
      </c>
      <c r="CX87" s="109">
        <v>1805</v>
      </c>
      <c r="CY87" s="100">
        <f t="shared" si="43"/>
        <v>21660</v>
      </c>
      <c r="CZ87" s="109">
        <v>1805</v>
      </c>
      <c r="DA87" s="109">
        <v>1805</v>
      </c>
      <c r="DB87" s="109">
        <v>1805</v>
      </c>
      <c r="DC87" s="109">
        <v>1805</v>
      </c>
      <c r="DD87" s="109">
        <v>1805</v>
      </c>
      <c r="DE87" s="109">
        <v>1805</v>
      </c>
      <c r="DF87" s="109">
        <v>1805</v>
      </c>
      <c r="DG87" s="109">
        <v>1805</v>
      </c>
      <c r="DH87" s="109">
        <v>1805</v>
      </c>
      <c r="DI87" s="109">
        <v>1805</v>
      </c>
      <c r="DJ87" s="109">
        <v>1805</v>
      </c>
      <c r="DK87" s="109">
        <v>1805</v>
      </c>
      <c r="DL87" s="100">
        <f t="shared" si="44"/>
        <v>21660</v>
      </c>
    </row>
    <row r="88" spans="2:116">
      <c r="B88" s="1" t="s">
        <v>360</v>
      </c>
      <c r="C88" s="139">
        <v>104.35</v>
      </c>
      <c r="D88" s="139">
        <v>102.85</v>
      </c>
      <c r="E88" s="139">
        <v>102.85</v>
      </c>
      <c r="F88" s="4">
        <f t="shared" ref="F88:L88" si="49">E88</f>
        <v>102.85</v>
      </c>
      <c r="G88" s="4">
        <f t="shared" si="49"/>
        <v>102.85</v>
      </c>
      <c r="H88" s="4">
        <f t="shared" si="49"/>
        <v>102.85</v>
      </c>
      <c r="I88" s="4">
        <f t="shared" si="49"/>
        <v>102.85</v>
      </c>
      <c r="J88" s="4">
        <f t="shared" si="49"/>
        <v>102.85</v>
      </c>
      <c r="K88" s="4">
        <f t="shared" si="49"/>
        <v>102.85</v>
      </c>
      <c r="L88" s="4">
        <f t="shared" si="49"/>
        <v>102.85</v>
      </c>
      <c r="M88" s="139">
        <v>102.85</v>
      </c>
      <c r="N88" s="139">
        <f>102.85+102.85</f>
        <v>205.7</v>
      </c>
      <c r="O88" s="40">
        <f t="shared" si="39"/>
        <v>1338.55</v>
      </c>
      <c r="P88" s="69"/>
      <c r="Q88" s="69">
        <v>104.6</v>
      </c>
      <c r="R88" s="69">
        <v>104.6</v>
      </c>
      <c r="S88" s="69">
        <f>254.91+104.6+45.79</f>
        <v>405.3</v>
      </c>
      <c r="T88" s="69">
        <v>182.31</v>
      </c>
      <c r="U88" s="69">
        <v>182.31</v>
      </c>
      <c r="V88" s="69">
        <v>224.66</v>
      </c>
      <c r="W88" s="72">
        <f>363+224.66</f>
        <v>587.66</v>
      </c>
      <c r="X88" s="67">
        <f>185.67*1.21+29.04</f>
        <v>253.70069999999998</v>
      </c>
      <c r="Y88" s="67">
        <f>185.67*1.21+200*1.21</f>
        <v>466.66070000000002</v>
      </c>
      <c r="Z88" s="67">
        <f>199.67*1.21+600*1.21+2504.7</f>
        <v>3472.3006999999998</v>
      </c>
      <c r="AA88" s="67">
        <f>199.67*1.21</f>
        <v>241.60069999999999</v>
      </c>
      <c r="AB88" s="117">
        <f t="shared" si="40"/>
        <v>6225.7028</v>
      </c>
      <c r="AC88" s="120">
        <f>199.67*1.21</f>
        <v>241.60069999999999</v>
      </c>
      <c r="AD88" s="67">
        <f>(199.67*1.21+104.16)+600*1.21+480*1.21</f>
        <v>1652.5607</v>
      </c>
      <c r="AE88" s="67">
        <f>(199.67+100)*1.21</f>
        <v>362.60069999999996</v>
      </c>
      <c r="AF88" s="182">
        <f>199.67*1.21+1579*1.21/2</f>
        <v>1196.8957</v>
      </c>
      <c r="AG88" s="67">
        <f>(199.67+6.58)*1.21+600*1.21</f>
        <v>975.5625</v>
      </c>
      <c r="AH88" s="67">
        <f t="shared" ref="AH88" si="50">199.67*1.21</f>
        <v>241.60069999999999</v>
      </c>
      <c r="AI88" s="67">
        <f>199.67*1.21+50*1.21</f>
        <v>302.10069999999996</v>
      </c>
      <c r="AJ88" s="121">
        <f>(199.67+9.56)*1.21+600*1.21</f>
        <v>979.16830000000004</v>
      </c>
      <c r="AK88" s="119">
        <f t="shared" si="47"/>
        <v>5952.09</v>
      </c>
      <c r="AL88" s="67">
        <f>199.67*1.21</f>
        <v>241.60069999999999</v>
      </c>
      <c r="AM88" s="67">
        <f>199.67*1.21+48.97</f>
        <v>290.57069999999999</v>
      </c>
      <c r="AN88" s="67">
        <f>213.67*1.21</f>
        <v>258.54069999999996</v>
      </c>
      <c r="AO88" s="67">
        <f>213.67*1.21</f>
        <v>258.54069999999996</v>
      </c>
      <c r="AP88" s="74"/>
      <c r="AQ88" s="68">
        <f>(313.67+313.67+300)*1.21+29.04</f>
        <v>1151.1214</v>
      </c>
      <c r="AR88" s="68">
        <f>313.67*1.21+104.16</f>
        <v>483.70069999999998</v>
      </c>
      <c r="AS88" s="68">
        <f>313.67*1.21</f>
        <v>379.54070000000002</v>
      </c>
      <c r="AT88" s="68">
        <f>313.67*1.21</f>
        <v>379.54070000000002</v>
      </c>
      <c r="AU88" s="68">
        <v>379.54</v>
      </c>
      <c r="AV88" s="68">
        <v>430.54</v>
      </c>
      <c r="AW88" s="68">
        <f>386.78-1576.4+102.85+102.85+248.05+102.85</f>
        <v>-633.0200000000001</v>
      </c>
      <c r="AX88" s="100">
        <f t="shared" si="41"/>
        <v>3620.2163000000005</v>
      </c>
      <c r="AY88" s="68">
        <v>379.54</v>
      </c>
      <c r="AZ88" s="68">
        <f>379.54+270.23</f>
        <v>649.77</v>
      </c>
      <c r="BA88" s="68">
        <v>649.77</v>
      </c>
      <c r="BB88" s="72"/>
      <c r="BC88" s="72"/>
      <c r="BD88" s="68">
        <f>(150+252+15+20)*1.21*3</f>
        <v>1586.31</v>
      </c>
      <c r="BE88" s="68">
        <f>437*1.21-121*2+67.86+8.73</f>
        <v>363.36</v>
      </c>
      <c r="BF88" s="68">
        <f>437*1.21</f>
        <v>528.77</v>
      </c>
      <c r="BG88" s="68">
        <f>437*1.21+57.91</f>
        <v>586.67999999999995</v>
      </c>
      <c r="BH88" s="68">
        <f>437*1.21</f>
        <v>528.77</v>
      </c>
      <c r="BI88" s="68">
        <f>(437+300+27.95)*1.21</f>
        <v>925.58950000000004</v>
      </c>
      <c r="BJ88" s="68">
        <f>(437+100)*1.21</f>
        <v>649.77</v>
      </c>
      <c r="BK88" s="100">
        <f t="shared" si="48"/>
        <v>6848.3295000000016</v>
      </c>
      <c r="BL88" s="240">
        <f>437*1.21</f>
        <v>528.77</v>
      </c>
      <c r="BM88" s="68">
        <f>437*1.21</f>
        <v>528.77</v>
      </c>
      <c r="BN88" s="68">
        <f>437*1.21</f>
        <v>528.77</v>
      </c>
      <c r="BO88" s="68">
        <f>437*1.21</f>
        <v>528.77</v>
      </c>
      <c r="BP88" s="68">
        <f>437*1.21+29.04</f>
        <v>557.80999999999995</v>
      </c>
      <c r="BQ88" s="212">
        <f>(437+30)*1.21+67.86</f>
        <v>632.92999999999995</v>
      </c>
      <c r="BR88" s="68">
        <f>461.91*1.21</f>
        <v>558.91110000000003</v>
      </c>
      <c r="BS88" s="68">
        <f>461.91*1.21</f>
        <v>558.91110000000003</v>
      </c>
      <c r="BT88" s="68">
        <f>(461.91+14.99)*1.21+60.09</f>
        <v>637.13900000000001</v>
      </c>
      <c r="BU88" s="68">
        <f>(461.91+27.95)*1.21</f>
        <v>592.73059999999998</v>
      </c>
      <c r="BV88" s="68">
        <f>(461.91+200)*1.21</f>
        <v>800.91110000000003</v>
      </c>
      <c r="BW88" s="68">
        <f>461.91*1.21+199.8</f>
        <v>758.71109999999999</v>
      </c>
      <c r="BX88" s="100">
        <f t="shared" si="38"/>
        <v>7213.134</v>
      </c>
      <c r="BY88" s="68">
        <f>(461.91+27.95)*1.21</f>
        <v>592.73059999999998</v>
      </c>
      <c r="BZ88" s="68">
        <v>558.91</v>
      </c>
      <c r="CA88" s="68">
        <v>558.91</v>
      </c>
      <c r="CB88" s="68">
        <v>558.91</v>
      </c>
      <c r="CC88" s="68">
        <v>558.91</v>
      </c>
      <c r="CD88" s="68">
        <v>595.21</v>
      </c>
      <c r="CE88" s="305">
        <v>644.11</v>
      </c>
      <c r="CF88" s="109">
        <v>558.91</v>
      </c>
      <c r="CG88" s="109">
        <v>558.91</v>
      </c>
      <c r="CH88" s="109">
        <v>558.91</v>
      </c>
      <c r="CI88" s="109">
        <v>558.91</v>
      </c>
      <c r="CJ88" s="109">
        <v>558.91</v>
      </c>
      <c r="CK88" s="100">
        <f t="shared" si="42"/>
        <v>6862.2405999999992</v>
      </c>
      <c r="CL88" s="130"/>
      <c r="CM88" s="109">
        <v>558.91</v>
      </c>
      <c r="CN88" s="109">
        <v>558.91</v>
      </c>
      <c r="CO88" s="109">
        <v>558.91</v>
      </c>
      <c r="CP88" s="109">
        <v>558.91</v>
      </c>
      <c r="CQ88" s="109">
        <v>558.91</v>
      </c>
      <c r="CR88" s="109">
        <v>558.91</v>
      </c>
      <c r="CS88" s="109">
        <v>558.91</v>
      </c>
      <c r="CT88" s="109">
        <v>558.91</v>
      </c>
      <c r="CU88" s="109">
        <v>558.91</v>
      </c>
      <c r="CV88" s="109">
        <v>558.91</v>
      </c>
      <c r="CW88" s="109">
        <v>558.91</v>
      </c>
      <c r="CX88" s="109">
        <v>558.91</v>
      </c>
      <c r="CY88" s="100">
        <f t="shared" si="43"/>
        <v>6706.9199999999992</v>
      </c>
      <c r="CZ88" s="109">
        <v>558.91</v>
      </c>
      <c r="DA88" s="109">
        <v>558.91</v>
      </c>
      <c r="DB88" s="109">
        <v>558.91</v>
      </c>
      <c r="DC88" s="109">
        <v>558.91</v>
      </c>
      <c r="DD88" s="109">
        <v>558.91</v>
      </c>
      <c r="DE88" s="109">
        <v>558.91</v>
      </c>
      <c r="DF88" s="109">
        <v>558.91</v>
      </c>
      <c r="DG88" s="109">
        <v>558.91</v>
      </c>
      <c r="DH88" s="109">
        <v>558.91</v>
      </c>
      <c r="DI88" s="109">
        <v>558.91</v>
      </c>
      <c r="DJ88" s="109">
        <v>558.91</v>
      </c>
      <c r="DK88" s="109">
        <v>558.91</v>
      </c>
      <c r="DL88" s="100">
        <f t="shared" si="44"/>
        <v>6706.9199999999992</v>
      </c>
    </row>
    <row r="89" spans="2:116">
      <c r="B89" s="1" t="s">
        <v>361</v>
      </c>
      <c r="C89" s="139"/>
      <c r="D89" s="139"/>
      <c r="E89" s="139"/>
      <c r="F89" s="4"/>
      <c r="G89" s="4"/>
      <c r="H89" s="4"/>
      <c r="I89" s="4"/>
      <c r="J89" s="4"/>
      <c r="K89" s="4"/>
      <c r="L89" s="4"/>
      <c r="M89" s="139"/>
      <c r="N89" s="139"/>
      <c r="O89" s="40"/>
      <c r="P89" s="69"/>
      <c r="Q89" s="69"/>
      <c r="R89" s="69"/>
      <c r="S89" s="69"/>
      <c r="T89" s="69"/>
      <c r="U89" s="69"/>
      <c r="V89" s="69"/>
      <c r="W89" s="72"/>
      <c r="X89" s="67"/>
      <c r="Y89" s="67"/>
      <c r="Z89" s="67"/>
      <c r="AA89" s="67"/>
      <c r="AB89" s="117">
        <f t="shared" si="40"/>
        <v>0</v>
      </c>
      <c r="AC89" s="120"/>
      <c r="AD89" s="67"/>
      <c r="AE89" s="67"/>
      <c r="AF89" s="67"/>
      <c r="AG89" s="67"/>
      <c r="AH89" s="67"/>
      <c r="AI89" s="67"/>
      <c r="AJ89" s="67"/>
      <c r="AK89" s="119">
        <f t="shared" si="47"/>
        <v>0</v>
      </c>
      <c r="AL89" s="67"/>
      <c r="AM89" s="67"/>
      <c r="AN89" s="67"/>
      <c r="AO89" s="67"/>
      <c r="AP89" s="179"/>
      <c r="AQ89" s="179"/>
      <c r="AR89" s="179"/>
      <c r="AS89" s="179"/>
      <c r="AT89" s="72"/>
      <c r="AU89" s="72"/>
      <c r="AV89" s="72"/>
      <c r="AW89" s="69"/>
      <c r="AX89" s="100">
        <f t="shared" si="41"/>
        <v>0</v>
      </c>
      <c r="AY89" s="68"/>
      <c r="AZ89" s="69"/>
      <c r="BA89" s="69"/>
      <c r="BB89" s="69"/>
      <c r="BC89" s="69"/>
      <c r="BD89" s="69"/>
      <c r="BE89" s="72"/>
      <c r="BF89" s="72"/>
      <c r="BG89" s="72"/>
      <c r="BH89" s="72"/>
      <c r="BI89" s="72"/>
      <c r="BJ89" s="236"/>
      <c r="BK89" s="100">
        <f t="shared" si="48"/>
        <v>0</v>
      </c>
      <c r="BL89" s="202"/>
      <c r="BM89" s="179"/>
      <c r="BN89" s="179"/>
      <c r="BO89" s="179"/>
      <c r="BP89" s="179"/>
      <c r="BQ89" s="215"/>
      <c r="BR89" s="179"/>
      <c r="BS89" s="179"/>
      <c r="BT89" s="179"/>
      <c r="BU89" s="179"/>
      <c r="BV89" s="179"/>
      <c r="BW89" s="237"/>
      <c r="BX89" s="100">
        <f t="shared" si="38"/>
        <v>0</v>
      </c>
      <c r="BY89" s="74"/>
      <c r="BZ89" s="74"/>
      <c r="CA89" s="74"/>
      <c r="CB89" s="74"/>
      <c r="CC89" s="74"/>
      <c r="CD89" s="74"/>
      <c r="CK89" s="100">
        <f t="shared" si="42"/>
        <v>0</v>
      </c>
      <c r="CL89" s="130"/>
      <c r="CY89" s="100">
        <f t="shared" si="43"/>
        <v>0</v>
      </c>
      <c r="DL89" s="100">
        <f t="shared" si="44"/>
        <v>0</v>
      </c>
    </row>
    <row r="90" spans="2:116">
      <c r="B90" s="1" t="s">
        <v>46</v>
      </c>
      <c r="C90" s="139"/>
      <c r="D90" s="139">
        <f>72.6+14520</f>
        <v>14592.6</v>
      </c>
      <c r="E90" s="139">
        <v>302.5</v>
      </c>
      <c r="F90" s="4"/>
      <c r="G90" s="4">
        <v>500</v>
      </c>
      <c r="H90" s="4"/>
      <c r="I90" s="4"/>
      <c r="J90" s="4"/>
      <c r="K90" s="4"/>
      <c r="L90" s="4"/>
      <c r="M90" s="139"/>
      <c r="N90" s="139"/>
      <c r="O90" s="40">
        <f t="shared" si="39"/>
        <v>15395.1</v>
      </c>
      <c r="P90" s="69"/>
      <c r="Q90" s="69">
        <f>423.5+181.5+423.5</f>
        <v>1028.5</v>
      </c>
      <c r="R90" s="69">
        <v>303</v>
      </c>
      <c r="S90" s="69">
        <v>75</v>
      </c>
      <c r="T90" s="69">
        <f>302.5+8470</f>
        <v>8772.5</v>
      </c>
      <c r="U90" s="69"/>
      <c r="V90" s="69">
        <v>181.5</v>
      </c>
      <c r="W90" s="72"/>
      <c r="X90" s="69"/>
      <c r="Y90" s="69"/>
      <c r="Z90" s="69"/>
      <c r="AA90" s="67">
        <v>363</v>
      </c>
      <c r="AB90" s="117">
        <f t="shared" si="40"/>
        <v>10723.5</v>
      </c>
      <c r="AC90" s="115"/>
      <c r="AD90" s="69"/>
      <c r="AE90" s="69"/>
      <c r="AF90" s="67">
        <f>377.12+376.34</f>
        <v>753.46</v>
      </c>
      <c r="AG90" s="67">
        <f>181.5+302.5+363</f>
        <v>847</v>
      </c>
      <c r="AH90" s="67">
        <v>363</v>
      </c>
      <c r="AI90" s="69"/>
      <c r="AJ90" s="69"/>
      <c r="AK90" s="119">
        <f t="shared" si="47"/>
        <v>1963.46</v>
      </c>
      <c r="AL90" s="67"/>
      <c r="AM90" s="67">
        <v>15.75</v>
      </c>
      <c r="AN90" s="67">
        <v>1644</v>
      </c>
      <c r="AO90" s="67">
        <f>3519.57*1.21+3500*1.21</f>
        <v>8493.6797000000006</v>
      </c>
      <c r="AP90" s="69"/>
      <c r="AQ90" s="67">
        <f>895.42*1.21+(594.34+250+647.74-1644)+700+525</f>
        <v>2156.5382</v>
      </c>
      <c r="AR90" s="74"/>
      <c r="AS90" s="72"/>
      <c r="AT90" s="74"/>
      <c r="AU90" s="68">
        <f>810.4</f>
        <v>810.4</v>
      </c>
      <c r="AV90" s="68">
        <v>229.9</v>
      </c>
      <c r="AW90" s="67">
        <v>484</v>
      </c>
      <c r="AX90" s="100">
        <f t="shared" si="41"/>
        <v>13834.267899999999</v>
      </c>
      <c r="AY90" s="68"/>
      <c r="AZ90" s="74"/>
      <c r="BA90" s="74"/>
      <c r="BB90" s="81">
        <f>241.88+363</f>
        <v>604.88</v>
      </c>
      <c r="BC90" s="190">
        <v>302.5</v>
      </c>
      <c r="BD90" s="179"/>
      <c r="BE90" s="74"/>
      <c r="BF90" s="190">
        <v>242</v>
      </c>
      <c r="BG90" s="190">
        <v>605</v>
      </c>
      <c r="BH90" s="225"/>
      <c r="BI90" s="230"/>
      <c r="BJ90" s="179"/>
      <c r="BK90" s="100">
        <f>SUM(AY90:BJ90)</f>
        <v>1754.38</v>
      </c>
      <c r="BL90" s="67">
        <f>1575*1.21</f>
        <v>1905.75</v>
      </c>
      <c r="BM90" s="74"/>
      <c r="BN90" s="74"/>
      <c r="BO90" s="67">
        <f>133*1.21</f>
        <v>160.93</v>
      </c>
      <c r="BP90" s="68">
        <v>1427.13</v>
      </c>
      <c r="BQ90" s="68">
        <f>145.89+268.78+501.89</f>
        <v>916.56</v>
      </c>
      <c r="BR90" s="68">
        <v>307.91000000000003</v>
      </c>
      <c r="BS90" s="74"/>
      <c r="BT90" s="74"/>
      <c r="BU90" s="74"/>
      <c r="BV90" s="74"/>
      <c r="BW90" s="179"/>
      <c r="BX90" s="100">
        <f>SUM(BL90:BW90)</f>
        <v>4718.28</v>
      </c>
      <c r="BY90" s="74"/>
      <c r="BZ90" s="68">
        <f>135.59+307.56+310.09+307.56</f>
        <v>1060.8</v>
      </c>
      <c r="CA90" s="68">
        <v>478.86</v>
      </c>
      <c r="CB90" s="179"/>
      <c r="CC90" s="74"/>
      <c r="CD90" s="74"/>
      <c r="CF90" s="66">
        <f>121</f>
        <v>121</v>
      </c>
      <c r="CI90" s="438">
        <f>514.57</f>
        <v>514.57000000000005</v>
      </c>
      <c r="CJ90" s="109">
        <v>700</v>
      </c>
      <c r="CK90" s="100">
        <f>SUM(BY90:CJ90)</f>
        <v>2875.23</v>
      </c>
      <c r="CL90" s="130"/>
      <c r="CN90" s="109">
        <v>700</v>
      </c>
      <c r="CP90" s="109"/>
      <c r="CQ90" s="109">
        <v>700</v>
      </c>
      <c r="CT90" s="109">
        <v>700</v>
      </c>
      <c r="CW90" s="109">
        <v>700</v>
      </c>
      <c r="CY90" s="100">
        <f t="shared" si="43"/>
        <v>2800</v>
      </c>
      <c r="DA90" s="109">
        <v>700</v>
      </c>
      <c r="DC90" s="109"/>
      <c r="DD90" s="109">
        <v>700</v>
      </c>
      <c r="DG90" s="109">
        <v>700</v>
      </c>
      <c r="DJ90" s="109">
        <v>700</v>
      </c>
      <c r="DL90" s="100">
        <f t="shared" si="44"/>
        <v>2800</v>
      </c>
    </row>
    <row r="91" spans="2:116">
      <c r="B91" s="1" t="s">
        <v>193</v>
      </c>
      <c r="C91" s="139"/>
      <c r="D91" s="139"/>
      <c r="E91" s="139"/>
      <c r="F91" s="4"/>
      <c r="G91" s="4"/>
      <c r="H91" s="4"/>
      <c r="I91" s="4"/>
      <c r="J91" s="4"/>
      <c r="K91" s="4"/>
      <c r="L91" s="4"/>
      <c r="M91" s="139"/>
      <c r="N91" s="139"/>
      <c r="O91" s="40"/>
      <c r="P91" s="69"/>
      <c r="Q91" s="69"/>
      <c r="R91" s="69"/>
      <c r="S91" s="69"/>
      <c r="T91" s="69"/>
      <c r="U91" s="69"/>
      <c r="V91" s="69"/>
      <c r="W91" s="72"/>
      <c r="X91" s="69"/>
      <c r="Y91" s="69"/>
      <c r="Z91" s="69"/>
      <c r="AA91" s="67"/>
      <c r="AB91" s="117">
        <f>SUM(P91:AA91)</f>
        <v>0</v>
      </c>
      <c r="AC91" s="115"/>
      <c r="AD91" s="69"/>
      <c r="AE91" s="69"/>
      <c r="AF91" s="67"/>
      <c r="AG91" s="67"/>
      <c r="AH91" s="67"/>
      <c r="AI91" s="69"/>
      <c r="AJ91" s="69"/>
      <c r="AK91" s="119">
        <f>SUM(AC91:AJ91)</f>
        <v>0</v>
      </c>
      <c r="AL91" s="67"/>
      <c r="AM91" s="67"/>
      <c r="AN91" s="67"/>
      <c r="AO91" s="67"/>
      <c r="AP91" s="69"/>
      <c r="AQ91" s="67"/>
      <c r="AR91" s="74"/>
      <c r="AS91" s="72"/>
      <c r="AT91" s="68">
        <f>1800*1.21</f>
        <v>2178</v>
      </c>
      <c r="AU91" s="68">
        <f>2783</f>
        <v>2783</v>
      </c>
      <c r="AV91" s="69"/>
      <c r="AW91" s="69"/>
      <c r="AX91" s="100">
        <f>SUM(AL91:AW91)</f>
        <v>4961</v>
      </c>
      <c r="AY91" s="68"/>
      <c r="AZ91" s="179"/>
      <c r="BA91" s="179"/>
      <c r="BB91" s="68">
        <f>500*1.21</f>
        <v>605</v>
      </c>
      <c r="BC91" s="179"/>
      <c r="BD91" s="179"/>
      <c r="BE91" s="179"/>
      <c r="BF91" s="179"/>
      <c r="BG91" s="68">
        <f>2300*1.21</f>
        <v>2783</v>
      </c>
      <c r="BH91" s="68"/>
      <c r="BI91" s="74"/>
      <c r="BJ91" s="237"/>
      <c r="BK91" s="100">
        <f t="shared" si="48"/>
        <v>3388</v>
      </c>
      <c r="BL91" s="202"/>
      <c r="BM91" s="179"/>
      <c r="BN91" s="179"/>
      <c r="BO91" s="179"/>
      <c r="BP91" s="179"/>
      <c r="BQ91" s="215"/>
      <c r="BR91" s="179"/>
      <c r="BS91" s="179"/>
      <c r="BT91" s="74"/>
      <c r="BU91" s="74"/>
      <c r="BV91" s="74"/>
      <c r="BW91" s="72"/>
      <c r="BX91" s="100">
        <f>SUM(BL91:BW91)</f>
        <v>0</v>
      </c>
      <c r="BY91" s="74"/>
      <c r="BZ91" s="72"/>
      <c r="CA91" s="74"/>
      <c r="CB91" s="74"/>
      <c r="CC91" s="74"/>
      <c r="CD91" s="438">
        <f>(1000+500+400+400)*1.21</f>
        <v>2783</v>
      </c>
      <c r="CE91" s="254"/>
      <c r="CH91" s="109">
        <v>2783</v>
      </c>
      <c r="CK91" s="100">
        <f>SUM(BZ91:CJ91)</f>
        <v>5566</v>
      </c>
      <c r="CL91" s="130"/>
      <c r="CV91" s="109">
        <v>2783</v>
      </c>
      <c r="CY91" s="100">
        <f t="shared" si="43"/>
        <v>2783</v>
      </c>
      <c r="DI91" s="109">
        <v>2783</v>
      </c>
      <c r="DL91" s="100">
        <f t="shared" si="44"/>
        <v>2783</v>
      </c>
    </row>
    <row r="92" spans="2:116">
      <c r="B92" s="1" t="s">
        <v>48</v>
      </c>
      <c r="C92" s="139"/>
      <c r="D92" s="139"/>
      <c r="E92" s="139"/>
      <c r="F92" s="4">
        <v>230</v>
      </c>
      <c r="G92" s="4">
        <f t="shared" ref="G92:N92" si="51">F92</f>
        <v>230</v>
      </c>
      <c r="H92" s="4">
        <f t="shared" si="51"/>
        <v>230</v>
      </c>
      <c r="I92" s="4">
        <f t="shared" si="51"/>
        <v>230</v>
      </c>
      <c r="J92" s="4">
        <f t="shared" si="51"/>
        <v>230</v>
      </c>
      <c r="K92" s="4">
        <f t="shared" si="51"/>
        <v>230</v>
      </c>
      <c r="L92" s="4">
        <f t="shared" si="51"/>
        <v>230</v>
      </c>
      <c r="M92" s="139"/>
      <c r="N92" s="139">
        <f t="shared" si="51"/>
        <v>0</v>
      </c>
      <c r="O92" s="40">
        <f t="shared" si="39"/>
        <v>1610</v>
      </c>
      <c r="P92" s="69"/>
      <c r="Q92" s="69"/>
      <c r="R92" s="69"/>
      <c r="S92" s="69"/>
      <c r="T92" s="69"/>
      <c r="U92" s="69"/>
      <c r="V92" s="69"/>
      <c r="W92" s="72"/>
      <c r="X92" s="67">
        <v>3054.54</v>
      </c>
      <c r="Y92" s="69"/>
      <c r="Z92" s="69"/>
      <c r="AA92" s="69"/>
      <c r="AB92" s="117">
        <f t="shared" si="40"/>
        <v>3054.54</v>
      </c>
      <c r="AC92" s="115"/>
      <c r="AD92" s="69"/>
      <c r="AE92" s="69"/>
      <c r="AF92" s="69"/>
      <c r="AG92" s="69"/>
      <c r="AH92" s="69"/>
      <c r="AI92" s="69"/>
      <c r="AJ92" s="69"/>
      <c r="AK92" s="119">
        <f t="shared" si="47"/>
        <v>0</v>
      </c>
      <c r="AL92" s="67"/>
      <c r="AM92" s="151">
        <f>3544/1.1759</f>
        <v>3013.8617229356241</v>
      </c>
      <c r="AN92" s="69"/>
      <c r="AO92" s="69"/>
      <c r="AP92" s="69"/>
      <c r="AQ92" s="69"/>
      <c r="AR92" s="69"/>
      <c r="AS92" s="69"/>
      <c r="AT92" s="69"/>
      <c r="AU92" s="69"/>
      <c r="AV92" s="69"/>
      <c r="AW92" s="69"/>
      <c r="AX92" s="100">
        <f t="shared" ref="AX92" si="52">SUM(AL92:AW92)</f>
        <v>3013.8617229356241</v>
      </c>
      <c r="AY92" s="68"/>
      <c r="AZ92" s="68">
        <f>3738/1.1606</f>
        <v>3220.747889022919</v>
      </c>
      <c r="BA92" s="179"/>
      <c r="BB92" s="179"/>
      <c r="BC92" s="179"/>
      <c r="BD92" s="179"/>
      <c r="BE92" s="179"/>
      <c r="BF92" s="179"/>
      <c r="BG92" s="179"/>
      <c r="BH92" s="72"/>
      <c r="BI92" s="179"/>
      <c r="BJ92" s="237"/>
      <c r="BK92" s="100">
        <f t="shared" si="48"/>
        <v>3220.747889022919</v>
      </c>
      <c r="BL92" s="202"/>
      <c r="BM92" s="68">
        <f>3924/0.996</f>
        <v>3939.7590361445782</v>
      </c>
      <c r="BN92" s="179"/>
      <c r="BO92" s="179"/>
      <c r="BP92" s="179"/>
      <c r="BQ92" s="215"/>
      <c r="BR92" s="179"/>
      <c r="BS92" s="179"/>
      <c r="BT92" s="179"/>
      <c r="BU92" s="179"/>
      <c r="BV92" s="179"/>
      <c r="BW92" s="237"/>
      <c r="BX92" s="100">
        <f t="shared" si="38"/>
        <v>3939.7590361445782</v>
      </c>
      <c r="BY92" s="74"/>
      <c r="BZ92" s="74"/>
      <c r="CA92" s="68">
        <f>4179/1.0815</f>
        <v>3864.0776699029129</v>
      </c>
      <c r="CB92" s="74"/>
      <c r="CC92" s="74"/>
      <c r="CD92" s="74"/>
      <c r="CK92" s="100">
        <f t="shared" si="42"/>
        <v>3864.0776699029129</v>
      </c>
      <c r="CL92" s="130"/>
      <c r="CN92" s="109">
        <v>4000</v>
      </c>
      <c r="CY92" s="100">
        <f t="shared" si="43"/>
        <v>4000</v>
      </c>
      <c r="DA92" s="109">
        <v>4000</v>
      </c>
      <c r="DL92" s="100">
        <f t="shared" si="44"/>
        <v>4000</v>
      </c>
    </row>
    <row r="93" spans="2:116">
      <c r="B93" s="1" t="s">
        <v>462</v>
      </c>
      <c r="C93" s="139"/>
      <c r="D93" s="139"/>
      <c r="E93" s="139">
        <v>2725.42</v>
      </c>
      <c r="F93" s="4"/>
      <c r="G93" s="4"/>
      <c r="H93" s="4"/>
      <c r="I93" s="4"/>
      <c r="J93" s="4"/>
      <c r="K93" s="4"/>
      <c r="L93" s="4"/>
      <c r="M93" s="139"/>
      <c r="N93" s="139"/>
      <c r="O93" s="40">
        <f t="shared" si="39"/>
        <v>2725.42</v>
      </c>
      <c r="P93" s="69"/>
      <c r="Q93" s="69">
        <v>993.37</v>
      </c>
      <c r="R93" s="69"/>
      <c r="S93" s="69"/>
      <c r="T93" s="69"/>
      <c r="U93" s="69"/>
      <c r="V93" s="69"/>
      <c r="W93" s="72"/>
      <c r="X93" s="67">
        <f>3432.03+1090.91</f>
        <v>4522.9400000000005</v>
      </c>
      <c r="Y93" s="69"/>
      <c r="Z93" s="69"/>
      <c r="AA93" s="67">
        <f>1085/1.109338895</f>
        <v>978.0600003211822</v>
      </c>
      <c r="AB93" s="117">
        <f t="shared" si="40"/>
        <v>6494.3700003211825</v>
      </c>
      <c r="AC93" s="115"/>
      <c r="AD93" s="69"/>
      <c r="AE93" s="69"/>
      <c r="AF93" s="69"/>
      <c r="AG93" s="69"/>
      <c r="AH93" s="122">
        <f>1200/1.0792</f>
        <v>1111.934766493699</v>
      </c>
      <c r="AI93" s="69"/>
      <c r="AJ93" s="69"/>
      <c r="AK93" s="119">
        <f t="shared" si="47"/>
        <v>1111.934766493699</v>
      </c>
      <c r="AL93" s="151">
        <f>(3650+1280)/1.1626</f>
        <v>4240.4954412523648</v>
      </c>
      <c r="AM93" s="69"/>
      <c r="AN93" s="69"/>
      <c r="AO93" s="67">
        <f>1830/1.21180015+(42-13.5-15)</f>
        <v>1523.6500028696976</v>
      </c>
      <c r="AP93" s="69"/>
      <c r="AQ93" s="68">
        <f>(6000+36+18.03)/1.224046+2000/1.1748+15-(18.03+21)/1.224046</f>
        <v>6631.4484413930759</v>
      </c>
      <c r="AR93" s="69"/>
      <c r="AS93" s="69"/>
      <c r="AT93" s="69"/>
      <c r="AU93" s="68">
        <f>1200/1.20499</f>
        <v>995.858886795741</v>
      </c>
      <c r="AV93" s="67">
        <f>3650/1.15876</f>
        <v>3149.9188788014776</v>
      </c>
      <c r="AW93" s="74"/>
      <c r="AX93" s="100">
        <f>SUM(AL93:AW93)</f>
        <v>16541.371651112357</v>
      </c>
      <c r="AY93" s="68">
        <f>3410/1.1767</f>
        <v>2897.9349026939744</v>
      </c>
      <c r="AZ93" s="179"/>
      <c r="BA93" s="179"/>
      <c r="BB93" s="179"/>
      <c r="BC93" s="74"/>
      <c r="BD93" s="68">
        <f>8000/1.138449716</f>
        <v>7027.1000006117092</v>
      </c>
      <c r="BE93" s="68">
        <v>1265</v>
      </c>
      <c r="BF93" s="179"/>
      <c r="BG93" s="179"/>
      <c r="BH93" s="68">
        <f>1230/1.088</f>
        <v>1130.5147058823529</v>
      </c>
      <c r="BI93" s="68">
        <f>3780/1.0192</f>
        <v>3708.7912087912082</v>
      </c>
      <c r="BJ93" s="179"/>
      <c r="BK93" s="100">
        <f t="shared" si="48"/>
        <v>16029.340817979246</v>
      </c>
      <c r="BL93" s="202"/>
      <c r="BM93" s="179"/>
      <c r="BN93" s="68">
        <f>3410/0.9907</f>
        <v>3442.0106995054002</v>
      </c>
      <c r="BO93" s="68">
        <v>1265</v>
      </c>
      <c r="BP93" s="179"/>
      <c r="BQ93" s="216"/>
      <c r="BR93" s="68">
        <f>8720/1.076</f>
        <v>8104.0892193308546</v>
      </c>
      <c r="BS93" s="179"/>
      <c r="BT93" s="179"/>
      <c r="BU93" s="463">
        <v>0</v>
      </c>
      <c r="BV93" s="74"/>
      <c r="BW93" s="68"/>
      <c r="BX93" s="100">
        <f>SUM(BL93:BW93)</f>
        <v>12811.099918836255</v>
      </c>
      <c r="BY93" s="68">
        <f>1230/1.2451+375</f>
        <v>1362.87246004337</v>
      </c>
      <c r="BZ93" s="179"/>
      <c r="CA93" s="74"/>
      <c r="CB93" s="179"/>
      <c r="CC93" s="74"/>
      <c r="CD93" s="74"/>
      <c r="CF93" s="109">
        <f>8720/1+17892/1</f>
        <v>26612</v>
      </c>
      <c r="CH93" s="386">
        <v>1230</v>
      </c>
      <c r="CI93" s="109">
        <v>1265</v>
      </c>
      <c r="CK93" s="100">
        <f t="shared" si="42"/>
        <v>30469.872460043371</v>
      </c>
      <c r="CL93" s="130"/>
      <c r="CO93" s="109">
        <f>1500</f>
        <v>1500</v>
      </c>
      <c r="CS93" s="109">
        <f>8200</f>
        <v>8200</v>
      </c>
      <c r="CV93" s="386">
        <v>1230</v>
      </c>
      <c r="CW93" s="386"/>
      <c r="CY93" s="100">
        <f t="shared" si="43"/>
        <v>10930</v>
      </c>
      <c r="DL93" s="100">
        <f t="shared" si="44"/>
        <v>0</v>
      </c>
    </row>
    <row r="94" spans="2:116">
      <c r="B94" s="1" t="s">
        <v>463</v>
      </c>
      <c r="C94" s="139"/>
      <c r="D94" s="139"/>
      <c r="E94" s="139"/>
      <c r="F94" s="4"/>
      <c r="G94" s="4"/>
      <c r="H94" s="4"/>
      <c r="I94" s="4"/>
      <c r="J94" s="4"/>
      <c r="K94" s="4"/>
      <c r="L94" s="4"/>
      <c r="M94" s="139"/>
      <c r="N94" s="139"/>
      <c r="O94" s="40">
        <f t="shared" si="39"/>
        <v>0</v>
      </c>
      <c r="P94" s="69"/>
      <c r="Q94" s="69"/>
      <c r="R94" s="69"/>
      <c r="S94" s="69">
        <v>1600</v>
      </c>
      <c r="T94" s="69"/>
      <c r="U94" s="69"/>
      <c r="V94" s="69"/>
      <c r="W94" s="72"/>
      <c r="X94" s="69"/>
      <c r="Y94" s="69"/>
      <c r="Z94" s="69"/>
      <c r="AA94" s="69"/>
      <c r="AB94" s="117">
        <f t="shared" si="40"/>
        <v>1600</v>
      </c>
      <c r="AC94" s="115"/>
      <c r="AD94" s="69"/>
      <c r="AE94" s="69"/>
      <c r="AF94" s="67">
        <v>2000</v>
      </c>
      <c r="AG94" s="69"/>
      <c r="AH94" s="69"/>
      <c r="AI94" s="69"/>
      <c r="AJ94" s="69"/>
      <c r="AK94" s="119">
        <f t="shared" si="47"/>
        <v>2000</v>
      </c>
      <c r="AL94" s="67"/>
      <c r="AM94" s="69"/>
      <c r="AN94" s="67">
        <v>1500</v>
      </c>
      <c r="AO94" s="69"/>
      <c r="AP94" s="69"/>
      <c r="AQ94" s="69"/>
      <c r="AR94" s="179"/>
      <c r="AS94" s="69"/>
      <c r="AT94" s="67">
        <f>2000+1500</f>
        <v>3500</v>
      </c>
      <c r="AU94" s="69"/>
      <c r="AV94" s="69"/>
      <c r="AW94" s="69"/>
      <c r="AX94" s="100">
        <f t="shared" si="41"/>
        <v>5000</v>
      </c>
      <c r="AY94" s="68"/>
      <c r="AZ94" s="69"/>
      <c r="BA94" s="74"/>
      <c r="BB94" s="74"/>
      <c r="BC94" s="67">
        <v>240</v>
      </c>
      <c r="BD94" s="74"/>
      <c r="BE94" s="74"/>
      <c r="BF94" s="74"/>
      <c r="BG94" s="68">
        <f>975+975</f>
        <v>1950</v>
      </c>
      <c r="BH94" s="69"/>
      <c r="BI94" s="69"/>
      <c r="BJ94" s="197"/>
      <c r="BK94" s="100">
        <f t="shared" si="48"/>
        <v>2190</v>
      </c>
      <c r="BL94" s="202"/>
      <c r="BM94" s="179"/>
      <c r="BN94" s="74"/>
      <c r="BO94" s="74"/>
      <c r="BP94" s="67">
        <v>240</v>
      </c>
      <c r="BQ94" s="215"/>
      <c r="BR94" s="179"/>
      <c r="BS94" s="179"/>
      <c r="BT94" s="68">
        <f>1062.75+1062.75</f>
        <v>2125.5</v>
      </c>
      <c r="BU94" s="179"/>
      <c r="BV94" s="179"/>
      <c r="BW94" s="237"/>
      <c r="BX94" s="100">
        <f t="shared" si="38"/>
        <v>2365.5</v>
      </c>
      <c r="BY94" s="74"/>
      <c r="BZ94" s="74"/>
      <c r="CA94" s="74"/>
      <c r="CB94" s="74"/>
      <c r="CC94" s="74"/>
      <c r="CD94" s="68">
        <v>2000</v>
      </c>
      <c r="CG94" s="109">
        <v>2125.5</v>
      </c>
      <c r="CK94" s="100">
        <f>SUM(BY94:CJ94)</f>
        <v>4125.5</v>
      </c>
      <c r="CL94" s="130"/>
      <c r="CR94" s="109">
        <v>2000</v>
      </c>
      <c r="CU94" s="109"/>
      <c r="CY94" s="100">
        <f t="shared" si="43"/>
        <v>2000</v>
      </c>
      <c r="DE94" s="109">
        <v>2000</v>
      </c>
      <c r="DL94" s="100">
        <f t="shared" si="44"/>
        <v>2000</v>
      </c>
    </row>
    <row r="95" spans="2:116">
      <c r="B95" s="1" t="s">
        <v>195</v>
      </c>
      <c r="C95" s="139"/>
      <c r="D95" s="139"/>
      <c r="E95" s="139"/>
      <c r="F95" s="4"/>
      <c r="G95" s="4"/>
      <c r="H95" s="4"/>
      <c r="I95" s="4"/>
      <c r="J95" s="4"/>
      <c r="K95" s="4"/>
      <c r="L95" s="4"/>
      <c r="M95" s="139"/>
      <c r="N95" s="139"/>
      <c r="O95" s="40">
        <f t="shared" si="39"/>
        <v>0</v>
      </c>
      <c r="P95" s="69">
        <v>-17.850000000000001</v>
      </c>
      <c r="Q95" s="69">
        <f>-490.35+193.16</f>
        <v>-297.19000000000005</v>
      </c>
      <c r="R95" s="69">
        <f>-225.34+3413.21</f>
        <v>3187.87</v>
      </c>
      <c r="S95" s="69"/>
      <c r="T95" s="69">
        <f>-1928.22-131.25+1087.8+7.24</f>
        <v>-964.43000000000029</v>
      </c>
      <c r="U95" s="69">
        <v>-1274.7</v>
      </c>
      <c r="V95" s="69">
        <f>5273.77</f>
        <v>5273.77</v>
      </c>
      <c r="W95" s="72">
        <v>-3895.02</v>
      </c>
      <c r="X95" s="67">
        <f>-2701.72</f>
        <v>-2701.72</v>
      </c>
      <c r="Y95" s="67">
        <f>-1503.4</f>
        <v>-1503.4</v>
      </c>
      <c r="Z95" s="67">
        <v>234.08</v>
      </c>
      <c r="AA95" s="67">
        <f>205.85+1293.82-3007.48-1133.47</f>
        <v>-2641.28</v>
      </c>
      <c r="AB95" s="117">
        <f t="shared" si="40"/>
        <v>-4599.87</v>
      </c>
      <c r="AC95" s="115"/>
      <c r="AD95" s="69"/>
      <c r="AE95" s="69"/>
      <c r="AF95" s="67">
        <f>-1757.82</f>
        <v>-1757.82</v>
      </c>
      <c r="AG95" s="67">
        <f>-6799.75-2599.73</f>
        <v>-9399.48</v>
      </c>
      <c r="AH95" s="67">
        <v>-149.04</v>
      </c>
      <c r="AI95" s="67">
        <f>5532.53-2503.41</f>
        <v>3029.12</v>
      </c>
      <c r="AJ95" s="69"/>
      <c r="AK95" s="119">
        <f t="shared" si="47"/>
        <v>-8277.2200000000012</v>
      </c>
      <c r="AL95" s="67">
        <v>-2820.73</v>
      </c>
      <c r="AM95" s="67">
        <v>10560.38</v>
      </c>
      <c r="AN95" s="67">
        <v>-2793.64</v>
      </c>
      <c r="AO95" s="67">
        <v>-6970.42</v>
      </c>
      <c r="AP95" s="67">
        <v>-2563.85</v>
      </c>
      <c r="AQ95" s="67">
        <v>918.07</v>
      </c>
      <c r="AR95" s="67">
        <v>8180.2</v>
      </c>
      <c r="AS95" s="69"/>
      <c r="AT95" s="67">
        <f>2315.58+52.72</f>
        <v>2368.2999999999997</v>
      </c>
      <c r="AU95" s="67">
        <f>-17193.52+2754.41-282.76</f>
        <v>-14721.87</v>
      </c>
      <c r="AV95" s="67">
        <f>9146.69+8383.86</f>
        <v>17530.550000000003</v>
      </c>
      <c r="AW95" s="67">
        <f>-1344.4+6610.91+648.82</f>
        <v>5915.33</v>
      </c>
      <c r="AX95" s="100">
        <f t="shared" si="41"/>
        <v>15602.320000000002</v>
      </c>
      <c r="AY95" s="68"/>
      <c r="AZ95" s="69"/>
      <c r="BA95" s="69"/>
      <c r="BB95" s="67">
        <f>-(6963.8-157.2)+3034.69</f>
        <v>-3771.9100000000003</v>
      </c>
      <c r="BC95" s="68">
        <f>-(5030.09-2625)</f>
        <v>-2405.09</v>
      </c>
      <c r="BD95" s="68">
        <f>-(5646.53-1642.54)+2576.05+1242.79</f>
        <v>-185.14999999999964</v>
      </c>
      <c r="BE95" s="67">
        <v>-237.37</v>
      </c>
      <c r="BF95" s="67">
        <v>-4582.6099999999997</v>
      </c>
      <c r="BG95" s="67">
        <f>-4611.52+191.81+2175.68+1942.75</f>
        <v>-301.2800000000002</v>
      </c>
      <c r="BH95" s="68">
        <f>-103.6</f>
        <v>-103.6</v>
      </c>
      <c r="BI95" s="74"/>
      <c r="BJ95" s="67">
        <f>-2413.07</f>
        <v>-2413.0700000000002</v>
      </c>
      <c r="BK95" s="100">
        <f>SUM(AY95:BJ95)</f>
        <v>-14000.08</v>
      </c>
      <c r="BL95" s="67">
        <f>-9203.26-13942.94-12337.68</f>
        <v>-35483.880000000005</v>
      </c>
      <c r="BM95" s="69"/>
      <c r="BN95" s="244">
        <f>(4778.21+3667.53+2428.27)+(-7312.8-60.11)-9926.25-10125.68</f>
        <v>-16550.830000000002</v>
      </c>
      <c r="BO95" s="67">
        <f>-11339.06+2935.11+6152.25+6954.88+6336.17</f>
        <v>11039.350000000002</v>
      </c>
      <c r="BP95" s="67">
        <f>-9497.58</f>
        <v>-9497.58</v>
      </c>
      <c r="BQ95" s="244">
        <f>-14834.8+2854.63+3706.36</f>
        <v>-8273.8099999999977</v>
      </c>
      <c r="BR95" s="67">
        <f>-15472.99</f>
        <v>-15472.99</v>
      </c>
      <c r="BS95" s="69"/>
      <c r="BT95" s="67">
        <f>(-19049.98+167.66)</f>
        <v>-18882.32</v>
      </c>
      <c r="BU95" s="68">
        <f>-5113.31-34410.49</f>
        <v>-39523.799999999996</v>
      </c>
      <c r="BV95" s="67">
        <f>-5799.9+607.72+8959.67+9212.5+2988.74</f>
        <v>15968.730000000001</v>
      </c>
      <c r="BW95" s="67">
        <f>-31631.49+16403.48</f>
        <v>-15228.010000000002</v>
      </c>
      <c r="BX95" s="100">
        <f t="shared" si="38"/>
        <v>-131905.13999999998</v>
      </c>
      <c r="BY95" s="74"/>
      <c r="BZ95" s="67">
        <f>-10540.54</f>
        <v>-10540.54</v>
      </c>
      <c r="CA95" s="67">
        <f>-5016.39-(4659.34-61.33)</f>
        <v>-9614.4000000000015</v>
      </c>
      <c r="CB95" s="67">
        <v>-3628.38</v>
      </c>
      <c r="CC95" s="67">
        <v>-8805.44</v>
      </c>
      <c r="CD95" s="74"/>
      <c r="CE95" s="254">
        <v>-5831.05</v>
      </c>
      <c r="CF95" s="83">
        <v>-4256.5</v>
      </c>
      <c r="CG95" s="83">
        <v>-7846.44</v>
      </c>
      <c r="CH95" s="83">
        <v>-4243.13</v>
      </c>
      <c r="CK95" s="100">
        <f>SUM(BZ95:CJ95)</f>
        <v>-54765.880000000005</v>
      </c>
      <c r="CL95" s="130"/>
      <c r="CY95" s="100">
        <f t="shared" si="43"/>
        <v>0</v>
      </c>
      <c r="DL95" s="100">
        <f t="shared" si="44"/>
        <v>0</v>
      </c>
    </row>
    <row r="96" spans="2:116">
      <c r="B96" s="1" t="s">
        <v>196</v>
      </c>
      <c r="C96" s="139"/>
      <c r="D96" s="139"/>
      <c r="E96" s="139"/>
      <c r="F96" s="4"/>
      <c r="G96" s="4"/>
      <c r="H96" s="4"/>
      <c r="I96" s="4"/>
      <c r="J96" s="4"/>
      <c r="K96" s="4"/>
      <c r="L96" s="4"/>
      <c r="M96" s="139"/>
      <c r="N96" s="139"/>
      <c r="O96" s="40">
        <f t="shared" si="39"/>
        <v>0</v>
      </c>
      <c r="P96" s="69"/>
      <c r="Q96" s="69"/>
      <c r="R96" s="69"/>
      <c r="S96" s="69">
        <v>2657.05</v>
      </c>
      <c r="T96" s="69"/>
      <c r="U96" s="69"/>
      <c r="V96" s="69">
        <v>-2469.94</v>
      </c>
      <c r="W96" s="72"/>
      <c r="X96" s="67"/>
      <c r="Y96" s="67">
        <f>6053.41</f>
        <v>6053.41</v>
      </c>
      <c r="Z96" s="67"/>
      <c r="AA96" s="67"/>
      <c r="AB96" s="117">
        <f t="shared" si="40"/>
        <v>6240.52</v>
      </c>
      <c r="AC96" s="120">
        <v>6893.49</v>
      </c>
      <c r="AD96" s="69"/>
      <c r="AE96" s="69"/>
      <c r="AF96" s="67"/>
      <c r="AG96" s="67">
        <f>7065.63</f>
        <v>7065.63</v>
      </c>
      <c r="AH96" s="69"/>
      <c r="AI96" s="67">
        <v>6864.49</v>
      </c>
      <c r="AJ96" s="69"/>
      <c r="AK96" s="119">
        <f t="shared" si="47"/>
        <v>20823.61</v>
      </c>
      <c r="AL96" s="67"/>
      <c r="AM96" s="67">
        <v>7143.48</v>
      </c>
      <c r="AN96" s="69"/>
      <c r="AO96" s="69"/>
      <c r="AP96" s="68">
        <v>5826.81</v>
      </c>
      <c r="AQ96" s="179"/>
      <c r="AR96" s="68">
        <f>8429.64-5826.81</f>
        <v>2602.829999999999</v>
      </c>
      <c r="AS96" s="68">
        <f>9854.3-703.46</f>
        <v>9150.84</v>
      </c>
      <c r="AT96" s="179"/>
      <c r="AU96" s="179"/>
      <c r="AV96" s="68">
        <f>10254.14</f>
        <v>10254.14</v>
      </c>
      <c r="AW96" s="68">
        <f>-823.92</f>
        <v>-823.92</v>
      </c>
      <c r="AX96" s="100">
        <f t="shared" si="41"/>
        <v>34154.18</v>
      </c>
      <c r="AY96" s="68"/>
      <c r="AZ96" s="68">
        <v>10039.379999999999</v>
      </c>
      <c r="BA96" s="179"/>
      <c r="BB96" s="68">
        <v>-237.59</v>
      </c>
      <c r="BC96" s="68">
        <v>10792.67</v>
      </c>
      <c r="BD96" s="68">
        <v>-1338.53</v>
      </c>
      <c r="BE96" s="179"/>
      <c r="BF96" s="68">
        <v>10200.620000000001</v>
      </c>
      <c r="BG96" s="68">
        <v>-789.8</v>
      </c>
      <c r="BH96" s="225"/>
      <c r="BI96" s="68">
        <v>12531.59</v>
      </c>
      <c r="BJ96" s="235">
        <v>-385.47</v>
      </c>
      <c r="BK96" s="100">
        <f t="shared" si="48"/>
        <v>40812.870000000003</v>
      </c>
      <c r="BL96" s="202"/>
      <c r="BM96" s="68">
        <v>18046.59</v>
      </c>
      <c r="BN96" s="212">
        <v>-5680.89</v>
      </c>
      <c r="BO96" s="179"/>
      <c r="BP96" s="68">
        <v>11632.67</v>
      </c>
      <c r="BQ96" s="212">
        <f>175.21-2015.57-175.21</f>
        <v>-2015.57</v>
      </c>
      <c r="BR96" s="72"/>
      <c r="BS96" s="68">
        <f>12102.52</f>
        <v>12102.52</v>
      </c>
      <c r="BT96" s="74"/>
      <c r="BU96" s="74"/>
      <c r="BV96" s="68">
        <f>-1028.48+13140.02-1893.55</f>
        <v>10217.990000000002</v>
      </c>
      <c r="BW96" s="237"/>
      <c r="BX96" s="100">
        <f t="shared" si="38"/>
        <v>44303.310000000012</v>
      </c>
      <c r="BY96" s="74"/>
      <c r="BZ96" s="68">
        <v>11833.83</v>
      </c>
      <c r="CA96" s="74"/>
      <c r="CB96" s="74"/>
      <c r="CC96" s="68">
        <f>12418.39-(1.56+24)</f>
        <v>12392.83</v>
      </c>
      <c r="CD96" s="74"/>
      <c r="CE96" s="305">
        <v>206.64</v>
      </c>
      <c r="CF96" s="109">
        <f>1650*3+2075*3+89.85*3</f>
        <v>11444.55</v>
      </c>
      <c r="CI96" s="109">
        <f>1650*3+2075*3+89.85*3</f>
        <v>11444.55</v>
      </c>
      <c r="CK96" s="100">
        <f t="shared" si="42"/>
        <v>47322.399999999994</v>
      </c>
      <c r="CL96" s="130"/>
      <c r="CN96" s="109">
        <f>1650*3+2075*3+89.85*3</f>
        <v>11444.55</v>
      </c>
      <c r="CQ96" s="109">
        <f>1650*3+2075*3+89.85*3</f>
        <v>11444.55</v>
      </c>
      <c r="CT96" s="109">
        <f>1650*3+2075*3+89.85*3</f>
        <v>11444.55</v>
      </c>
      <c r="CW96" s="109">
        <f>1650*3+2075*3+89.85*3</f>
        <v>11444.55</v>
      </c>
      <c r="CY96" s="100">
        <f t="shared" si="43"/>
        <v>45778.2</v>
      </c>
      <c r="DA96" s="109">
        <f>1650*3+2075*3+89.85*3</f>
        <v>11444.55</v>
      </c>
      <c r="DD96" s="109">
        <f>1650*3+2075*3+89.85*3</f>
        <v>11444.55</v>
      </c>
      <c r="DG96" s="109">
        <f>1650*3+2075*3+89.85*3</f>
        <v>11444.55</v>
      </c>
      <c r="DJ96" s="109">
        <f>1650*3+2075*3+89.85*3</f>
        <v>11444.55</v>
      </c>
      <c r="DL96" s="100">
        <f t="shared" si="44"/>
        <v>45778.2</v>
      </c>
    </row>
    <row r="97" spans="2:116">
      <c r="B97" s="1" t="s">
        <v>197</v>
      </c>
      <c r="C97" s="139"/>
      <c r="D97" s="139"/>
      <c r="E97" s="139"/>
      <c r="F97" s="4"/>
      <c r="G97" s="4"/>
      <c r="H97" s="4"/>
      <c r="I97" s="4"/>
      <c r="J97" s="4"/>
      <c r="K97" s="4"/>
      <c r="L97" s="4"/>
      <c r="M97" s="139"/>
      <c r="N97" s="139"/>
      <c r="O97" s="40">
        <f t="shared" si="39"/>
        <v>0</v>
      </c>
      <c r="P97" s="69"/>
      <c r="Q97" s="69"/>
      <c r="R97" s="69"/>
      <c r="S97" s="69"/>
      <c r="T97" s="69"/>
      <c r="U97" s="69"/>
      <c r="V97" s="69">
        <f>3095.49</f>
        <v>3095.49</v>
      </c>
      <c r="W97" s="72"/>
      <c r="X97" s="67"/>
      <c r="Y97" s="67"/>
      <c r="Z97" s="67"/>
      <c r="AA97" s="67">
        <f>557.19*2</f>
        <v>1114.3800000000001</v>
      </c>
      <c r="AB97" s="117">
        <f>SUM(P97:AA97)</f>
        <v>4209.87</v>
      </c>
      <c r="AC97" s="120"/>
      <c r="AD97" s="69"/>
      <c r="AE97" s="69"/>
      <c r="AF97" s="67"/>
      <c r="AG97" s="67">
        <f>557.19</f>
        <v>557.19000000000005</v>
      </c>
      <c r="AH97" s="69"/>
      <c r="AI97" s="67">
        <v>14219.73</v>
      </c>
      <c r="AJ97" s="69"/>
      <c r="AK97" s="119">
        <f t="shared" si="47"/>
        <v>14776.92</v>
      </c>
      <c r="AL97" s="67"/>
      <c r="AM97" s="67">
        <v>2760.14</v>
      </c>
      <c r="AN97" s="69"/>
      <c r="AO97" s="67">
        <v>2760.14</v>
      </c>
      <c r="AP97" s="69"/>
      <c r="AQ97" s="69"/>
      <c r="AR97" s="69"/>
      <c r="AS97" s="67">
        <f>-624.19</f>
        <v>-624.19000000000005</v>
      </c>
      <c r="AT97" s="69"/>
      <c r="AU97" s="69"/>
      <c r="AV97" s="69"/>
      <c r="AW97" s="69"/>
      <c r="AX97" s="100">
        <f t="shared" si="41"/>
        <v>4896.09</v>
      </c>
      <c r="AY97" s="68"/>
      <c r="AZ97" s="74"/>
      <c r="BA97" s="74"/>
      <c r="BB97" s="69"/>
      <c r="BC97" s="69"/>
      <c r="BD97" s="69"/>
      <c r="BE97" s="124">
        <f>32326.09-2760.14*2+734.65</f>
        <v>27540.460000000003</v>
      </c>
      <c r="BF97" s="67">
        <v>5818.7</v>
      </c>
      <c r="BG97" s="74"/>
      <c r="BH97" s="225"/>
      <c r="BI97" s="74"/>
      <c r="BJ97" s="68"/>
      <c r="BK97" s="100">
        <f>SUM(AY97:BJ97)</f>
        <v>33359.160000000003</v>
      </c>
      <c r="BL97" s="74"/>
      <c r="BM97" s="68">
        <v>5818.7</v>
      </c>
      <c r="BN97" s="74"/>
      <c r="BO97" s="68">
        <v>5818.7</v>
      </c>
      <c r="BP97" s="74"/>
      <c r="BQ97" s="215"/>
      <c r="BR97" s="68">
        <f>(233541.66-5818.7*1)-29971.42</f>
        <v>197751.53999999998</v>
      </c>
      <c r="BS97" s="68">
        <v>1008</v>
      </c>
      <c r="BT97" s="74"/>
      <c r="BU97" s="68">
        <f>(227071.42-197100)+143.44</f>
        <v>30114.860000000011</v>
      </c>
      <c r="BV97" s="74"/>
      <c r="BW97" s="179"/>
      <c r="BX97" s="100">
        <f>SUM(BL97:BW97)</f>
        <v>240511.8</v>
      </c>
      <c r="BY97" s="179"/>
      <c r="BZ97" s="68">
        <v>1008</v>
      </c>
      <c r="CA97" s="74"/>
      <c r="CB97" s="68">
        <v>1008</v>
      </c>
      <c r="CC97" s="74"/>
      <c r="CD97" s="74"/>
      <c r="CF97" s="289">
        <f>(-5818.7*2-1008)+4298.08</f>
        <v>-8347.32</v>
      </c>
      <c r="CG97" s="109">
        <f>17192.3*0.18</f>
        <v>3094.6139999999996</v>
      </c>
      <c r="CH97" s="385">
        <f>(227071.42*0.18-1008-1008)*3*0</f>
        <v>0</v>
      </c>
      <c r="CK97" s="100">
        <f>SUM(BZ97:CJ97)</f>
        <v>-3236.7060000000001</v>
      </c>
      <c r="CL97" s="130"/>
      <c r="CN97" s="109">
        <f>17192.3*0.18</f>
        <v>3094.6139999999996</v>
      </c>
      <c r="CP97" s="109">
        <f>17192.3*0.18</f>
        <v>3094.6139999999996</v>
      </c>
      <c r="CS97" s="289">
        <f>-227071.42*0.18*2*0</f>
        <v>0</v>
      </c>
      <c r="CY97" s="100">
        <f>SUM(CN97:CX97)</f>
        <v>6189.2279999999992</v>
      </c>
      <c r="DF97" s="289">
        <f>-227071.42*0.18*2*0</f>
        <v>0</v>
      </c>
      <c r="DL97" s="100">
        <f>SUM(DA97:DK97)</f>
        <v>0</v>
      </c>
    </row>
    <row r="98" spans="2:116">
      <c r="B98" s="1" t="s">
        <v>198</v>
      </c>
      <c r="C98" s="139">
        <v>64.650000000000006</v>
      </c>
      <c r="D98" s="139"/>
      <c r="E98" s="139">
        <v>-2551.29</v>
      </c>
      <c r="F98" s="4">
        <v>-5597.55</v>
      </c>
      <c r="G98" s="4">
        <f>4000*0.21-1500*0.21</f>
        <v>525</v>
      </c>
      <c r="H98" s="4"/>
      <c r="I98" s="4">
        <f>2500*0.21</f>
        <v>525</v>
      </c>
      <c r="J98" s="4">
        <f t="shared" ref="J98:L98" si="53">2500*0.21</f>
        <v>525</v>
      </c>
      <c r="K98" s="4">
        <f t="shared" si="53"/>
        <v>525</v>
      </c>
      <c r="L98" s="4">
        <f t="shared" si="53"/>
        <v>525</v>
      </c>
      <c r="M98" s="139"/>
      <c r="N98" s="139">
        <v>-93.4</v>
      </c>
      <c r="O98" s="40">
        <f t="shared" si="39"/>
        <v>-5552.59</v>
      </c>
      <c r="P98" s="69"/>
      <c r="Q98" s="69"/>
      <c r="R98" s="69"/>
      <c r="S98" s="69"/>
      <c r="T98" s="69"/>
      <c r="U98" s="69"/>
      <c r="V98" s="69"/>
      <c r="W98" s="72"/>
      <c r="X98" s="67">
        <f>40.8</f>
        <v>40.799999999999997</v>
      </c>
      <c r="Y98" s="67"/>
      <c r="Z98" s="67"/>
      <c r="AB98" s="117">
        <f t="shared" si="40"/>
        <v>40.799999999999997</v>
      </c>
      <c r="AC98" s="120"/>
      <c r="AD98" s="69"/>
      <c r="AE98" s="69"/>
      <c r="AF98" s="67"/>
      <c r="AG98" s="67"/>
      <c r="AH98" s="67">
        <v>-76.64</v>
      </c>
      <c r="AI98" s="69"/>
      <c r="AJ98" s="69"/>
      <c r="AK98" s="119">
        <f t="shared" si="47"/>
        <v>-76.64</v>
      </c>
      <c r="AL98" s="67"/>
      <c r="AM98" s="74"/>
      <c r="AN98" s="69"/>
      <c r="AO98" s="69"/>
      <c r="AP98" s="74"/>
      <c r="AQ98" s="67">
        <f>4.6+25</f>
        <v>29.6</v>
      </c>
      <c r="AR98" s="69"/>
      <c r="AS98" s="69"/>
      <c r="AT98" s="69"/>
      <c r="AU98" s="69"/>
      <c r="AV98" s="69"/>
      <c r="AW98" s="69"/>
      <c r="AX98" s="100">
        <f t="shared" si="41"/>
        <v>29.6</v>
      </c>
      <c r="AY98" s="68"/>
      <c r="AZ98" s="69"/>
      <c r="BA98" s="69"/>
      <c r="BB98" s="69"/>
      <c r="BC98" s="69"/>
      <c r="BD98" s="69"/>
      <c r="BE98" s="69"/>
      <c r="BF98" s="69"/>
      <c r="BG98" s="69"/>
      <c r="BH98" s="72"/>
      <c r="BI98" s="67">
        <f>645.94+32.3</f>
        <v>678.24</v>
      </c>
      <c r="BJ98" s="197"/>
      <c r="BK98" s="100">
        <f t="shared" si="48"/>
        <v>678.24</v>
      </c>
      <c r="BL98" s="202"/>
      <c r="BM98" s="179"/>
      <c r="BN98" s="67">
        <f>613.64</f>
        <v>613.64</v>
      </c>
      <c r="BO98" s="68">
        <v>15.75</v>
      </c>
      <c r="BP98" s="179"/>
      <c r="BQ98" s="215"/>
      <c r="BR98" s="179"/>
      <c r="BS98" s="74"/>
      <c r="BT98" s="81">
        <v>132.99</v>
      </c>
      <c r="BU98" s="67">
        <f>613.64</f>
        <v>613.64</v>
      </c>
      <c r="BV98" s="179"/>
      <c r="BW98" s="237"/>
      <c r="BX98" s="100">
        <f t="shared" si="38"/>
        <v>1376.02</v>
      </c>
      <c r="BY98" s="74"/>
      <c r="BZ98" s="67">
        <f>978+931.43</f>
        <v>1909.4299999999998</v>
      </c>
      <c r="CA98" s="68">
        <f>613.64</f>
        <v>613.64</v>
      </c>
      <c r="CB98" s="74"/>
      <c r="CC98" s="74"/>
      <c r="CD98" s="74"/>
      <c r="CH98" s="109">
        <v>613.64</v>
      </c>
      <c r="CK98" s="100">
        <f t="shared" si="42"/>
        <v>3136.7099999999996</v>
      </c>
      <c r="CL98" s="130"/>
      <c r="CO98" s="109">
        <f>613.64</f>
        <v>613.64</v>
      </c>
      <c r="CT98" s="109">
        <f>645.94</f>
        <v>645.94000000000005</v>
      </c>
      <c r="CV98" s="171">
        <v>613.64</v>
      </c>
      <c r="CY98" s="100">
        <f t="shared" ref="CY98:CY125" si="54">SUM(CM98:CX98)</f>
        <v>1873.2199999999998</v>
      </c>
      <c r="DB98" s="171">
        <v>613.64</v>
      </c>
      <c r="DI98" s="171">
        <v>613.64</v>
      </c>
      <c r="DL98" s="100">
        <f t="shared" ref="DL98:DL125" si="55">SUM(CZ98:DK98)</f>
        <v>1227.28</v>
      </c>
    </row>
    <row r="99" spans="2:116">
      <c r="B99" s="1" t="s">
        <v>199</v>
      </c>
      <c r="C99" s="139">
        <f>6.09+3.95+5.91-3.95+0.67</f>
        <v>12.67</v>
      </c>
      <c r="D99" s="139">
        <f>70+0.67</f>
        <v>70.67</v>
      </c>
      <c r="E99" s="139">
        <v>0.79</v>
      </c>
      <c r="F99" s="4"/>
      <c r="G99" s="4"/>
      <c r="H99" s="4"/>
      <c r="I99" s="4"/>
      <c r="J99" s="4"/>
      <c r="K99" s="4"/>
      <c r="L99" s="4"/>
      <c r="M99" s="139"/>
      <c r="N99" s="139">
        <v>-3.95</v>
      </c>
      <c r="O99" s="40">
        <f t="shared" si="39"/>
        <v>80.180000000000007</v>
      </c>
      <c r="P99" s="69">
        <v>12</v>
      </c>
      <c r="Q99" s="69">
        <f>12.1+3.95+3.95-12-12.1+50</f>
        <v>45.9</v>
      </c>
      <c r="R99" s="69">
        <f>-50-3.95-3.95</f>
        <v>-57.900000000000006</v>
      </c>
      <c r="S99" s="69"/>
      <c r="T99" s="69">
        <v>28.28</v>
      </c>
      <c r="U99" s="69"/>
      <c r="V99" s="69">
        <v>77.599999999999994</v>
      </c>
      <c r="W99" s="72">
        <f>0.3+15+21.77</f>
        <v>37.07</v>
      </c>
      <c r="X99" s="67">
        <f>87.56-43.78-7.5-10.89</f>
        <v>25.39</v>
      </c>
      <c r="Y99" s="69"/>
      <c r="Z99" s="69"/>
      <c r="AA99" s="69"/>
      <c r="AB99" s="117">
        <f t="shared" si="40"/>
        <v>168.33999999999997</v>
      </c>
      <c r="AC99" s="120">
        <f>1+25+7.5</f>
        <v>33.5</v>
      </c>
      <c r="AD99" s="67">
        <f>80+1</f>
        <v>81</v>
      </c>
      <c r="AE99" s="67">
        <v>78</v>
      </c>
      <c r="AF99" s="67">
        <f>250+20/1.0849+145.8/1.0849</f>
        <v>402.82514517467052</v>
      </c>
      <c r="AG99" s="67">
        <f>77.6+1+72.9/1.0849+20.61/1.0905</f>
        <v>164.69472053725374</v>
      </c>
      <c r="AH99" s="67">
        <f>0.3+52.29/1.0898+145.8/1.0975</f>
        <v>181.12866137900792</v>
      </c>
      <c r="AI99" s="67">
        <f>80+20/1.0981</f>
        <v>98.213277479282397</v>
      </c>
      <c r="AJ99" s="67">
        <v>145.09</v>
      </c>
      <c r="AK99" s="119">
        <f t="shared" si="47"/>
        <v>1184.4518045702146</v>
      </c>
      <c r="AL99" s="67">
        <f>-145.09+7</f>
        <v>-138.09</v>
      </c>
      <c r="AM99" s="67">
        <f>4.78+1200+20/1.1094</f>
        <v>1222.8077627546422</v>
      </c>
      <c r="AN99" s="67"/>
      <c r="AO99" s="67">
        <f>269.25</f>
        <v>269.25</v>
      </c>
      <c r="AP99" s="67">
        <f>80+25*4+220/1.225+403.18/1.2240464+145.8/1.1094</f>
        <v>820.39716564059165</v>
      </c>
      <c r="AQ99" s="68">
        <f>-214/1.224046-(192.5+18.18)/1.224046-80-12.5*4</f>
        <v>-476.94774542786791</v>
      </c>
      <c r="AR99" s="190">
        <f>274.8/1.1338</f>
        <v>242.37078849885344</v>
      </c>
      <c r="AS99" s="68">
        <f>14.4/1.224+7.39/1.2018+1.39+14.85+68.7/1.1338</f>
        <v>94.746512675896383</v>
      </c>
      <c r="AT99" s="68">
        <f>15+15+7.41/1.20388+7.49/1.20499-7.5-7.5+5517.46/1.13377</f>
        <v>4893.8429535076702</v>
      </c>
      <c r="AU99" s="68">
        <f>1+2+(18.27/1.20499)+(65.57/1.20499)+(556.38/1.1539)+(30/1.1539)+30+(55/1.205)</f>
        <v>656.39277971111983</v>
      </c>
      <c r="AV99" s="68">
        <f>1+178.97+2.43+1200+(171.75/1.153899)</f>
        <v>1531.2431829822194</v>
      </c>
      <c r="AW99" s="68">
        <f>10.34+(34.35/1.153899)</f>
        <v>40.108636596443887</v>
      </c>
      <c r="AX99" s="100">
        <f>SUM(AL99:AW99)</f>
        <v>9156.1220369395687</v>
      </c>
      <c r="AY99" s="68">
        <f>3+3+716.07/1.1539+673.17/1.1629+78.3+120</f>
        <v>1403.7368263502306</v>
      </c>
      <c r="AZ99" s="68">
        <f>7.12/1.1637-120+24.88+12.13+31.33/1.1637</f>
        <v>-49.948838188536577</v>
      </c>
      <c r="BA99" s="74"/>
      <c r="BB99" s="190">
        <f>70-70+3+78.3+504.47</f>
        <v>585.77</v>
      </c>
      <c r="BC99" s="68">
        <f>12.28+30.45/1.1374</f>
        <v>39.051584315104627</v>
      </c>
      <c r="BD99" s="190">
        <f>1+88.78</f>
        <v>89.78</v>
      </c>
      <c r="BE99" s="190">
        <f>1+4.43+88.92</f>
        <v>94.35</v>
      </c>
      <c r="BF99" s="68">
        <f>12.29+59.28+(832.3+173.64)</f>
        <v>1077.51</v>
      </c>
      <c r="BG99" s="190">
        <f>238.84+1.63</f>
        <v>240.47</v>
      </c>
      <c r="BH99" s="68">
        <f>-(752.3+143.64)+225.51+15+0.91+28.85/1.0784</f>
        <v>-627.76740356083087</v>
      </c>
      <c r="BI99" s="68">
        <f>292.78+11.93+6.13+0.36+12</f>
        <v>323.2</v>
      </c>
      <c r="BJ99" s="68">
        <f>12+782.17</f>
        <v>794.17</v>
      </c>
      <c r="BK99" s="100">
        <f>SUM(AY99:BJ99)</f>
        <v>3970.3221689159673</v>
      </c>
      <c r="BL99" s="68">
        <f>-287.24+1.09+12</f>
        <v>-274.15000000000003</v>
      </c>
      <c r="BM99" s="68">
        <f>16.53+12+11.89+26.77</f>
        <v>67.19</v>
      </c>
      <c r="BN99" s="68">
        <f>660.5+12+0.54</f>
        <v>673.04</v>
      </c>
      <c r="BO99" s="68">
        <f>112.21+27.91+12+0.36</f>
        <v>152.48000000000002</v>
      </c>
      <c r="BP99" s="81">
        <f>4.05+13.22+0.18+12</f>
        <v>29.45</v>
      </c>
      <c r="BQ99" s="81">
        <f>1.09+12</f>
        <v>13.09</v>
      </c>
      <c r="BR99" s="68">
        <f>26.61+12+762/1.075+762/1.0596</f>
        <v>1466.5865071505702</v>
      </c>
      <c r="BS99" s="190">
        <f>0.73-0.73-1.09-0.18-0.36-0.54+12+100/1.0821</f>
        <v>102.24290084095739</v>
      </c>
      <c r="BT99" s="190">
        <f>12</f>
        <v>12</v>
      </c>
      <c r="BU99" s="68">
        <f>27.72+12</f>
        <v>39.72</v>
      </c>
      <c r="BV99" s="68">
        <f>18.73+18.73+12</f>
        <v>49.46</v>
      </c>
      <c r="BW99" s="68">
        <f>12+63.26-63.26</f>
        <v>11.999999999999993</v>
      </c>
      <c r="BX99" s="100">
        <f>SUM(BL99:BW99)</f>
        <v>2343.1094079915274</v>
      </c>
      <c r="BY99" s="68">
        <f>12</f>
        <v>12</v>
      </c>
      <c r="BZ99" s="190">
        <f>12+48.59+349.54+95.95+52.82+48.43+73.95/1.0815</f>
        <v>675.70725381414695</v>
      </c>
      <c r="CA99" s="190">
        <f>15.08+1051.8/1.0813+12</f>
        <v>999.79802460001861</v>
      </c>
      <c r="CB99" s="190">
        <v>12</v>
      </c>
      <c r="CC99" s="190">
        <f>12+40+40+572.86/1.0866</f>
        <v>619.20412295232836</v>
      </c>
      <c r="CD99" s="81">
        <f>12+90.34+66.31</f>
        <v>168.65</v>
      </c>
      <c r="CE99" s="2">
        <f>89.68+12</f>
        <v>101.68</v>
      </c>
      <c r="CG99" s="66">
        <f>-269.25</f>
        <v>-269.25</v>
      </c>
      <c r="CK99" s="100">
        <f>SUM(CD99:CJ99)</f>
        <v>1.0800000000000409</v>
      </c>
      <c r="CL99" s="130"/>
      <c r="CY99" s="100">
        <f t="shared" si="54"/>
        <v>0</v>
      </c>
      <c r="DL99" s="100">
        <f t="shared" si="55"/>
        <v>0</v>
      </c>
    </row>
    <row r="100" spans="2:116">
      <c r="B100" s="1" t="s">
        <v>200</v>
      </c>
      <c r="C100" s="139"/>
      <c r="D100" s="139"/>
      <c r="E100" s="139"/>
      <c r="F100" s="4"/>
      <c r="G100" s="4"/>
      <c r="H100" s="4"/>
      <c r="I100" s="4"/>
      <c r="J100" s="4"/>
      <c r="K100" s="4"/>
      <c r="L100" s="4"/>
      <c r="M100" s="139"/>
      <c r="N100" s="139"/>
      <c r="O100" s="40"/>
      <c r="P100" s="69"/>
      <c r="Q100" s="69"/>
      <c r="R100" s="69"/>
      <c r="S100" s="69"/>
      <c r="T100" s="69"/>
      <c r="U100" s="69"/>
      <c r="V100" s="69"/>
      <c r="W100" s="72"/>
      <c r="X100" s="67"/>
      <c r="Y100" s="69"/>
      <c r="Z100" s="69"/>
      <c r="AA100" s="69"/>
      <c r="AB100" s="117">
        <f t="shared" si="40"/>
        <v>0</v>
      </c>
      <c r="AC100" s="120"/>
      <c r="AD100" s="67"/>
      <c r="AE100" s="67"/>
      <c r="AF100" s="67"/>
      <c r="AG100" s="67">
        <f>36.52</f>
        <v>36.520000000000003</v>
      </c>
      <c r="AH100" s="67">
        <f>123.75</f>
        <v>123.75</v>
      </c>
      <c r="AI100" s="67">
        <f>123.75</f>
        <v>123.75</v>
      </c>
      <c r="AJ100" s="67">
        <f>123.75</f>
        <v>123.75</v>
      </c>
      <c r="AK100" s="119">
        <f t="shared" si="47"/>
        <v>407.77</v>
      </c>
      <c r="AL100" s="67">
        <f t="shared" ref="AL100:AU100" si="56">123.75</f>
        <v>123.75</v>
      </c>
      <c r="AM100" s="67">
        <f t="shared" si="56"/>
        <v>123.75</v>
      </c>
      <c r="AN100" s="67">
        <f t="shared" si="56"/>
        <v>123.75</v>
      </c>
      <c r="AO100" s="67">
        <f t="shared" si="56"/>
        <v>123.75</v>
      </c>
      <c r="AP100" s="67">
        <f t="shared" si="56"/>
        <v>123.75</v>
      </c>
      <c r="AQ100" s="68">
        <f t="shared" si="56"/>
        <v>123.75</v>
      </c>
      <c r="AR100" s="190">
        <f t="shared" si="56"/>
        <v>123.75</v>
      </c>
      <c r="AS100" s="68">
        <f t="shared" si="56"/>
        <v>123.75</v>
      </c>
      <c r="AT100" s="68">
        <f t="shared" si="56"/>
        <v>123.75</v>
      </c>
      <c r="AU100" s="68">
        <f t="shared" si="56"/>
        <v>123.75</v>
      </c>
      <c r="AV100" s="68">
        <f>AU148*0.015/12</f>
        <v>123.75</v>
      </c>
      <c r="AW100" s="68">
        <f>AV148*0.015/12</f>
        <v>123.75</v>
      </c>
      <c r="AX100" s="100">
        <f>SUM(AL100:AW100)</f>
        <v>1485</v>
      </c>
      <c r="AY100" s="68">
        <f>AW148*0.015/12</f>
        <v>123.75</v>
      </c>
      <c r="AZ100" s="68">
        <f>AY148*0.015/12</f>
        <v>123.75</v>
      </c>
      <c r="BA100" s="68">
        <f>AZ148*0.015/12</f>
        <v>123.75</v>
      </c>
      <c r="BB100" s="68">
        <f t="shared" ref="BB100:BJ100" si="57">BA148*0.015/12</f>
        <v>123.75</v>
      </c>
      <c r="BC100" s="68">
        <f t="shared" si="57"/>
        <v>123.75</v>
      </c>
      <c r="BD100" s="68">
        <f t="shared" si="57"/>
        <v>123.75</v>
      </c>
      <c r="BE100" s="68">
        <f t="shared" si="57"/>
        <v>123.75</v>
      </c>
      <c r="BF100" s="68">
        <f t="shared" si="57"/>
        <v>123.75</v>
      </c>
      <c r="BG100" s="68">
        <f t="shared" si="57"/>
        <v>123.75</v>
      </c>
      <c r="BH100" s="68">
        <f t="shared" si="57"/>
        <v>122.10636249999999</v>
      </c>
      <c r="BI100" s="68">
        <f t="shared" si="57"/>
        <v>120.46067499999998</v>
      </c>
      <c r="BJ100" s="68">
        <f t="shared" si="57"/>
        <v>118.81292499999999</v>
      </c>
      <c r="BK100" s="100">
        <f t="shared" si="48"/>
        <v>1475.1299624999999</v>
      </c>
      <c r="BL100" s="240">
        <f>BJ148*0.015/12</f>
        <v>117.1631125</v>
      </c>
      <c r="BM100" s="68">
        <f>BL148*0.015/12</f>
        <v>115.51123749999999</v>
      </c>
      <c r="BN100" s="68">
        <f t="shared" ref="BN100:BV100" si="58">BM148*0.015/12</f>
        <v>113.8573</v>
      </c>
      <c r="BO100" s="68">
        <f t="shared" si="58"/>
        <v>112.20129999999999</v>
      </c>
      <c r="BP100" s="68">
        <f t="shared" si="58"/>
        <v>110.54322499999999</v>
      </c>
      <c r="BQ100" s="68">
        <f t="shared" si="58"/>
        <v>108.88307499999998</v>
      </c>
      <c r="BR100" s="68">
        <f t="shared" si="58"/>
        <v>107.22084999999998</v>
      </c>
      <c r="BS100" s="68">
        <f t="shared" si="58"/>
        <v>105.55654999999997</v>
      </c>
      <c r="BT100" s="68">
        <f t="shared" si="58"/>
        <v>103.89017499999999</v>
      </c>
      <c r="BU100" s="68">
        <f t="shared" si="58"/>
        <v>102.22171249999997</v>
      </c>
      <c r="BV100" s="68">
        <f t="shared" si="58"/>
        <v>100.55116249999998</v>
      </c>
      <c r="BW100" s="68">
        <f>BV148*0.015/12</f>
        <v>98.878524999999968</v>
      </c>
      <c r="BX100" s="100">
        <f t="shared" si="38"/>
        <v>1296.4782249999998</v>
      </c>
      <c r="BY100" s="68">
        <f>BW148*0.015/12</f>
        <v>97.203799999999958</v>
      </c>
      <c r="BZ100" s="68">
        <f>BY148*0.015/12</f>
        <v>95.52697499999995</v>
      </c>
      <c r="CA100" s="68">
        <f t="shared" ref="CA100:CJ100" si="59">BZ148*0.015/12</f>
        <v>93.848062499999955</v>
      </c>
      <c r="CB100" s="68">
        <f t="shared" si="59"/>
        <v>92.167049999999961</v>
      </c>
      <c r="CC100" s="68">
        <f t="shared" si="59"/>
        <v>90.483937499999954</v>
      </c>
      <c r="CD100" s="68">
        <f t="shared" si="59"/>
        <v>88.798712499999965</v>
      </c>
      <c r="CE100" s="109">
        <f t="shared" si="59"/>
        <v>87.111387499999964</v>
      </c>
      <c r="CF100" s="109">
        <f t="shared" si="59"/>
        <v>85.421949999999967</v>
      </c>
      <c r="CG100" s="109">
        <f t="shared" si="59"/>
        <v>83.73039999999996</v>
      </c>
      <c r="CH100" s="109">
        <f t="shared" si="59"/>
        <v>82.036737499999958</v>
      </c>
      <c r="CI100" s="109">
        <f t="shared" si="59"/>
        <v>80.340962499999961</v>
      </c>
      <c r="CJ100" s="109">
        <f t="shared" si="59"/>
        <v>78.643062499999957</v>
      </c>
      <c r="CK100" s="100">
        <f t="shared" si="42"/>
        <v>1055.3130374999994</v>
      </c>
      <c r="CL100" s="130"/>
      <c r="CM100" s="377">
        <f>CJ100-2</f>
        <v>76.643062499999957</v>
      </c>
      <c r="CN100" s="377">
        <f>CM100-2</f>
        <v>74.643062499999957</v>
      </c>
      <c r="CO100" s="377">
        <f t="shared" ref="CO100:CX100" si="60">CN100-2</f>
        <v>72.643062499999957</v>
      </c>
      <c r="CP100" s="377">
        <f t="shared" si="60"/>
        <v>70.643062499999957</v>
      </c>
      <c r="CQ100" s="377">
        <f t="shared" si="60"/>
        <v>68.643062499999957</v>
      </c>
      <c r="CR100" s="377">
        <f t="shared" si="60"/>
        <v>66.643062499999957</v>
      </c>
      <c r="CS100" s="377">
        <f t="shared" si="60"/>
        <v>64.643062499999957</v>
      </c>
      <c r="CT100" s="377">
        <f t="shared" si="60"/>
        <v>62.643062499999957</v>
      </c>
      <c r="CU100" s="377">
        <f t="shared" si="60"/>
        <v>60.643062499999957</v>
      </c>
      <c r="CV100" s="377">
        <f t="shared" si="60"/>
        <v>58.643062499999957</v>
      </c>
      <c r="CW100" s="377">
        <f t="shared" si="60"/>
        <v>56.643062499999957</v>
      </c>
      <c r="CX100" s="377">
        <f t="shared" si="60"/>
        <v>54.643062499999957</v>
      </c>
      <c r="CY100" s="100">
        <f t="shared" si="54"/>
        <v>787.71674999999925</v>
      </c>
      <c r="DL100" s="100">
        <f t="shared" si="55"/>
        <v>0</v>
      </c>
    </row>
    <row r="101" spans="2:116">
      <c r="B101" s="1" t="s">
        <v>201</v>
      </c>
      <c r="C101" s="139"/>
      <c r="D101" s="139"/>
      <c r="E101" s="139"/>
      <c r="F101" s="4"/>
      <c r="G101" s="4"/>
      <c r="H101" s="4"/>
      <c r="I101" s="4"/>
      <c r="J101" s="4"/>
      <c r="K101" s="4"/>
      <c r="L101" s="4"/>
      <c r="M101" s="139"/>
      <c r="N101" s="139"/>
      <c r="O101" s="40"/>
      <c r="P101" s="69"/>
      <c r="Q101" s="69"/>
      <c r="R101" s="69"/>
      <c r="S101" s="69"/>
      <c r="T101" s="69"/>
      <c r="U101" s="69"/>
      <c r="V101" s="69"/>
      <c r="W101" s="72"/>
      <c r="X101" s="67"/>
      <c r="Y101" s="69"/>
      <c r="Z101" s="69"/>
      <c r="AA101" s="69"/>
      <c r="AB101" s="117">
        <f t="shared" si="40"/>
        <v>0</v>
      </c>
      <c r="AC101" s="120"/>
      <c r="AD101" s="67"/>
      <c r="AE101" s="67"/>
      <c r="AF101" s="67"/>
      <c r="AG101" s="67">
        <f>33.33</f>
        <v>33.33</v>
      </c>
      <c r="AH101" s="67">
        <f>43.06</f>
        <v>43.06</v>
      </c>
      <c r="AI101" s="67">
        <f>41.67</f>
        <v>41.67</v>
      </c>
      <c r="AJ101" s="67">
        <f>43.06</f>
        <v>43.06</v>
      </c>
      <c r="AK101" s="119">
        <f t="shared" si="47"/>
        <v>161.12</v>
      </c>
      <c r="AL101" s="67">
        <f>43.06</f>
        <v>43.06</v>
      </c>
      <c r="AM101" s="67">
        <f>41.67</f>
        <v>41.67</v>
      </c>
      <c r="AN101" s="67">
        <f>45.25</f>
        <v>45.25</v>
      </c>
      <c r="AO101" s="67">
        <f>41.67</f>
        <v>41.67</v>
      </c>
      <c r="AP101" s="67">
        <f>43.06</f>
        <v>43.06</v>
      </c>
      <c r="AQ101" s="68">
        <f>43.06</f>
        <v>43.06</v>
      </c>
      <c r="AR101" s="190">
        <f>38.89</f>
        <v>38.89</v>
      </c>
      <c r="AS101" s="68">
        <f>43.06</f>
        <v>43.06</v>
      </c>
      <c r="AT101" s="68"/>
      <c r="AU101" s="72"/>
      <c r="AV101" s="179"/>
      <c r="AW101" s="179"/>
      <c r="AX101" s="100">
        <f>SUM(AL101:AW101)</f>
        <v>339.72</v>
      </c>
      <c r="AY101" s="68"/>
      <c r="AZ101" s="179"/>
      <c r="BA101" s="179"/>
      <c r="BB101" s="179"/>
      <c r="BC101" s="74"/>
      <c r="BD101" s="74"/>
      <c r="BE101" s="179"/>
      <c r="BF101" s="179"/>
      <c r="BG101" s="179"/>
      <c r="BH101" s="72"/>
      <c r="BI101" s="179"/>
      <c r="BJ101" s="237"/>
      <c r="BK101" s="100">
        <f t="shared" si="48"/>
        <v>0</v>
      </c>
      <c r="BL101" s="202"/>
      <c r="BM101" s="179"/>
      <c r="BN101" s="179"/>
      <c r="BO101" s="179"/>
      <c r="BP101" s="179"/>
      <c r="BQ101" s="179"/>
      <c r="BR101" s="179"/>
      <c r="BS101" s="179"/>
      <c r="BT101" s="179"/>
      <c r="BU101" s="179"/>
      <c r="BV101" s="179"/>
      <c r="BW101" s="237"/>
      <c r="BX101" s="100">
        <f t="shared" si="38"/>
        <v>0</v>
      </c>
      <c r="BY101" s="74"/>
      <c r="BZ101" s="81">
        <f>11.11</f>
        <v>11.11</v>
      </c>
      <c r="CA101" s="81"/>
      <c r="CB101" s="74"/>
      <c r="CC101" s="81">
        <v>255.56</v>
      </c>
      <c r="CD101" s="74"/>
      <c r="CK101" s="100">
        <f t="shared" si="42"/>
        <v>266.67</v>
      </c>
      <c r="CL101" s="130"/>
      <c r="CY101" s="100">
        <f t="shared" si="54"/>
        <v>0</v>
      </c>
      <c r="DL101" s="100">
        <f t="shared" si="55"/>
        <v>0</v>
      </c>
    </row>
    <row r="102" spans="2:116">
      <c r="B102" s="1" t="s">
        <v>432</v>
      </c>
      <c r="C102" s="139"/>
      <c r="D102" s="139"/>
      <c r="E102" s="139"/>
      <c r="F102" s="4"/>
      <c r="G102" s="4"/>
      <c r="H102" s="4"/>
      <c r="I102" s="4"/>
      <c r="J102" s="4"/>
      <c r="K102" s="4"/>
      <c r="L102" s="4"/>
      <c r="M102" s="139"/>
      <c r="N102" s="139"/>
      <c r="O102" s="40"/>
      <c r="P102" s="69"/>
      <c r="Q102" s="69"/>
      <c r="R102" s="69"/>
      <c r="S102" s="69"/>
      <c r="T102" s="69"/>
      <c r="U102" s="69"/>
      <c r="V102" s="69"/>
      <c r="W102" s="72"/>
      <c r="X102" s="67"/>
      <c r="Y102" s="69"/>
      <c r="Z102" s="69"/>
      <c r="AA102" s="69"/>
      <c r="AB102" s="117">
        <f t="shared" si="40"/>
        <v>0</v>
      </c>
      <c r="AC102" s="120"/>
      <c r="AD102" s="67"/>
      <c r="AE102" s="67"/>
      <c r="AF102" s="67"/>
      <c r="AG102" s="67"/>
      <c r="AH102" s="67"/>
      <c r="AI102" s="67"/>
      <c r="AJ102" s="67"/>
      <c r="AK102" s="119">
        <f t="shared" si="47"/>
        <v>0</v>
      </c>
      <c r="AL102" s="67"/>
      <c r="AM102" s="67"/>
      <c r="AN102" s="67"/>
      <c r="AO102" s="67"/>
      <c r="AP102" s="67"/>
      <c r="AQ102" s="68"/>
      <c r="AR102" s="190"/>
      <c r="AS102" s="68"/>
      <c r="AT102" s="68"/>
      <c r="AU102" s="72"/>
      <c r="AV102" s="179"/>
      <c r="AW102" s="179"/>
      <c r="AX102" s="100"/>
      <c r="AY102" s="68"/>
      <c r="AZ102" s="179"/>
      <c r="BA102" s="179"/>
      <c r="BB102" s="179"/>
      <c r="BC102" s="74"/>
      <c r="BD102" s="74"/>
      <c r="BE102" s="179"/>
      <c r="BF102" s="179"/>
      <c r="BG102" s="179"/>
      <c r="BH102" s="72"/>
      <c r="BI102" s="179"/>
      <c r="BJ102" s="237"/>
      <c r="BK102" s="100"/>
      <c r="BL102" s="202"/>
      <c r="BM102" s="179"/>
      <c r="BN102" s="179"/>
      <c r="BO102" s="179"/>
      <c r="BP102" s="179"/>
      <c r="BQ102" s="179"/>
      <c r="BR102" s="179"/>
      <c r="BS102" s="179"/>
      <c r="BT102" s="179"/>
      <c r="BU102" s="179"/>
      <c r="BV102" s="68">
        <f>(1322.35+11968.05*0.3694%+0.01)</f>
        <v>1366.5699766999999</v>
      </c>
      <c r="BW102" s="237"/>
      <c r="BX102" s="100"/>
      <c r="BY102" s="74"/>
      <c r="BZ102" s="95">
        <f>(1604.24+743.2*0.35%+0.89)</f>
        <v>1607.7312000000002</v>
      </c>
      <c r="CA102" s="74"/>
      <c r="CB102" s="74"/>
      <c r="CC102" s="95">
        <f>(1661.49+305.21*0.35%)</f>
        <v>1662.558235</v>
      </c>
      <c r="CD102" s="74"/>
      <c r="CF102" s="295">
        <v>1662.56</v>
      </c>
      <c r="CK102" s="100">
        <f>SUM(BZ102:CJ102)</f>
        <v>4932.8494350000001</v>
      </c>
      <c r="CL102" s="130"/>
      <c r="CY102" s="100">
        <f t="shared" si="54"/>
        <v>0</v>
      </c>
      <c r="DL102" s="100">
        <f t="shared" si="55"/>
        <v>0</v>
      </c>
    </row>
    <row r="103" spans="2:116">
      <c r="B103" s="1" t="s">
        <v>202</v>
      </c>
      <c r="C103" s="139"/>
      <c r="D103" s="139"/>
      <c r="E103" s="139"/>
      <c r="F103" s="4"/>
      <c r="G103" s="4"/>
      <c r="H103" s="4"/>
      <c r="I103" s="4"/>
      <c r="J103" s="4"/>
      <c r="K103" s="4"/>
      <c r="L103" s="4"/>
      <c r="M103" s="139"/>
      <c r="N103" s="139"/>
      <c r="O103" s="40"/>
      <c r="P103" s="69"/>
      <c r="Q103" s="69"/>
      <c r="R103" s="69"/>
      <c r="S103" s="69"/>
      <c r="T103" s="69"/>
      <c r="U103" s="69"/>
      <c r="V103" s="69"/>
      <c r="W103" s="72"/>
      <c r="X103" s="67"/>
      <c r="Y103" s="69"/>
      <c r="Z103" s="69"/>
      <c r="AA103" s="69"/>
      <c r="AB103" s="117">
        <f t="shared" si="40"/>
        <v>0</v>
      </c>
      <c r="AC103" s="120"/>
      <c r="AD103" s="67"/>
      <c r="AE103" s="67"/>
      <c r="AF103" s="67"/>
      <c r="AG103" s="67"/>
      <c r="AH103" s="67"/>
      <c r="AI103" s="67"/>
      <c r="AJ103" s="67"/>
      <c r="AK103" s="119">
        <f t="shared" si="47"/>
        <v>0</v>
      </c>
      <c r="AL103" s="67"/>
      <c r="AM103" s="67"/>
      <c r="AN103" s="67"/>
      <c r="AO103" s="67"/>
      <c r="AP103" s="67"/>
      <c r="AQ103" s="68"/>
      <c r="AR103" s="190"/>
      <c r="AS103" s="68"/>
      <c r="AT103" s="68"/>
      <c r="AU103" s="72"/>
      <c r="AV103" s="179"/>
      <c r="AW103" s="67">
        <f>189.37+AV145*0.0192/12</f>
        <v>829.36999999999989</v>
      </c>
      <c r="AX103" s="100">
        <f>SUM(AL103:AW103)</f>
        <v>829.36999999999989</v>
      </c>
      <c r="AY103" s="67">
        <f>AW145*0.0192/12</f>
        <v>636.92907199999991</v>
      </c>
      <c r="AZ103" s="179"/>
      <c r="BA103" s="68">
        <f>AY145*0.0192/12+394232.79*0.0192/12</f>
        <v>1264.6256959999996</v>
      </c>
      <c r="BB103" s="68">
        <f t="shared" ref="BB103:BW103" si="61">BA145*0.0192/12</f>
        <v>627.68676799999992</v>
      </c>
      <c r="BC103" s="68">
        <f t="shared" si="61"/>
        <v>624.59614399999987</v>
      </c>
      <c r="BD103" s="68">
        <f t="shared" si="61"/>
        <v>621.50057599999991</v>
      </c>
      <c r="BE103" s="68">
        <f t="shared" si="61"/>
        <v>618.40004799999986</v>
      </c>
      <c r="BF103" s="74"/>
      <c r="BG103" s="68">
        <f>BE145*0.0192/12+382615.06*0.0192/12</f>
        <v>1227.4786559999998</v>
      </c>
      <c r="BH103" s="68">
        <f t="shared" si="61"/>
        <v>609.06865599999992</v>
      </c>
      <c r="BI103" s="179"/>
      <c r="BJ103" s="235">
        <f>605.95+602.82</f>
        <v>1208.77</v>
      </c>
      <c r="BK103" s="100">
        <f t="shared" si="48"/>
        <v>7439.0556159999996</v>
      </c>
      <c r="BL103" s="240">
        <f t="shared" si="61"/>
        <v>599.69241599999987</v>
      </c>
      <c r="BM103" s="68">
        <f t="shared" si="61"/>
        <v>596.55699199999992</v>
      </c>
      <c r="BN103" s="68">
        <f t="shared" si="61"/>
        <v>593.41655999999978</v>
      </c>
      <c r="BO103" s="74"/>
      <c r="BP103" s="68">
        <f>590.27+587.12</f>
        <v>1177.3899999999999</v>
      </c>
      <c r="BQ103" s="68">
        <f t="shared" si="61"/>
        <v>583.96507199999985</v>
      </c>
      <c r="BR103" s="68">
        <f t="shared" si="61"/>
        <v>580.80449599999986</v>
      </c>
      <c r="BS103" s="179"/>
      <c r="BT103" s="68">
        <f>577.64+574.47</f>
        <v>1152.1100000000001</v>
      </c>
      <c r="BU103" s="68">
        <f t="shared" si="61"/>
        <v>571.29236799999978</v>
      </c>
      <c r="BV103" s="68">
        <f t="shared" si="61"/>
        <v>568.11150399999985</v>
      </c>
      <c r="BW103" s="235">
        <f t="shared" si="61"/>
        <v>564.92555199999993</v>
      </c>
      <c r="BX103" s="100">
        <f t="shared" si="38"/>
        <v>6988.2649599999977</v>
      </c>
      <c r="BY103" s="179"/>
      <c r="BZ103" s="68">
        <f>561.73+558.54</f>
        <v>1120.27</v>
      </c>
      <c r="CA103" s="68">
        <f t="shared" ref="CA103" si="62">BZ145*0.0192/12</f>
        <v>555.33708799999988</v>
      </c>
      <c r="CB103" s="179"/>
      <c r="CC103" s="68">
        <f>552.13+548.92</f>
        <v>1101.05</v>
      </c>
      <c r="CD103" s="68">
        <f t="shared" ref="CD103" si="63">CC145*0.0192/12</f>
        <v>545.70252799999992</v>
      </c>
      <c r="CE103" s="66">
        <f t="shared" ref="CE103" si="64">CD145*0.0192/12</f>
        <v>542.48071999999991</v>
      </c>
      <c r="CF103" s="109">
        <f t="shared" ref="CF103" si="65">CE145*0.0192/12</f>
        <v>539.25375999999994</v>
      </c>
      <c r="CG103" s="109">
        <f t="shared" ref="CG103" si="66">CF145*0.0192/12</f>
        <v>536.02163199999984</v>
      </c>
      <c r="CH103" s="109">
        <f t="shared" ref="CH103" si="67">CG145*0.0192/12</f>
        <v>532.78433599999983</v>
      </c>
      <c r="CI103" s="109">
        <f t="shared" ref="CI103" si="68">CH145*0.0192/12</f>
        <v>529.54185599999994</v>
      </c>
      <c r="CJ103" s="109">
        <f t="shared" ref="CJ103" si="69">CI145*0.0192/12</f>
        <v>526.29419199999995</v>
      </c>
      <c r="CK103" s="100">
        <f t="shared" si="42"/>
        <v>6528.7361119999996</v>
      </c>
      <c r="CL103" s="130"/>
      <c r="CM103" s="377">
        <f>CJ103-3</f>
        <v>523.29419199999995</v>
      </c>
      <c r="CN103" s="377">
        <f>CM103-3</f>
        <v>520.29419199999995</v>
      </c>
      <c r="CO103" s="377">
        <f t="shared" ref="CO103:CX103" si="70">CN103-3</f>
        <v>517.29419199999995</v>
      </c>
      <c r="CP103" s="377">
        <f t="shared" si="70"/>
        <v>514.29419199999995</v>
      </c>
      <c r="CQ103" s="377">
        <f t="shared" si="70"/>
        <v>511.29419199999995</v>
      </c>
      <c r="CR103" s="377">
        <f t="shared" si="70"/>
        <v>508.29419199999995</v>
      </c>
      <c r="CS103" s="377">
        <f t="shared" si="70"/>
        <v>505.29419199999995</v>
      </c>
      <c r="CT103" s="377">
        <f t="shared" si="70"/>
        <v>502.29419199999995</v>
      </c>
      <c r="CU103" s="377">
        <f t="shared" si="70"/>
        <v>499.29419199999995</v>
      </c>
      <c r="CV103" s="377">
        <f t="shared" si="70"/>
        <v>496.29419199999995</v>
      </c>
      <c r="CW103" s="377">
        <f t="shared" si="70"/>
        <v>493.29419199999995</v>
      </c>
      <c r="CX103" s="377">
        <f t="shared" si="70"/>
        <v>490.29419199999995</v>
      </c>
      <c r="CY103" s="100">
        <f t="shared" si="54"/>
        <v>6081.5303040000008</v>
      </c>
      <c r="DL103" s="100">
        <f t="shared" si="55"/>
        <v>0</v>
      </c>
    </row>
    <row r="104" spans="2:116">
      <c r="B104" s="1" t="s">
        <v>445</v>
      </c>
      <c r="C104" s="139"/>
      <c r="D104" s="139"/>
      <c r="E104" s="139"/>
      <c r="F104" s="4"/>
      <c r="G104" s="4"/>
      <c r="H104" s="4"/>
      <c r="I104" s="4"/>
      <c r="J104" s="4"/>
      <c r="K104" s="4"/>
      <c r="L104" s="4"/>
      <c r="M104" s="139"/>
      <c r="N104" s="139"/>
      <c r="O104" s="40"/>
      <c r="P104" s="69"/>
      <c r="Q104" s="69"/>
      <c r="R104" s="69"/>
      <c r="S104" s="69"/>
      <c r="T104" s="69"/>
      <c r="U104" s="69"/>
      <c r="V104" s="69"/>
      <c r="W104" s="72"/>
      <c r="X104" s="67"/>
      <c r="Y104" s="69"/>
      <c r="Z104" s="69"/>
      <c r="AA104" s="69"/>
      <c r="AB104" s="117">
        <f t="shared" si="40"/>
        <v>0</v>
      </c>
      <c r="AC104" s="120"/>
      <c r="AD104" s="67"/>
      <c r="AE104" s="67"/>
      <c r="AF104" s="67"/>
      <c r="AG104" s="67"/>
      <c r="AH104" s="67"/>
      <c r="AI104" s="67"/>
      <c r="AJ104" s="67"/>
      <c r="AK104" s="119">
        <f t="shared" si="47"/>
        <v>0</v>
      </c>
      <c r="AL104" s="67"/>
      <c r="AM104" s="67"/>
      <c r="AN104" s="67"/>
      <c r="AO104" s="67"/>
      <c r="AP104" s="67"/>
      <c r="AQ104" s="68"/>
      <c r="AR104" s="190"/>
      <c r="AS104" s="68"/>
      <c r="AT104" s="68"/>
      <c r="AU104" s="72"/>
      <c r="AV104" s="179"/>
      <c r="AW104" s="67"/>
      <c r="AX104" s="100"/>
      <c r="AY104" s="67"/>
      <c r="AZ104" s="179"/>
      <c r="BA104" s="68"/>
      <c r="BB104" s="68"/>
      <c r="BC104" s="68"/>
      <c r="BD104" s="68"/>
      <c r="BE104" s="68"/>
      <c r="BF104" s="74"/>
      <c r="BG104" s="68"/>
      <c r="BH104" s="68"/>
      <c r="BI104" s="179"/>
      <c r="BJ104" s="235"/>
      <c r="BK104" s="100"/>
      <c r="BL104" s="240"/>
      <c r="BM104" s="68"/>
      <c r="BN104" s="68"/>
      <c r="BO104" s="74"/>
      <c r="BP104" s="68"/>
      <c r="BQ104" s="68"/>
      <c r="BR104" s="68"/>
      <c r="BS104" s="179"/>
      <c r="BT104" s="68"/>
      <c r="BU104" s="68"/>
      <c r="BV104" s="68"/>
      <c r="BW104" s="235"/>
      <c r="BX104" s="100"/>
      <c r="BY104" s="179"/>
      <c r="BZ104" s="454"/>
      <c r="CA104" s="473">
        <v>412.74</v>
      </c>
      <c r="CB104" s="473">
        <v>387.96</v>
      </c>
      <c r="CC104" s="473">
        <v>375.47</v>
      </c>
      <c r="CD104" s="473">
        <v>369.54</v>
      </c>
      <c r="CE104" s="473">
        <v>346.24</v>
      </c>
      <c r="CF104" s="450">
        <v>447.23005459012319</v>
      </c>
      <c r="CG104" s="450">
        <v>443.60968892858187</v>
      </c>
      <c r="CH104" s="450">
        <v>439.96687699993907</v>
      </c>
      <c r="CI104" s="450">
        <v>436.30147963733867</v>
      </c>
      <c r="CJ104" s="450">
        <v>432.61335681109023</v>
      </c>
      <c r="CK104" s="100">
        <f t="shared" si="42"/>
        <v>4091.671456967073</v>
      </c>
      <c r="CL104" s="130"/>
      <c r="CM104" s="109">
        <v>428.90236762331898</v>
      </c>
      <c r="CN104" s="377">
        <v>425.16837030258353</v>
      </c>
      <c r="CO104" s="377">
        <v>421.4112221984596</v>
      </c>
      <c r="CP104" s="377">
        <v>417.63077977609009</v>
      </c>
      <c r="CQ104" s="377">
        <v>413.82689861070185</v>
      </c>
      <c r="CR104" s="377">
        <v>409.99943338208817</v>
      </c>
      <c r="CS104" s="377">
        <v>406.14823786905714</v>
      </c>
      <c r="CT104" s="377">
        <v>402.27316494384536</v>
      </c>
      <c r="CU104" s="377">
        <v>398.37406656649722</v>
      </c>
      <c r="CV104" s="377">
        <v>394.4507937792095</v>
      </c>
      <c r="CW104" s="377">
        <v>390.50319670064056</v>
      </c>
      <c r="CX104" s="377">
        <v>386.53112452018451</v>
      </c>
      <c r="CY104" s="100">
        <f t="shared" si="54"/>
        <v>4895.2196562726767</v>
      </c>
      <c r="CZ104" s="377">
        <v>382.53442549220972</v>
      </c>
      <c r="DL104" s="100">
        <f t="shared" si="55"/>
        <v>382.53442549220972</v>
      </c>
    </row>
    <row r="105" spans="2:116">
      <c r="B105" s="1" t="s">
        <v>450</v>
      </c>
      <c r="C105" s="139"/>
      <c r="D105" s="139"/>
      <c r="E105" s="139"/>
      <c r="F105" s="4"/>
      <c r="G105" s="4"/>
      <c r="H105" s="4"/>
      <c r="I105" s="4"/>
      <c r="J105" s="4"/>
      <c r="K105" s="4"/>
      <c r="L105" s="4"/>
      <c r="M105" s="139"/>
      <c r="N105" s="139"/>
      <c r="O105" s="40"/>
      <c r="P105" s="69"/>
      <c r="Q105" s="69"/>
      <c r="R105" s="69"/>
      <c r="S105" s="69"/>
      <c r="T105" s="69"/>
      <c r="U105" s="69"/>
      <c r="V105" s="69"/>
      <c r="W105" s="72"/>
      <c r="X105" s="67"/>
      <c r="Y105" s="69"/>
      <c r="Z105" s="69"/>
      <c r="AA105" s="69"/>
      <c r="AB105" s="117">
        <f>SUM(P105:AA105)</f>
        <v>0</v>
      </c>
      <c r="AC105" s="120"/>
      <c r="AD105" s="67"/>
      <c r="AE105" s="67"/>
      <c r="AF105" s="67"/>
      <c r="AG105" s="67"/>
      <c r="AH105" s="67"/>
      <c r="AI105" s="67"/>
      <c r="AJ105" s="67"/>
      <c r="AK105" s="119">
        <f>SUM(AC105:AJ105)</f>
        <v>0</v>
      </c>
      <c r="AL105" s="67"/>
      <c r="AM105" s="67"/>
      <c r="AN105" s="67"/>
      <c r="AO105" s="67"/>
      <c r="AP105" s="67"/>
      <c r="AQ105" s="68"/>
      <c r="AR105" s="190"/>
      <c r="AS105" s="68"/>
      <c r="AT105" s="68"/>
      <c r="AU105" s="72"/>
      <c r="AV105" s="179"/>
      <c r="AW105" s="67"/>
      <c r="AX105" s="100"/>
      <c r="AY105" s="67"/>
      <c r="AZ105" s="179"/>
      <c r="BA105" s="68"/>
      <c r="BB105" s="68"/>
      <c r="BC105" s="68"/>
      <c r="BD105" s="68"/>
      <c r="BE105" s="68"/>
      <c r="BF105" s="74"/>
      <c r="BG105" s="68"/>
      <c r="BH105" s="68"/>
      <c r="BI105" s="179"/>
      <c r="BJ105" s="235"/>
      <c r="BK105" s="100"/>
      <c r="BL105" s="240"/>
      <c r="BM105" s="68"/>
      <c r="BN105" s="68"/>
      <c r="BO105" s="74"/>
      <c r="BP105" s="68"/>
      <c r="BQ105" s="68"/>
      <c r="BR105" s="68"/>
      <c r="BS105" s="179"/>
      <c r="BT105" s="68"/>
      <c r="BU105" s="68"/>
      <c r="BV105" s="68"/>
      <c r="BW105" s="235"/>
      <c r="BX105" s="100"/>
      <c r="BY105" s="179"/>
      <c r="BZ105" s="454"/>
      <c r="CA105" s="454"/>
      <c r="CB105" s="454"/>
      <c r="CC105" s="473">
        <v>319.42</v>
      </c>
      <c r="CD105" s="454"/>
      <c r="CE105" s="450"/>
      <c r="CF105" s="450">
        <f t="shared" ref="CF105:CJ105" si="71">100000*0.0599/12</f>
        <v>499.16666666666669</v>
      </c>
      <c r="CG105" s="450">
        <f t="shared" si="71"/>
        <v>499.16666666666669</v>
      </c>
      <c r="CH105" s="450">
        <f t="shared" si="71"/>
        <v>499.16666666666669</v>
      </c>
      <c r="CI105" s="450">
        <f t="shared" si="71"/>
        <v>499.16666666666669</v>
      </c>
      <c r="CJ105" s="450">
        <f t="shared" si="71"/>
        <v>499.16666666666669</v>
      </c>
      <c r="CK105" s="100">
        <f t="shared" si="42"/>
        <v>2815.2533333333331</v>
      </c>
      <c r="CL105" s="130"/>
      <c r="CM105" s="450">
        <f t="shared" ref="CM105" si="72">100000*0.0599/12</f>
        <v>499.16666666666669</v>
      </c>
      <c r="CN105" s="450">
        <f>100000*0.0599/12</f>
        <v>499.16666666666669</v>
      </c>
      <c r="CO105" s="450">
        <f>100000*0.0599/12</f>
        <v>499.16666666666669</v>
      </c>
      <c r="CP105" s="450">
        <f>100000*0.0599/12</f>
        <v>499.16666666666669</v>
      </c>
      <c r="CQ105" s="450">
        <f>100000*0.0599/12</f>
        <v>499.16666666666669</v>
      </c>
      <c r="CR105" s="450">
        <f>100000*0.0599/12</f>
        <v>499.16666666666669</v>
      </c>
      <c r="CS105" s="450">
        <f t="shared" ref="CS105" si="73">100000*0.0599/12</f>
        <v>499.16666666666669</v>
      </c>
      <c r="CT105" s="377"/>
      <c r="CU105" s="377"/>
      <c r="CV105" s="377"/>
      <c r="CW105" s="377"/>
      <c r="CX105" s="377"/>
      <c r="CY105" s="100">
        <f t="shared" si="54"/>
        <v>3494.1666666666665</v>
      </c>
      <c r="DL105" s="100">
        <f t="shared" si="55"/>
        <v>0</v>
      </c>
    </row>
    <row r="106" spans="2:116">
      <c r="B106" s="1" t="s">
        <v>203</v>
      </c>
      <c r="C106" s="139"/>
      <c r="D106" s="139"/>
      <c r="E106" s="139"/>
      <c r="F106" s="4"/>
      <c r="G106" s="4"/>
      <c r="H106" s="4"/>
      <c r="I106" s="4"/>
      <c r="J106" s="4"/>
      <c r="K106" s="4"/>
      <c r="L106" s="4"/>
      <c r="M106" s="139"/>
      <c r="N106" s="139"/>
      <c r="O106" s="40">
        <f t="shared" si="39"/>
        <v>0</v>
      </c>
      <c r="P106" s="69"/>
      <c r="Q106" s="69"/>
      <c r="R106" s="69"/>
      <c r="S106" s="69">
        <v>1217.1099999999999</v>
      </c>
      <c r="T106" s="69">
        <v>64.2</v>
      </c>
      <c r="U106" s="69"/>
      <c r="V106" s="69"/>
      <c r="W106" s="72"/>
      <c r="X106" s="69"/>
      <c r="Y106" s="69"/>
      <c r="Z106" s="69"/>
      <c r="AA106" s="69"/>
      <c r="AB106" s="117">
        <f t="shared" si="40"/>
        <v>1281.31</v>
      </c>
      <c r="AC106" s="115"/>
      <c r="AD106" s="69"/>
      <c r="AE106" s="69"/>
      <c r="AF106" s="69"/>
      <c r="AG106" s="69"/>
      <c r="AH106" s="69"/>
      <c r="AI106" s="69"/>
      <c r="AJ106" s="69"/>
      <c r="AK106" s="119">
        <f t="shared" si="47"/>
        <v>0</v>
      </c>
      <c r="AL106" s="67"/>
      <c r="AM106" s="69"/>
      <c r="AN106" s="69"/>
      <c r="AO106" s="69"/>
      <c r="AP106" s="69"/>
      <c r="AQ106" s="69"/>
      <c r="AR106" s="69"/>
      <c r="AS106" s="69"/>
      <c r="AT106" s="69"/>
      <c r="AU106" s="69"/>
      <c r="AV106" s="69"/>
      <c r="AW106" s="69"/>
      <c r="AX106" s="100">
        <f t="shared" si="41"/>
        <v>0</v>
      </c>
      <c r="AY106" s="115"/>
      <c r="AZ106" s="69"/>
      <c r="BA106" s="69"/>
      <c r="BB106" s="69"/>
      <c r="BC106" s="69"/>
      <c r="BD106" s="69"/>
      <c r="BE106" s="69"/>
      <c r="BF106" s="69"/>
      <c r="BG106" s="69"/>
      <c r="BH106" s="69"/>
      <c r="BI106" s="69"/>
      <c r="BJ106" s="197"/>
      <c r="BK106" s="100">
        <f t="shared" si="48"/>
        <v>0</v>
      </c>
      <c r="BL106" s="202"/>
      <c r="BM106" s="179"/>
      <c r="BN106" s="179"/>
      <c r="BO106" s="179"/>
      <c r="BP106" s="179"/>
      <c r="BQ106" s="179"/>
      <c r="BR106" s="179"/>
      <c r="BS106" s="179"/>
      <c r="BT106" s="179"/>
      <c r="BU106" s="179"/>
      <c r="BV106" s="179"/>
      <c r="BW106" s="237"/>
      <c r="BX106" s="100">
        <f t="shared" si="38"/>
        <v>0</v>
      </c>
      <c r="BY106" s="74"/>
      <c r="BZ106" s="74"/>
      <c r="CA106" s="74"/>
      <c r="CB106" s="74"/>
      <c r="CC106" s="74"/>
      <c r="CD106" s="74"/>
      <c r="CK106" s="100">
        <f t="shared" si="42"/>
        <v>0</v>
      </c>
      <c r="CL106" s="130"/>
      <c r="CY106" s="100">
        <f t="shared" si="54"/>
        <v>0</v>
      </c>
      <c r="DL106" s="100">
        <f t="shared" si="55"/>
        <v>0</v>
      </c>
    </row>
    <row r="107" spans="2:116">
      <c r="B107" s="1" t="s">
        <v>204</v>
      </c>
      <c r="C107" s="139"/>
      <c r="D107" s="139"/>
      <c r="E107" s="139"/>
      <c r="F107" s="4"/>
      <c r="G107" s="4"/>
      <c r="H107" s="4"/>
      <c r="I107" s="4"/>
      <c r="J107" s="4"/>
      <c r="K107" s="4"/>
      <c r="L107" s="4"/>
      <c r="M107" s="139"/>
      <c r="N107" s="139"/>
      <c r="O107" s="40">
        <f t="shared" si="39"/>
        <v>0</v>
      </c>
      <c r="P107" s="69"/>
      <c r="Q107" s="69"/>
      <c r="R107" s="69"/>
      <c r="S107" s="69"/>
      <c r="T107" s="69"/>
      <c r="U107" s="69"/>
      <c r="V107" s="69"/>
      <c r="W107" s="72"/>
      <c r="X107" s="69"/>
      <c r="Y107" s="69"/>
      <c r="Z107" s="69"/>
      <c r="AA107" s="69"/>
      <c r="AB107" s="117">
        <f t="shared" si="40"/>
        <v>0</v>
      </c>
      <c r="AC107" s="120">
        <v>200</v>
      </c>
      <c r="AD107" s="69"/>
      <c r="AE107" s="69"/>
      <c r="AF107" s="69"/>
      <c r="AG107" s="69"/>
      <c r="AH107" s="69"/>
      <c r="AI107" s="69"/>
      <c r="AJ107" s="69"/>
      <c r="AK107" s="119">
        <f t="shared" si="47"/>
        <v>200</v>
      </c>
      <c r="AL107" s="67"/>
      <c r="AM107" s="69"/>
      <c r="AN107" s="69"/>
      <c r="AO107" s="68">
        <f>389.47+389.8</f>
        <v>779.27</v>
      </c>
      <c r="AP107" s="68">
        <f>354.84+336.36+343.07</f>
        <v>1034.27</v>
      </c>
      <c r="AQ107" s="68">
        <f>347.82+194.57+309.1</f>
        <v>851.49</v>
      </c>
      <c r="AR107" s="69"/>
      <c r="AS107" s="69"/>
      <c r="AT107" s="67">
        <f>312.33</f>
        <v>312.33</v>
      </c>
      <c r="AU107" s="69"/>
      <c r="AV107" s="69"/>
      <c r="AW107" s="69"/>
      <c r="AX107" s="100">
        <f t="shared" si="41"/>
        <v>2977.3599999999997</v>
      </c>
      <c r="AY107" s="115"/>
      <c r="AZ107" s="69"/>
      <c r="BA107" s="69"/>
      <c r="BB107" s="67">
        <f>2406.07+715</f>
        <v>3121.07</v>
      </c>
      <c r="BC107" s="179"/>
      <c r="BD107" s="74"/>
      <c r="BE107" s="69"/>
      <c r="BF107" s="69"/>
      <c r="BG107" s="67">
        <v>339.63</v>
      </c>
      <c r="BH107" s="69"/>
      <c r="BI107" s="69"/>
      <c r="BJ107" s="200">
        <v>162.44999999999999</v>
      </c>
      <c r="BK107" s="100">
        <f t="shared" si="48"/>
        <v>3623.15</v>
      </c>
      <c r="BL107" s="202"/>
      <c r="BM107" s="179"/>
      <c r="BN107" s="179"/>
      <c r="BO107" s="74"/>
      <c r="BP107" s="68">
        <v>4526.01</v>
      </c>
      <c r="BQ107" s="179"/>
      <c r="BR107" s="68">
        <v>466.75</v>
      </c>
      <c r="BS107" s="68">
        <v>-466.75</v>
      </c>
      <c r="BT107" s="179"/>
      <c r="BU107" s="179"/>
      <c r="BV107" s="179"/>
      <c r="BW107" s="237"/>
      <c r="BX107" s="100">
        <f t="shared" si="38"/>
        <v>4526.01</v>
      </c>
      <c r="BY107" s="74"/>
      <c r="BZ107" s="74"/>
      <c r="CA107" s="68">
        <f>933.15-855.94</f>
        <v>77.209999999999923</v>
      </c>
      <c r="CB107" s="68">
        <f>477.95</f>
        <v>477.95</v>
      </c>
      <c r="CC107" s="74"/>
      <c r="CD107" s="179"/>
      <c r="CE107" s="438">
        <f>933.15-77.21</f>
        <v>855.93999999999994</v>
      </c>
      <c r="CK107" s="100">
        <f t="shared" si="42"/>
        <v>1411.1</v>
      </c>
      <c r="CL107" s="130"/>
      <c r="CP107" s="109">
        <v>2000</v>
      </c>
      <c r="CY107" s="100">
        <f t="shared" si="54"/>
        <v>2000</v>
      </c>
      <c r="DL107" s="100">
        <f t="shared" si="55"/>
        <v>0</v>
      </c>
    </row>
    <row r="108" spans="2:116">
      <c r="B108" s="1" t="s">
        <v>205</v>
      </c>
      <c r="C108" s="139"/>
      <c r="D108" s="139"/>
      <c r="E108" s="139"/>
      <c r="F108" s="4"/>
      <c r="G108" s="4"/>
      <c r="H108" s="4"/>
      <c r="I108" s="4"/>
      <c r="J108" s="4"/>
      <c r="K108" s="4"/>
      <c r="L108" s="4"/>
      <c r="M108" s="139"/>
      <c r="N108" s="139"/>
      <c r="O108" s="40">
        <f t="shared" si="39"/>
        <v>0</v>
      </c>
      <c r="P108" s="69"/>
      <c r="Q108" s="69"/>
      <c r="R108" s="69"/>
      <c r="S108" s="69"/>
      <c r="T108" s="69"/>
      <c r="U108" s="69"/>
      <c r="V108" s="69"/>
      <c r="W108" s="72"/>
      <c r="X108" s="69"/>
      <c r="Y108" s="69"/>
      <c r="Z108" s="69"/>
      <c r="AA108" s="69"/>
      <c r="AB108" s="117">
        <f t="shared" si="40"/>
        <v>0</v>
      </c>
      <c r="AC108" s="115"/>
      <c r="AD108" s="69"/>
      <c r="AE108" s="69"/>
      <c r="AF108" s="67">
        <v>4200</v>
      </c>
      <c r="AG108" s="69"/>
      <c r="AH108" s="69"/>
      <c r="AI108" s="67">
        <v>-4200</v>
      </c>
      <c r="AJ108" s="69"/>
      <c r="AK108" s="119">
        <f t="shared" si="47"/>
        <v>0</v>
      </c>
      <c r="AL108" s="67"/>
      <c r="AM108" s="69"/>
      <c r="AN108" s="69"/>
      <c r="AO108" s="69"/>
      <c r="AP108" s="69"/>
      <c r="AQ108" s="69"/>
      <c r="AR108" s="69"/>
      <c r="AS108" s="69"/>
      <c r="AT108" s="69"/>
      <c r="AU108" s="69"/>
      <c r="AV108" s="69"/>
      <c r="AW108" s="69"/>
      <c r="AX108" s="100">
        <f t="shared" si="41"/>
        <v>0</v>
      </c>
      <c r="AY108" s="115"/>
      <c r="AZ108" s="69"/>
      <c r="BA108" s="69"/>
      <c r="BB108" s="69"/>
      <c r="BC108" s="69"/>
      <c r="BD108" s="69"/>
      <c r="BE108" s="69"/>
      <c r="BF108" s="69"/>
      <c r="BG108" s="69"/>
      <c r="BH108" s="69"/>
      <c r="BI108" s="69"/>
      <c r="BJ108" s="197"/>
      <c r="BK108" s="100">
        <f t="shared" si="48"/>
        <v>0</v>
      </c>
      <c r="BL108" s="202"/>
      <c r="BM108" s="179"/>
      <c r="BN108" s="179"/>
      <c r="BO108" s="179"/>
      <c r="BP108" s="179"/>
      <c r="BQ108" s="179"/>
      <c r="BR108" s="179"/>
      <c r="BS108" s="179"/>
      <c r="BT108" s="179"/>
      <c r="BU108" s="179"/>
      <c r="BV108" s="179"/>
      <c r="BW108" s="237"/>
      <c r="BX108" s="100">
        <f t="shared" si="38"/>
        <v>0</v>
      </c>
      <c r="BY108" s="74"/>
      <c r="BZ108" s="74"/>
      <c r="CA108" s="74"/>
      <c r="CB108" s="74"/>
      <c r="CC108" s="74"/>
      <c r="CD108" s="74"/>
      <c r="CK108" s="100">
        <f t="shared" si="42"/>
        <v>0</v>
      </c>
      <c r="CL108" s="130"/>
      <c r="CY108" s="100">
        <f t="shared" si="54"/>
        <v>0</v>
      </c>
      <c r="DL108" s="100">
        <f t="shared" si="55"/>
        <v>0</v>
      </c>
    </row>
    <row r="109" spans="2:116">
      <c r="B109" s="1" t="s">
        <v>206</v>
      </c>
      <c r="C109" s="139"/>
      <c r="D109" s="139"/>
      <c r="E109" s="139"/>
      <c r="F109" s="4"/>
      <c r="G109" s="4"/>
      <c r="H109" s="4"/>
      <c r="I109" s="4"/>
      <c r="J109" s="4"/>
      <c r="K109" s="4"/>
      <c r="L109" s="4"/>
      <c r="M109" s="139"/>
      <c r="N109" s="139"/>
      <c r="O109" s="40">
        <f t="shared" si="39"/>
        <v>0</v>
      </c>
      <c r="P109" s="69"/>
      <c r="Q109" s="69"/>
      <c r="R109" s="69"/>
      <c r="S109" s="69"/>
      <c r="T109" s="69"/>
      <c r="U109" s="69"/>
      <c r="V109" s="69"/>
      <c r="W109" s="72"/>
      <c r="X109" s="69"/>
      <c r="Y109" s="69"/>
      <c r="Z109" s="69"/>
      <c r="AA109" s="69"/>
      <c r="AB109" s="117">
        <f t="shared" si="40"/>
        <v>0</v>
      </c>
      <c r="AC109" s="115"/>
      <c r="AD109" s="69"/>
      <c r="AE109" s="67">
        <f>600+126-90</f>
        <v>636</v>
      </c>
      <c r="AF109" s="69"/>
      <c r="AG109" s="69"/>
      <c r="AH109" s="69"/>
      <c r="AI109" s="69"/>
      <c r="AJ109" s="69"/>
      <c r="AK109" s="119">
        <f t="shared" si="47"/>
        <v>636</v>
      </c>
      <c r="AL109" s="67"/>
      <c r="AM109" s="69"/>
      <c r="AN109" s="69"/>
      <c r="AO109" s="69"/>
      <c r="AP109" s="69"/>
      <c r="AQ109" s="69"/>
      <c r="AR109" s="69"/>
      <c r="AS109" s="69"/>
      <c r="AT109" s="69"/>
      <c r="AU109" s="69"/>
      <c r="AV109" s="69"/>
      <c r="AW109" s="69"/>
      <c r="AX109" s="100">
        <f t="shared" si="41"/>
        <v>0</v>
      </c>
      <c r="AY109" s="115"/>
      <c r="AZ109" s="69"/>
      <c r="BA109" s="69"/>
      <c r="BB109" s="69"/>
      <c r="BC109" s="69"/>
      <c r="BD109" s="69"/>
      <c r="BE109" s="69"/>
      <c r="BF109" s="69"/>
      <c r="BG109" s="69"/>
      <c r="BH109" s="69"/>
      <c r="BI109" s="69"/>
      <c r="BJ109" s="197"/>
      <c r="BK109" s="100">
        <f t="shared" si="48"/>
        <v>0</v>
      </c>
      <c r="BL109" s="202"/>
      <c r="BM109" s="179"/>
      <c r="BN109" s="179"/>
      <c r="BO109" s="179"/>
      <c r="BP109" s="179"/>
      <c r="BQ109" s="179"/>
      <c r="BR109" s="179"/>
      <c r="BS109" s="179"/>
      <c r="BT109" s="179"/>
      <c r="BU109" s="179"/>
      <c r="BV109" s="179"/>
      <c r="BW109" s="237"/>
      <c r="BX109" s="100">
        <f t="shared" si="38"/>
        <v>0</v>
      </c>
      <c r="BY109" s="74"/>
      <c r="BZ109" s="74"/>
      <c r="CA109" s="74"/>
      <c r="CB109" s="74"/>
      <c r="CC109" s="74"/>
      <c r="CD109" s="74"/>
      <c r="CK109" s="100">
        <f t="shared" si="42"/>
        <v>0</v>
      </c>
      <c r="CL109" s="130"/>
      <c r="CY109" s="100">
        <f t="shared" si="54"/>
        <v>0</v>
      </c>
      <c r="DL109" s="100">
        <f t="shared" si="55"/>
        <v>0</v>
      </c>
    </row>
    <row r="110" spans="2:116">
      <c r="B110" s="1" t="s">
        <v>207</v>
      </c>
      <c r="C110" s="139"/>
      <c r="D110" s="139"/>
      <c r="E110" s="139"/>
      <c r="F110" s="4"/>
      <c r="G110" s="4"/>
      <c r="H110" s="4"/>
      <c r="I110" s="4"/>
      <c r="J110" s="4"/>
      <c r="K110" s="4"/>
      <c r="L110" s="4"/>
      <c r="M110" s="139"/>
      <c r="N110" s="139"/>
      <c r="O110" s="40">
        <f t="shared" si="39"/>
        <v>0</v>
      </c>
      <c r="P110" s="69"/>
      <c r="Q110" s="69"/>
      <c r="R110" s="69"/>
      <c r="S110" s="69"/>
      <c r="T110" s="69"/>
      <c r="U110" s="69"/>
      <c r="V110" s="69"/>
      <c r="W110" s="72"/>
      <c r="X110" s="69"/>
      <c r="Y110" s="69"/>
      <c r="Z110" s="69"/>
      <c r="AA110" s="69"/>
      <c r="AB110" s="117">
        <f t="shared" si="40"/>
        <v>0</v>
      </c>
      <c r="AC110" s="120">
        <f>9.78</f>
        <v>9.7799999999999994</v>
      </c>
      <c r="AD110" s="69"/>
      <c r="AE110" s="67">
        <f>8*1.21</f>
        <v>9.68</v>
      </c>
      <c r="AF110" s="67">
        <f>5.12</f>
        <v>5.12</v>
      </c>
      <c r="AG110" s="69"/>
      <c r="AH110" s="69"/>
      <c r="AI110" s="69"/>
      <c r="AJ110" s="69"/>
      <c r="AK110" s="119">
        <f t="shared" si="47"/>
        <v>24.580000000000002</v>
      </c>
      <c r="AL110" s="67"/>
      <c r="AM110" s="69"/>
      <c r="AN110" s="69"/>
      <c r="AO110" s="69"/>
      <c r="AP110" s="67">
        <v>10.67</v>
      </c>
      <c r="AQ110" s="67">
        <v>18.61</v>
      </c>
      <c r="AR110" s="67">
        <v>26.56</v>
      </c>
      <c r="AS110" s="67">
        <v>4.68</v>
      </c>
      <c r="AT110" s="69"/>
      <c r="AU110" s="67">
        <v>5.63</v>
      </c>
      <c r="AV110" s="69"/>
      <c r="AW110" s="67">
        <v>20.93</v>
      </c>
      <c r="AX110" s="100">
        <f t="shared" si="41"/>
        <v>87.080000000000013</v>
      </c>
      <c r="AY110" s="115"/>
      <c r="AZ110" s="69"/>
      <c r="BA110" s="69"/>
      <c r="BB110" s="69"/>
      <c r="BC110" s="67">
        <v>9.3699999999999992</v>
      </c>
      <c r="BD110" s="69"/>
      <c r="BE110" s="69"/>
      <c r="BF110" s="68">
        <v>165.5</v>
      </c>
      <c r="BG110" s="67">
        <v>8.26</v>
      </c>
      <c r="BH110" s="69"/>
      <c r="BI110" s="69"/>
      <c r="BJ110" s="197"/>
      <c r="BK110" s="100">
        <f t="shared" si="48"/>
        <v>183.13</v>
      </c>
      <c r="BL110" s="202"/>
      <c r="BM110" s="68">
        <v>13.18</v>
      </c>
      <c r="BN110" s="67">
        <v>7.15</v>
      </c>
      <c r="BO110" s="179"/>
      <c r="BP110" s="67">
        <v>5.37</v>
      </c>
      <c r="BQ110" s="179"/>
      <c r="BR110" s="179"/>
      <c r="BS110" s="67">
        <v>7.39</v>
      </c>
      <c r="BT110" s="179"/>
      <c r="BU110" s="67">
        <v>5.67</v>
      </c>
      <c r="BV110" s="67">
        <v>6.23</v>
      </c>
      <c r="BW110" s="237"/>
      <c r="BX110" s="100">
        <f t="shared" si="38"/>
        <v>44.989999999999995</v>
      </c>
      <c r="BY110" s="74"/>
      <c r="BZ110" s="74"/>
      <c r="CA110" s="74"/>
      <c r="CB110" s="74"/>
      <c r="CC110" s="67">
        <v>11.16</v>
      </c>
      <c r="CD110" s="74"/>
      <c r="CK110" s="100">
        <f t="shared" si="42"/>
        <v>11.16</v>
      </c>
      <c r="CL110" s="130"/>
      <c r="CY110" s="100">
        <f t="shared" si="54"/>
        <v>0</v>
      </c>
      <c r="DL110" s="100">
        <f t="shared" si="55"/>
        <v>0</v>
      </c>
    </row>
    <row r="111" spans="2:116">
      <c r="B111" s="1" t="s">
        <v>208</v>
      </c>
      <c r="C111" s="139"/>
      <c r="D111" s="139"/>
      <c r="E111" s="139"/>
      <c r="F111" s="4"/>
      <c r="G111" s="4"/>
      <c r="H111" s="4"/>
      <c r="I111" s="4"/>
      <c r="J111" s="4"/>
      <c r="K111" s="4"/>
      <c r="L111" s="4"/>
      <c r="M111" s="139"/>
      <c r="N111" s="139"/>
      <c r="O111" s="40">
        <f t="shared" si="39"/>
        <v>0</v>
      </c>
      <c r="P111" s="69"/>
      <c r="Q111" s="69"/>
      <c r="R111" s="69"/>
      <c r="S111" s="69"/>
      <c r="T111" s="69"/>
      <c r="U111" s="69"/>
      <c r="V111" s="69"/>
      <c r="W111" s="72"/>
      <c r="X111" s="69"/>
      <c r="Y111" s="69"/>
      <c r="Z111" s="69"/>
      <c r="AA111" s="69"/>
      <c r="AB111" s="117">
        <f t="shared" si="40"/>
        <v>0</v>
      </c>
      <c r="AC111" s="115"/>
      <c r="AD111" s="69"/>
      <c r="AE111" s="67">
        <v>168.26</v>
      </c>
      <c r="AF111" s="67">
        <f>114.38+3.3</f>
        <v>117.67999999999999</v>
      </c>
      <c r="AG111" s="69"/>
      <c r="AH111" s="67">
        <f>110.8+104.45</f>
        <v>215.25</v>
      </c>
      <c r="AI111" s="67">
        <v>113.53</v>
      </c>
      <c r="AJ111" s="69"/>
      <c r="AK111" s="119">
        <f t="shared" si="47"/>
        <v>614.72</v>
      </c>
      <c r="AL111" s="67">
        <f>106.58+119.03</f>
        <v>225.61</v>
      </c>
      <c r="AM111" s="69"/>
      <c r="AN111" s="67">
        <v>104.97</v>
      </c>
      <c r="AO111" s="67">
        <f>121.81+5.53</f>
        <v>127.34</v>
      </c>
      <c r="AP111" s="179"/>
      <c r="AQ111" s="67">
        <v>106.6</v>
      </c>
      <c r="AR111" s="68">
        <f>126.43+168.18</f>
        <v>294.61</v>
      </c>
      <c r="AS111" s="68">
        <v>170.33</v>
      </c>
      <c r="AT111" s="68">
        <v>176.6</v>
      </c>
      <c r="AU111" s="68">
        <v>183.21</v>
      </c>
      <c r="AV111" s="68">
        <v>185.18</v>
      </c>
      <c r="AW111" s="67">
        <f>178.86</f>
        <v>178.86</v>
      </c>
      <c r="AX111" s="100">
        <f t="shared" si="41"/>
        <v>1753.31</v>
      </c>
      <c r="AY111" s="67">
        <v>180.16</v>
      </c>
      <c r="AZ111" s="67">
        <v>181.51</v>
      </c>
      <c r="BA111" s="179"/>
      <c r="BB111" s="68">
        <f>176.26+177.87</f>
        <v>354.13</v>
      </c>
      <c r="BC111" s="68">
        <v>181.42</v>
      </c>
      <c r="BD111" s="179"/>
      <c r="BE111" s="68">
        <f>194.14+182.59</f>
        <v>376.73</v>
      </c>
      <c r="BF111" s="68">
        <v>177.11</v>
      </c>
      <c r="BG111" s="68">
        <v>177.34</v>
      </c>
      <c r="BH111" s="68">
        <v>2.5</v>
      </c>
      <c r="BI111" s="68">
        <f>200.65+28.45</f>
        <v>229.1</v>
      </c>
      <c r="BJ111" s="235">
        <f>(198.74+25.98)+14.94</f>
        <v>239.66</v>
      </c>
      <c r="BK111" s="100">
        <f t="shared" si="48"/>
        <v>2099.66</v>
      </c>
      <c r="BL111" s="68">
        <f>299.64</f>
        <v>299.64</v>
      </c>
      <c r="BM111" s="68">
        <f>95.42+80.66+63.98+425.91</f>
        <v>665.97</v>
      </c>
      <c r="BN111" s="179"/>
      <c r="BO111" s="68">
        <f>63.98+452.96+63.98+456.97</f>
        <v>1037.8899999999999</v>
      </c>
      <c r="BP111" s="68">
        <f>63.98+477.9</f>
        <v>541.88</v>
      </c>
      <c r="BQ111" s="68">
        <f>67.24+499.78</f>
        <v>567.02</v>
      </c>
      <c r="BR111" s="68">
        <f>68.2+496.55</f>
        <v>564.75</v>
      </c>
      <c r="BS111" s="68">
        <f>68.2+495.48</f>
        <v>563.68000000000006</v>
      </c>
      <c r="BT111" s="68">
        <f>68.2+525.08</f>
        <v>593.28000000000009</v>
      </c>
      <c r="BU111" s="68">
        <f>65.99+523.99</f>
        <v>589.98</v>
      </c>
      <c r="BV111" s="68">
        <v>480.35</v>
      </c>
      <c r="BW111" s="68">
        <f>80.01+651.54</f>
        <v>731.55</v>
      </c>
      <c r="BX111" s="100">
        <f t="shared" si="38"/>
        <v>6635.9900000000007</v>
      </c>
      <c r="BY111" s="68">
        <f>671.3-2000</f>
        <v>-1328.7</v>
      </c>
      <c r="BZ111" s="68">
        <v>499.4</v>
      </c>
      <c r="CA111" s="68">
        <v>777.2</v>
      </c>
      <c r="CB111" s="68">
        <f>488.11-80.01</f>
        <v>408.1</v>
      </c>
      <c r="CC111" s="68">
        <v>592.61</v>
      </c>
      <c r="CD111" s="68">
        <v>506.37</v>
      </c>
      <c r="CE111" s="305">
        <v>509.88</v>
      </c>
      <c r="CF111" s="109">
        <f>500-420</f>
        <v>80</v>
      </c>
      <c r="CG111" s="109">
        <v>500</v>
      </c>
      <c r="CH111" s="109">
        <v>500</v>
      </c>
      <c r="CI111" s="109">
        <v>500</v>
      </c>
      <c r="CJ111" s="109">
        <v>500</v>
      </c>
      <c r="CK111" s="100">
        <f t="shared" si="42"/>
        <v>4044.86</v>
      </c>
      <c r="CL111" s="130"/>
      <c r="CM111" s="109">
        <f>500-2000</f>
        <v>-1500</v>
      </c>
      <c r="CN111" s="109">
        <v>500</v>
      </c>
      <c r="CO111" s="109">
        <v>500</v>
      </c>
      <c r="CP111" s="109">
        <v>500</v>
      </c>
      <c r="CQ111" s="109">
        <v>500</v>
      </c>
      <c r="CR111" s="109">
        <v>500</v>
      </c>
      <c r="CS111" s="109">
        <v>500</v>
      </c>
      <c r="CT111" s="109">
        <v>500</v>
      </c>
      <c r="CU111" s="109">
        <v>500</v>
      </c>
      <c r="CV111" s="109">
        <v>500</v>
      </c>
      <c r="CW111" s="109">
        <v>500</v>
      </c>
      <c r="CX111" s="109">
        <v>500</v>
      </c>
      <c r="CY111" s="100">
        <f t="shared" si="54"/>
        <v>4000</v>
      </c>
      <c r="DL111" s="100">
        <f t="shared" si="55"/>
        <v>0</v>
      </c>
    </row>
    <row r="112" spans="2:116">
      <c r="B112" s="1" t="s">
        <v>209</v>
      </c>
      <c r="C112" s="139"/>
      <c r="D112" s="139"/>
      <c r="E112" s="139"/>
      <c r="F112" s="4"/>
      <c r="G112" s="4"/>
      <c r="H112" s="4"/>
      <c r="I112" s="4"/>
      <c r="J112" s="4"/>
      <c r="K112" s="4"/>
      <c r="L112" s="4"/>
      <c r="M112" s="139"/>
      <c r="N112" s="139"/>
      <c r="O112" s="40">
        <f t="shared" si="39"/>
        <v>0</v>
      </c>
      <c r="P112" s="69"/>
      <c r="Q112" s="69"/>
      <c r="R112" s="69"/>
      <c r="S112" s="69"/>
      <c r="T112" s="69"/>
      <c r="U112" s="69"/>
      <c r="V112" s="69"/>
      <c r="W112" s="72"/>
      <c r="X112" s="69"/>
      <c r="Y112" s="69"/>
      <c r="Z112" s="69"/>
      <c r="AA112" s="69"/>
      <c r="AB112" s="117">
        <f t="shared" si="40"/>
        <v>0</v>
      </c>
      <c r="AC112" s="115"/>
      <c r="AD112" s="69"/>
      <c r="AE112" s="67"/>
      <c r="AF112" s="123"/>
      <c r="AG112" s="69"/>
      <c r="AH112" s="69"/>
      <c r="AI112" s="69">
        <f>180.11+180.11</f>
        <v>360.22</v>
      </c>
      <c r="AJ112" s="67">
        <f>180.11</f>
        <v>180.11</v>
      </c>
      <c r="AK112" s="119">
        <f t="shared" si="47"/>
        <v>540.33000000000004</v>
      </c>
      <c r="AL112" s="67">
        <f>180.11</f>
        <v>180.11</v>
      </c>
      <c r="AM112" s="67">
        <f>180.11</f>
        <v>180.11</v>
      </c>
      <c r="AN112" s="67">
        <f>180.11</f>
        <v>180.11</v>
      </c>
      <c r="AO112" s="67">
        <f>180.11</f>
        <v>180.11</v>
      </c>
      <c r="AP112" s="67">
        <f>180.11</f>
        <v>180.11</v>
      </c>
      <c r="AQ112" s="67">
        <v>182.84</v>
      </c>
      <c r="AR112" s="67">
        <v>182.84</v>
      </c>
      <c r="AS112" s="67">
        <v>182.84</v>
      </c>
      <c r="AT112" s="67">
        <v>182.84</v>
      </c>
      <c r="AU112" s="67">
        <v>182.84</v>
      </c>
      <c r="AV112" s="67">
        <v>182.84</v>
      </c>
      <c r="AW112" s="67">
        <v>182.84</v>
      </c>
      <c r="AX112" s="100">
        <f>SUM(AL112:AW112)</f>
        <v>2180.4299999999998</v>
      </c>
      <c r="AY112" s="68">
        <v>182.84</v>
      </c>
      <c r="AZ112" s="68">
        <v>182.84</v>
      </c>
      <c r="BA112" s="212">
        <v>182.84</v>
      </c>
      <c r="BB112" s="212">
        <v>182.86</v>
      </c>
      <c r="BC112" s="68">
        <v>182.84</v>
      </c>
      <c r="BD112" s="68">
        <v>191.07</v>
      </c>
      <c r="BE112" s="68">
        <v>191.07</v>
      </c>
      <c r="BF112" s="68">
        <v>191.07</v>
      </c>
      <c r="BG112" s="68">
        <v>191.07</v>
      </c>
      <c r="BH112" s="68">
        <v>191.07</v>
      </c>
      <c r="BI112" s="68">
        <v>191.07</v>
      </c>
      <c r="BJ112" s="68">
        <v>191.07</v>
      </c>
      <c r="BK112" s="100">
        <f t="shared" ref="BK112:BK125" si="74">SUM(AY112:BJ112)</f>
        <v>2251.71</v>
      </c>
      <c r="BL112" s="68">
        <v>191.07</v>
      </c>
      <c r="BM112" s="68">
        <v>191.07</v>
      </c>
      <c r="BN112" s="68">
        <v>191.07</v>
      </c>
      <c r="BO112" s="68">
        <v>191.07</v>
      </c>
      <c r="BP112" s="68">
        <v>191.07</v>
      </c>
      <c r="BQ112" s="68">
        <v>203.1</v>
      </c>
      <c r="BR112" s="68">
        <f>203.1+13.62</f>
        <v>216.72</v>
      </c>
      <c r="BS112" s="68">
        <f>203.1+13.64</f>
        <v>216.74</v>
      </c>
      <c r="BT112" s="68">
        <f>203.1+13.64</f>
        <v>216.74</v>
      </c>
      <c r="BU112" s="68">
        <f>203.1+13.62</f>
        <v>216.72</v>
      </c>
      <c r="BV112" s="68">
        <f>203.1+13.62</f>
        <v>216.72</v>
      </c>
      <c r="BW112" s="68">
        <f>203.11+13.62</f>
        <v>216.73000000000002</v>
      </c>
      <c r="BX112" s="100">
        <f t="shared" si="38"/>
        <v>2458.8199999999997</v>
      </c>
      <c r="BY112" s="68">
        <f>203.1+13.64</f>
        <v>216.74</v>
      </c>
      <c r="BZ112" s="68">
        <f>203.11+13.62</f>
        <v>216.73000000000002</v>
      </c>
      <c r="CA112" s="68">
        <f>203.1+13.64</f>
        <v>216.74</v>
      </c>
      <c r="CB112" s="68">
        <f>203.11+13.62</f>
        <v>216.73000000000002</v>
      </c>
      <c r="CC112" s="68">
        <f>203.1+13.64</f>
        <v>216.74</v>
      </c>
      <c r="CD112" s="68">
        <f>209.22+13.63</f>
        <v>222.85</v>
      </c>
      <c r="CE112" s="305">
        <f>209.22+14.57</f>
        <v>223.79</v>
      </c>
      <c r="CF112" s="109">
        <v>216.72</v>
      </c>
      <c r="CG112" s="109">
        <v>216.72</v>
      </c>
      <c r="CH112" s="109">
        <v>216.72</v>
      </c>
      <c r="CI112" s="109">
        <v>216.72</v>
      </c>
      <c r="CJ112" s="109">
        <v>216.72</v>
      </c>
      <c r="CK112" s="100">
        <f t="shared" si="42"/>
        <v>2613.9199999999996</v>
      </c>
      <c r="CL112" s="130"/>
      <c r="CM112" s="171">
        <v>216.72</v>
      </c>
      <c r="CN112" s="109">
        <v>216.72</v>
      </c>
      <c r="CO112" s="109">
        <v>216.72</v>
      </c>
      <c r="CP112" s="109">
        <v>216.72</v>
      </c>
      <c r="CQ112" s="109">
        <v>216.72</v>
      </c>
      <c r="CR112" s="109">
        <v>216.72</v>
      </c>
      <c r="CS112" s="109">
        <v>216.72</v>
      </c>
      <c r="CT112" s="109">
        <v>216.72</v>
      </c>
      <c r="CU112" s="109">
        <v>216.72</v>
      </c>
      <c r="CV112" s="109">
        <v>216.72</v>
      </c>
      <c r="CW112" s="109">
        <v>216.72</v>
      </c>
      <c r="CX112" s="109">
        <v>216.72</v>
      </c>
      <c r="CY112" s="100">
        <f t="shared" si="54"/>
        <v>2600.6399999999994</v>
      </c>
      <c r="DL112" s="100">
        <f t="shared" si="55"/>
        <v>0</v>
      </c>
    </row>
    <row r="113" spans="2:117">
      <c r="B113" s="1" t="s">
        <v>343</v>
      </c>
      <c r="C113" s="139"/>
      <c r="D113" s="139"/>
      <c r="E113" s="139"/>
      <c r="F113" s="4"/>
      <c r="G113" s="4"/>
      <c r="H113" s="4"/>
      <c r="I113" s="4"/>
      <c r="J113" s="4"/>
      <c r="K113" s="4"/>
      <c r="L113" s="4"/>
      <c r="M113" s="139"/>
      <c r="N113" s="139"/>
      <c r="O113" s="40"/>
      <c r="P113" s="69"/>
      <c r="Q113" s="69"/>
      <c r="R113" s="69"/>
      <c r="S113" s="69"/>
      <c r="T113" s="69"/>
      <c r="U113" s="69"/>
      <c r="V113" s="69"/>
      <c r="W113" s="72"/>
      <c r="X113" s="69"/>
      <c r="Y113" s="69"/>
      <c r="Z113" s="69"/>
      <c r="AA113" s="69"/>
      <c r="AB113" s="117">
        <f t="shared" si="40"/>
        <v>0</v>
      </c>
      <c r="AC113" s="115"/>
      <c r="AD113" s="69"/>
      <c r="AE113" s="67"/>
      <c r="AF113" s="123"/>
      <c r="AG113" s="69"/>
      <c r="AH113" s="69"/>
      <c r="AI113" s="67"/>
      <c r="AJ113" s="67"/>
      <c r="AK113" s="119">
        <f t="shared" si="47"/>
        <v>0</v>
      </c>
      <c r="AL113" s="67"/>
      <c r="AM113" s="67"/>
      <c r="AN113" s="67"/>
      <c r="AO113" s="67"/>
      <c r="AP113" s="67"/>
      <c r="AQ113" s="67"/>
      <c r="AR113" s="67"/>
      <c r="AS113" s="67"/>
      <c r="AT113" s="67"/>
      <c r="AU113" s="67"/>
      <c r="AV113" s="67"/>
      <c r="AW113" s="67"/>
      <c r="AX113" s="100">
        <f>SUM(AL113:AW113)</f>
        <v>0</v>
      </c>
      <c r="AY113" s="68"/>
      <c r="AZ113" s="68"/>
      <c r="BA113" s="212"/>
      <c r="BB113" s="68">
        <f>361.77+602.41</f>
        <v>964.18</v>
      </c>
      <c r="BC113" s="72"/>
      <c r="BD113" s="74"/>
      <c r="BE113" s="72"/>
      <c r="BF113" s="72"/>
      <c r="BG113" s="72"/>
      <c r="BH113" s="72"/>
      <c r="BI113" s="72"/>
      <c r="BJ113" s="236"/>
      <c r="BK113" s="100">
        <f t="shared" si="74"/>
        <v>964.18</v>
      </c>
      <c r="BL113" s="202"/>
      <c r="BM113" s="179"/>
      <c r="BN113" s="179"/>
      <c r="BO113" s="68">
        <v>969.01</v>
      </c>
      <c r="BP113" s="179"/>
      <c r="BQ113" s="179"/>
      <c r="BR113" s="179"/>
      <c r="BS113" s="179"/>
      <c r="BT113" s="179"/>
      <c r="BU113" s="179"/>
      <c r="BV113" s="179"/>
      <c r="BW113" s="237"/>
      <c r="BX113" s="100">
        <f t="shared" si="38"/>
        <v>969.01</v>
      </c>
      <c r="BY113" s="74"/>
      <c r="BZ113" s="74"/>
      <c r="CA113" s="74"/>
      <c r="CB113" s="68">
        <v>996.85</v>
      </c>
      <c r="CC113" s="68">
        <v>-100</v>
      </c>
      <c r="CD113" s="74"/>
      <c r="CK113" s="100">
        <f t="shared" si="42"/>
        <v>896.85</v>
      </c>
      <c r="CL113" s="130"/>
      <c r="CP113" s="109">
        <v>969.01</v>
      </c>
      <c r="CY113" s="100">
        <f t="shared" si="54"/>
        <v>969.01</v>
      </c>
      <c r="DL113" s="100">
        <f t="shared" si="55"/>
        <v>0</v>
      </c>
    </row>
    <row r="114" spans="2:117">
      <c r="B114" s="1" t="s">
        <v>210</v>
      </c>
      <c r="C114" s="139"/>
      <c r="D114" s="139"/>
      <c r="E114" s="139"/>
      <c r="F114" s="4"/>
      <c r="G114" s="4"/>
      <c r="H114" s="4"/>
      <c r="I114" s="4"/>
      <c r="J114" s="4"/>
      <c r="K114" s="4"/>
      <c r="L114" s="4"/>
      <c r="M114" s="139"/>
      <c r="N114" s="139"/>
      <c r="O114" s="40"/>
      <c r="P114" s="69"/>
      <c r="Q114" s="69"/>
      <c r="R114" s="69"/>
      <c r="S114" s="69"/>
      <c r="T114" s="69"/>
      <c r="U114" s="69"/>
      <c r="V114" s="69"/>
      <c r="W114" s="72"/>
      <c r="X114" s="69"/>
      <c r="Y114" s="69"/>
      <c r="Z114" s="69"/>
      <c r="AA114" s="69"/>
      <c r="AB114" s="117">
        <f t="shared" si="40"/>
        <v>0</v>
      </c>
      <c r="AC114" s="115"/>
      <c r="AD114" s="69"/>
      <c r="AE114" s="67"/>
      <c r="AF114" s="123"/>
      <c r="AG114" s="69"/>
      <c r="AH114" s="69"/>
      <c r="AI114" s="67"/>
      <c r="AJ114" s="67"/>
      <c r="AK114" s="119">
        <f t="shared" si="47"/>
        <v>0</v>
      </c>
      <c r="AL114" s="67"/>
      <c r="AM114" s="67"/>
      <c r="AN114" s="67"/>
      <c r="AO114" s="67"/>
      <c r="AP114" s="67"/>
      <c r="AQ114" s="67"/>
      <c r="AR114" s="67"/>
      <c r="AS114" s="67"/>
      <c r="AT114" s="67"/>
      <c r="AU114" s="67"/>
      <c r="AV114" s="67"/>
      <c r="AW114" s="67"/>
      <c r="AX114" s="100">
        <f t="shared" ref="AX114:AX123" si="75">SUM(AL114:AW114)</f>
        <v>0</v>
      </c>
      <c r="AY114" s="68"/>
      <c r="AZ114" s="68"/>
      <c r="BA114" s="212"/>
      <c r="BB114" s="68"/>
      <c r="BC114" s="72"/>
      <c r="BD114" s="68">
        <v>281.3</v>
      </c>
      <c r="BE114" s="72"/>
      <c r="BF114" s="72"/>
      <c r="BG114" s="72"/>
      <c r="BH114" s="72"/>
      <c r="BI114" s="72"/>
      <c r="BJ114" s="235">
        <f>546.19-281.3</f>
        <v>264.89000000000004</v>
      </c>
      <c r="BK114" s="100">
        <f t="shared" si="74"/>
        <v>546.19000000000005</v>
      </c>
      <c r="BL114" s="202"/>
      <c r="BM114" s="179"/>
      <c r="BN114" s="179"/>
      <c r="BO114" s="179"/>
      <c r="BP114" s="179"/>
      <c r="BQ114" s="68">
        <v>301.91000000000003</v>
      </c>
      <c r="BR114" s="179"/>
      <c r="BS114" s="179"/>
      <c r="BT114" s="179"/>
      <c r="BU114" s="179"/>
      <c r="BV114" s="179"/>
      <c r="BW114" s="235">
        <f>587.18-301.91</f>
        <v>285.26999999999992</v>
      </c>
      <c r="BX114" s="100">
        <f t="shared" si="38"/>
        <v>587.17999999999995</v>
      </c>
      <c r="BY114" s="74"/>
      <c r="BZ114" s="74"/>
      <c r="CA114" s="74"/>
      <c r="CB114" s="74"/>
      <c r="CC114" s="74"/>
      <c r="CD114" s="68">
        <v>316.69</v>
      </c>
      <c r="CJ114" s="109">
        <f>616.55-316.69</f>
        <v>299.85999999999996</v>
      </c>
      <c r="CK114" s="100">
        <f t="shared" si="42"/>
        <v>616.54999999999995</v>
      </c>
      <c r="CL114" s="130"/>
      <c r="CR114" s="109">
        <f>587.18-285.27</f>
        <v>301.90999999999997</v>
      </c>
      <c r="CX114" s="109">
        <v>285.27</v>
      </c>
      <c r="CY114" s="100">
        <f t="shared" si="54"/>
        <v>587.17999999999995</v>
      </c>
      <c r="DL114" s="100">
        <f t="shared" si="55"/>
        <v>0</v>
      </c>
    </row>
    <row r="115" spans="2:117">
      <c r="B115" s="1" t="s">
        <v>334</v>
      </c>
      <c r="C115" s="139"/>
      <c r="D115" s="139"/>
      <c r="E115" s="139"/>
      <c r="F115" s="4"/>
      <c r="G115" s="4"/>
      <c r="H115" s="4"/>
      <c r="I115" s="4"/>
      <c r="J115" s="4"/>
      <c r="K115" s="4"/>
      <c r="L115" s="4"/>
      <c r="M115" s="139"/>
      <c r="N115" s="139"/>
      <c r="O115" s="40"/>
      <c r="P115" s="69"/>
      <c r="Q115" s="69"/>
      <c r="R115" s="69"/>
      <c r="S115" s="69"/>
      <c r="T115" s="69"/>
      <c r="U115" s="69"/>
      <c r="V115" s="69"/>
      <c r="W115" s="72"/>
      <c r="X115" s="69"/>
      <c r="Y115" s="69"/>
      <c r="Z115" s="69"/>
      <c r="AA115" s="69"/>
      <c r="AB115" s="117">
        <f t="shared" si="40"/>
        <v>0</v>
      </c>
      <c r="AC115" s="115"/>
      <c r="AD115" s="69"/>
      <c r="AE115" s="67"/>
      <c r="AF115" s="123"/>
      <c r="AG115" s="69"/>
      <c r="AH115" s="69"/>
      <c r="AI115" s="67"/>
      <c r="AJ115" s="67"/>
      <c r="AK115" s="119">
        <f t="shared" si="47"/>
        <v>0</v>
      </c>
      <c r="AL115" s="67"/>
      <c r="AM115" s="67"/>
      <c r="AN115" s="67"/>
      <c r="AO115" s="67"/>
      <c r="AP115" s="67"/>
      <c r="AQ115" s="67"/>
      <c r="AR115" s="67"/>
      <c r="AS115" s="67"/>
      <c r="AT115" s="67"/>
      <c r="AU115" s="67"/>
      <c r="AV115" s="67"/>
      <c r="AW115" s="67"/>
      <c r="AX115" s="100">
        <f t="shared" si="75"/>
        <v>0</v>
      </c>
      <c r="AY115" s="68"/>
      <c r="AZ115" s="68"/>
      <c r="BA115" s="212"/>
      <c r="BB115" s="68"/>
      <c r="BC115" s="72"/>
      <c r="BD115" s="68"/>
      <c r="BE115" s="72"/>
      <c r="BF115" s="72"/>
      <c r="BG115" s="72"/>
      <c r="BH115" s="72"/>
      <c r="BI115" s="68">
        <v>393.95</v>
      </c>
      <c r="BJ115" s="236"/>
      <c r="BK115" s="100">
        <f t="shared" si="74"/>
        <v>393.95</v>
      </c>
      <c r="BL115" s="202"/>
      <c r="BM115" s="179"/>
      <c r="BN115" s="179"/>
      <c r="BO115" s="179"/>
      <c r="BP115" s="179"/>
      <c r="BQ115" s="179"/>
      <c r="BR115" s="179"/>
      <c r="BS115" s="179"/>
      <c r="BT115" s="179"/>
      <c r="BU115" s="179"/>
      <c r="BV115" s="68">
        <v>393.95</v>
      </c>
      <c r="BW115" s="237"/>
      <c r="BX115" s="100">
        <f t="shared" si="38"/>
        <v>393.95</v>
      </c>
      <c r="BY115" s="74"/>
      <c r="BZ115" s="74"/>
      <c r="CA115" s="74"/>
      <c r="CB115" s="74"/>
      <c r="CC115" s="74"/>
      <c r="CD115" s="74"/>
      <c r="CI115" s="109">
        <v>393.95</v>
      </c>
      <c r="CK115" s="100">
        <f t="shared" si="42"/>
        <v>393.95</v>
      </c>
      <c r="CL115" s="130"/>
      <c r="CW115" s="109">
        <v>393.95</v>
      </c>
      <c r="CY115" s="100">
        <f t="shared" si="54"/>
        <v>393.95</v>
      </c>
      <c r="DL115" s="100">
        <f t="shared" si="55"/>
        <v>0</v>
      </c>
    </row>
    <row r="116" spans="2:117">
      <c r="B116" s="1" t="s">
        <v>351</v>
      </c>
      <c r="C116" s="139"/>
      <c r="D116" s="139"/>
      <c r="E116" s="139"/>
      <c r="F116" s="4"/>
      <c r="G116" s="4"/>
      <c r="H116" s="4"/>
      <c r="I116" s="4"/>
      <c r="J116" s="4"/>
      <c r="K116" s="4"/>
      <c r="L116" s="4"/>
      <c r="M116" s="139"/>
      <c r="N116" s="139"/>
      <c r="O116" s="40"/>
      <c r="P116" s="69"/>
      <c r="Q116" s="69"/>
      <c r="R116" s="69"/>
      <c r="S116" s="69"/>
      <c r="T116" s="69"/>
      <c r="U116" s="69"/>
      <c r="V116" s="69"/>
      <c r="W116" s="72"/>
      <c r="X116" s="69"/>
      <c r="Y116" s="69"/>
      <c r="Z116" s="69"/>
      <c r="AA116" s="69"/>
      <c r="AB116" s="117">
        <f t="shared" si="40"/>
        <v>0</v>
      </c>
      <c r="AC116" s="115"/>
      <c r="AD116" s="69"/>
      <c r="AE116" s="67"/>
      <c r="AF116" s="123"/>
      <c r="AG116" s="69"/>
      <c r="AH116" s="69"/>
      <c r="AI116" s="67"/>
      <c r="AJ116" s="67"/>
      <c r="AK116" s="119">
        <f t="shared" si="47"/>
        <v>0</v>
      </c>
      <c r="AL116" s="67"/>
      <c r="AM116" s="67"/>
      <c r="AN116" s="67"/>
      <c r="AO116" s="67"/>
      <c r="AP116" s="67"/>
      <c r="AQ116" s="67"/>
      <c r="AR116" s="67"/>
      <c r="AS116" s="67"/>
      <c r="AT116" s="67"/>
      <c r="AU116" s="67"/>
      <c r="AV116" s="67"/>
      <c r="AW116" s="67"/>
      <c r="AX116" s="100"/>
      <c r="AY116" s="68"/>
      <c r="AZ116" s="68"/>
      <c r="BA116" s="212"/>
      <c r="BB116" s="68"/>
      <c r="BC116" s="72"/>
      <c r="BD116" s="68"/>
      <c r="BE116" s="72"/>
      <c r="BF116" s="72"/>
      <c r="BG116" s="72"/>
      <c r="BH116" s="72"/>
      <c r="BI116" s="68"/>
      <c r="BJ116" s="72"/>
      <c r="BK116" s="100">
        <f t="shared" si="74"/>
        <v>0</v>
      </c>
      <c r="BL116" s="179"/>
      <c r="BM116" s="179"/>
      <c r="BN116" s="179"/>
      <c r="BO116" s="179"/>
      <c r="BP116" s="179"/>
      <c r="BQ116" s="179"/>
      <c r="BR116" s="68">
        <v>393.95</v>
      </c>
      <c r="BS116" s="179"/>
      <c r="BT116" s="179"/>
      <c r="BU116" s="179"/>
      <c r="BV116" s="179"/>
      <c r="BW116" s="179"/>
      <c r="BX116" s="100">
        <f t="shared" si="38"/>
        <v>393.95</v>
      </c>
      <c r="BY116" s="74"/>
      <c r="BZ116" s="74"/>
      <c r="CA116" s="74"/>
      <c r="CB116" s="74"/>
      <c r="CC116" s="74"/>
      <c r="CD116" s="74"/>
      <c r="CE116" s="109">
        <v>393.95</v>
      </c>
      <c r="CI116" s="109"/>
      <c r="CK116" s="100">
        <f t="shared" si="42"/>
        <v>393.95</v>
      </c>
      <c r="CL116" s="130"/>
      <c r="CS116" s="109">
        <v>393.95</v>
      </c>
      <c r="CY116" s="100">
        <f t="shared" si="54"/>
        <v>393.95</v>
      </c>
      <c r="DL116" s="100">
        <f t="shared" si="55"/>
        <v>0</v>
      </c>
    </row>
    <row r="117" spans="2:117">
      <c r="B117" s="1" t="s">
        <v>333</v>
      </c>
      <c r="C117" s="139"/>
      <c r="D117" s="139"/>
      <c r="E117" s="139"/>
      <c r="F117" s="4"/>
      <c r="G117" s="4"/>
      <c r="H117" s="4"/>
      <c r="I117" s="4"/>
      <c r="J117" s="4"/>
      <c r="K117" s="4"/>
      <c r="L117" s="4"/>
      <c r="M117" s="139"/>
      <c r="N117" s="139"/>
      <c r="O117" s="40"/>
      <c r="P117" s="69"/>
      <c r="Q117" s="69"/>
      <c r="R117" s="69"/>
      <c r="S117" s="69"/>
      <c r="T117" s="69"/>
      <c r="U117" s="69"/>
      <c r="V117" s="69"/>
      <c r="W117" s="72"/>
      <c r="X117" s="69"/>
      <c r="Y117" s="69"/>
      <c r="Z117" s="69"/>
      <c r="AA117" s="69"/>
      <c r="AB117" s="117">
        <f t="shared" si="40"/>
        <v>0</v>
      </c>
      <c r="AC117" s="115"/>
      <c r="AD117" s="69"/>
      <c r="AE117" s="67"/>
      <c r="AF117" s="123"/>
      <c r="AG117" s="69"/>
      <c r="AH117" s="69"/>
      <c r="AI117" s="67"/>
      <c r="AJ117" s="67"/>
      <c r="AK117" s="119">
        <f t="shared" si="47"/>
        <v>0</v>
      </c>
      <c r="AL117" s="67"/>
      <c r="AM117" s="67"/>
      <c r="AN117" s="67"/>
      <c r="AO117" s="67"/>
      <c r="AP117" s="67"/>
      <c r="AQ117" s="67"/>
      <c r="AR117" s="67"/>
      <c r="AS117" s="67"/>
      <c r="AT117" s="67"/>
      <c r="AU117" s="67"/>
      <c r="AV117" s="67"/>
      <c r="AW117" s="67"/>
      <c r="AX117" s="100">
        <f t="shared" si="75"/>
        <v>0</v>
      </c>
      <c r="AY117" s="68"/>
      <c r="AZ117" s="68"/>
      <c r="BA117" s="212"/>
      <c r="BB117" s="68"/>
      <c r="BC117" s="72"/>
      <c r="BD117" s="68"/>
      <c r="BE117" s="72"/>
      <c r="BF117" s="72"/>
      <c r="BG117" s="72"/>
      <c r="BH117" s="72"/>
      <c r="BI117" s="68">
        <v>79.44</v>
      </c>
      <c r="BJ117" s="68">
        <v>103.2</v>
      </c>
      <c r="BK117" s="100">
        <f t="shared" si="74"/>
        <v>182.64</v>
      </c>
      <c r="BL117" s="68">
        <v>103.2</v>
      </c>
      <c r="BM117" s="72"/>
      <c r="BN117" s="72"/>
      <c r="BO117" s="72"/>
      <c r="BP117" s="72"/>
      <c r="BQ117" s="72"/>
      <c r="BR117" s="72"/>
      <c r="BS117" s="72"/>
      <c r="BT117" s="72"/>
      <c r="BU117" s="72"/>
      <c r="BV117" s="72"/>
      <c r="BW117" s="72"/>
      <c r="BX117" s="100">
        <f t="shared" si="38"/>
        <v>103.2</v>
      </c>
      <c r="BY117" s="72"/>
      <c r="BZ117" s="74"/>
      <c r="CA117" s="74"/>
      <c r="CB117" s="74"/>
      <c r="CC117" s="74"/>
      <c r="CD117" s="74"/>
      <c r="CK117" s="100">
        <f t="shared" si="42"/>
        <v>0</v>
      </c>
      <c r="CL117" s="130"/>
      <c r="CM117" s="109">
        <v>103.2</v>
      </c>
      <c r="CY117" s="100">
        <f t="shared" si="54"/>
        <v>103.2</v>
      </c>
      <c r="DL117" s="100">
        <f t="shared" si="55"/>
        <v>0</v>
      </c>
    </row>
    <row r="118" spans="2:117">
      <c r="B118" s="1" t="s">
        <v>455</v>
      </c>
      <c r="C118" s="139"/>
      <c r="D118" s="139"/>
      <c r="E118" s="139"/>
      <c r="F118" s="4"/>
      <c r="G118" s="4"/>
      <c r="H118" s="4"/>
      <c r="I118" s="4"/>
      <c r="J118" s="4"/>
      <c r="K118" s="4"/>
      <c r="L118" s="4"/>
      <c r="M118" s="139"/>
      <c r="N118" s="139"/>
      <c r="O118" s="40"/>
      <c r="P118" s="69"/>
      <c r="Q118" s="69"/>
      <c r="R118" s="69"/>
      <c r="S118" s="69"/>
      <c r="T118" s="69"/>
      <c r="U118" s="69"/>
      <c r="V118" s="69"/>
      <c r="W118" s="72"/>
      <c r="X118" s="69"/>
      <c r="Y118" s="69"/>
      <c r="Z118" s="69"/>
      <c r="AA118" s="69"/>
      <c r="AB118" s="117"/>
      <c r="AC118" s="115"/>
      <c r="AD118" s="69"/>
      <c r="AE118" s="67"/>
      <c r="AF118" s="123"/>
      <c r="AG118" s="69"/>
      <c r="AH118" s="69"/>
      <c r="AI118" s="67"/>
      <c r="AJ118" s="67"/>
      <c r="AK118" s="119"/>
      <c r="AL118" s="67"/>
      <c r="AM118" s="67"/>
      <c r="AN118" s="67"/>
      <c r="AO118" s="67"/>
      <c r="AP118" s="67"/>
      <c r="AQ118" s="67"/>
      <c r="AR118" s="67"/>
      <c r="AS118" s="67"/>
      <c r="AT118" s="67"/>
      <c r="AU118" s="67"/>
      <c r="AV118" s="67"/>
      <c r="AW118" s="67"/>
      <c r="AX118" s="100"/>
      <c r="AY118" s="68"/>
      <c r="AZ118" s="68"/>
      <c r="BA118" s="212"/>
      <c r="BB118" s="68"/>
      <c r="BC118" s="72"/>
      <c r="BD118" s="68"/>
      <c r="BE118" s="72"/>
      <c r="BF118" s="72"/>
      <c r="BG118" s="72"/>
      <c r="BH118" s="72"/>
      <c r="BI118" s="68"/>
      <c r="BJ118" s="68"/>
      <c r="BK118" s="100"/>
      <c r="BL118" s="68"/>
      <c r="BM118" s="72"/>
      <c r="BN118" s="72"/>
      <c r="BO118" s="72"/>
      <c r="BP118" s="72"/>
      <c r="BQ118" s="72"/>
      <c r="BR118" s="72"/>
      <c r="BS118" s="72"/>
      <c r="BT118" s="72"/>
      <c r="BU118" s="72"/>
      <c r="BV118" s="72"/>
      <c r="BW118" s="72"/>
      <c r="BX118" s="100"/>
      <c r="BY118" s="72"/>
      <c r="BZ118" s="74"/>
      <c r="CA118" s="74"/>
      <c r="CB118" s="68">
        <v>212.85</v>
      </c>
      <c r="CC118" s="81">
        <v>245.04</v>
      </c>
      <c r="CD118" s="81">
        <v>245.04</v>
      </c>
      <c r="CE118" s="2">
        <v>245.04</v>
      </c>
      <c r="CF118" s="1">
        <v>245.04</v>
      </c>
      <c r="CG118" s="1">
        <v>245.04</v>
      </c>
      <c r="CH118" s="1">
        <v>245.04</v>
      </c>
      <c r="CI118" s="1">
        <v>245.04</v>
      </c>
      <c r="CJ118" s="1">
        <v>245.04</v>
      </c>
      <c r="CK118" s="100">
        <f t="shared" si="42"/>
        <v>2173.17</v>
      </c>
      <c r="CL118" s="130"/>
      <c r="CM118" s="66">
        <v>245.04</v>
      </c>
      <c r="CN118" s="1">
        <v>245.04</v>
      </c>
      <c r="CO118" s="1">
        <v>245.04</v>
      </c>
      <c r="CP118" s="1">
        <v>245.04</v>
      </c>
      <c r="CQ118" s="1">
        <v>245.04</v>
      </c>
      <c r="CR118" s="1">
        <v>245.04</v>
      </c>
      <c r="CS118" s="1">
        <v>245.04</v>
      </c>
      <c r="CT118" s="1">
        <v>245.04</v>
      </c>
      <c r="CU118" s="1">
        <v>245.04</v>
      </c>
      <c r="CV118" s="1">
        <v>245.04</v>
      </c>
      <c r="CW118" s="1">
        <v>245.04</v>
      </c>
      <c r="CX118" s="1">
        <v>245.04</v>
      </c>
      <c r="CY118" s="100">
        <f t="shared" si="54"/>
        <v>2940.48</v>
      </c>
      <c r="CZ118" s="66">
        <v>245.04</v>
      </c>
      <c r="DA118" s="1">
        <v>245.04</v>
      </c>
      <c r="DB118" s="1">
        <v>245.04</v>
      </c>
      <c r="DC118" s="1">
        <v>245.04</v>
      </c>
      <c r="DD118" s="1">
        <v>245.04</v>
      </c>
      <c r="DE118" s="1">
        <v>245.04</v>
      </c>
      <c r="DF118" s="1">
        <v>245.04</v>
      </c>
      <c r="DG118" s="1">
        <v>245.04</v>
      </c>
      <c r="DH118" s="1">
        <v>245.04</v>
      </c>
      <c r="DI118" s="1">
        <v>245.04</v>
      </c>
      <c r="DJ118" s="1">
        <v>245.04</v>
      </c>
      <c r="DK118" s="1">
        <v>245.04</v>
      </c>
      <c r="DL118" s="100">
        <f t="shared" si="55"/>
        <v>2940.48</v>
      </c>
      <c r="DM118" s="1">
        <v>245.04</v>
      </c>
    </row>
    <row r="119" spans="2:117">
      <c r="B119" s="1" t="s">
        <v>456</v>
      </c>
      <c r="C119" s="139"/>
      <c r="D119" s="139"/>
      <c r="E119" s="139"/>
      <c r="F119" s="4"/>
      <c r="G119" s="4"/>
      <c r="H119" s="4"/>
      <c r="I119" s="4"/>
      <c r="J119" s="4"/>
      <c r="K119" s="4"/>
      <c r="L119" s="4"/>
      <c r="M119" s="139"/>
      <c r="N119" s="139"/>
      <c r="O119" s="40"/>
      <c r="P119" s="69"/>
      <c r="Q119" s="69"/>
      <c r="R119" s="69"/>
      <c r="S119" s="69"/>
      <c r="T119" s="69"/>
      <c r="U119" s="69"/>
      <c r="V119" s="69"/>
      <c r="W119" s="72"/>
      <c r="X119" s="69"/>
      <c r="Y119" s="69"/>
      <c r="Z119" s="69"/>
      <c r="AA119" s="69"/>
      <c r="AB119" s="117"/>
      <c r="AC119" s="115"/>
      <c r="AD119" s="69"/>
      <c r="AE119" s="67"/>
      <c r="AF119" s="123"/>
      <c r="AG119" s="69"/>
      <c r="AH119" s="69"/>
      <c r="AI119" s="67"/>
      <c r="AJ119" s="67"/>
      <c r="AK119" s="119"/>
      <c r="AL119" s="67"/>
      <c r="AM119" s="67"/>
      <c r="AN119" s="67"/>
      <c r="AO119" s="67"/>
      <c r="AP119" s="67"/>
      <c r="AQ119" s="67"/>
      <c r="AR119" s="67"/>
      <c r="AS119" s="67"/>
      <c r="AT119" s="67"/>
      <c r="AU119" s="67"/>
      <c r="AV119" s="67"/>
      <c r="AW119" s="67"/>
      <c r="AX119" s="100"/>
      <c r="AY119" s="68"/>
      <c r="AZ119" s="68"/>
      <c r="BA119" s="212"/>
      <c r="BB119" s="68"/>
      <c r="BC119" s="72"/>
      <c r="BD119" s="68"/>
      <c r="BE119" s="72"/>
      <c r="BF119" s="72"/>
      <c r="BG119" s="72"/>
      <c r="BH119" s="72"/>
      <c r="BI119" s="68"/>
      <c r="BJ119" s="68"/>
      <c r="BK119" s="100"/>
      <c r="BL119" s="68"/>
      <c r="BM119" s="72"/>
      <c r="BN119" s="72"/>
      <c r="BO119" s="72"/>
      <c r="BP119" s="72"/>
      <c r="BQ119" s="72"/>
      <c r="BR119" s="72"/>
      <c r="BS119" s="72"/>
      <c r="BT119" s="72"/>
      <c r="BU119" s="72"/>
      <c r="BV119" s="72"/>
      <c r="BW119" s="72"/>
      <c r="BX119" s="100"/>
      <c r="BY119" s="72"/>
      <c r="BZ119" s="74"/>
      <c r="CA119" s="74"/>
      <c r="CB119" s="68">
        <v>896.8</v>
      </c>
      <c r="CC119" s="74"/>
      <c r="CD119" s="74"/>
      <c r="CK119" s="100"/>
      <c r="CL119" s="130"/>
      <c r="CM119" s="66"/>
      <c r="CP119" s="66">
        <v>896.8</v>
      </c>
      <c r="CY119" s="100"/>
      <c r="DL119" s="100"/>
    </row>
    <row r="120" spans="2:117">
      <c r="B120" s="1" t="s">
        <v>211</v>
      </c>
      <c r="C120" s="102"/>
      <c r="D120" s="102"/>
      <c r="E120" s="102"/>
      <c r="F120" s="4"/>
      <c r="G120" s="4"/>
      <c r="H120" s="4"/>
      <c r="I120" s="4"/>
      <c r="J120" s="4"/>
      <c r="K120" s="4"/>
      <c r="L120" s="4"/>
      <c r="M120" s="139"/>
      <c r="N120" s="139"/>
      <c r="O120" s="40">
        <f t="shared" si="39"/>
        <v>0</v>
      </c>
      <c r="P120" s="69"/>
      <c r="Q120" s="69"/>
      <c r="R120" s="69"/>
      <c r="S120" s="69"/>
      <c r="T120" s="69"/>
      <c r="U120" s="69"/>
      <c r="V120" s="69"/>
      <c r="W120" s="72"/>
      <c r="X120" s="69"/>
      <c r="Y120" s="69"/>
      <c r="Z120" s="69"/>
      <c r="AA120" s="69"/>
      <c r="AB120" s="117">
        <f t="shared" si="40"/>
        <v>0</v>
      </c>
      <c r="AC120" s="115"/>
      <c r="AD120" s="69"/>
      <c r="AE120" s="67"/>
      <c r="AF120" s="67">
        <v>8080.88</v>
      </c>
      <c r="AG120" s="69"/>
      <c r="AH120" s="69"/>
      <c r="AI120" s="69"/>
      <c r="AJ120" s="69"/>
      <c r="AK120" s="119">
        <f t="shared" si="47"/>
        <v>8080.88</v>
      </c>
      <c r="AL120" s="67"/>
      <c r="AM120" s="69"/>
      <c r="AN120" s="74"/>
      <c r="AO120" s="69"/>
      <c r="AP120" s="69"/>
      <c r="AQ120" s="69"/>
      <c r="AR120" s="69"/>
      <c r="AS120" s="69"/>
      <c r="AT120" s="69"/>
      <c r="AU120" s="69"/>
      <c r="AV120" s="69"/>
      <c r="AW120" s="69"/>
      <c r="AX120" s="100">
        <f t="shared" si="75"/>
        <v>0</v>
      </c>
      <c r="AY120" s="115"/>
      <c r="AZ120" s="67">
        <f>8855.88-8855.88</f>
        <v>0</v>
      </c>
      <c r="BA120" s="213"/>
      <c r="BB120" s="69"/>
      <c r="BC120" s="69"/>
      <c r="BD120" s="69"/>
      <c r="BE120" s="69"/>
      <c r="BF120" s="69"/>
      <c r="BG120" s="69"/>
      <c r="BH120" s="72"/>
      <c r="BI120" s="69"/>
      <c r="BJ120" s="197"/>
      <c r="BK120" s="100">
        <f t="shared" si="74"/>
        <v>0</v>
      </c>
      <c r="BL120" s="202"/>
      <c r="BM120" s="179"/>
      <c r="BN120" s="179"/>
      <c r="BO120" s="179"/>
      <c r="BP120" s="179"/>
      <c r="BQ120" s="179"/>
      <c r="BR120" s="179"/>
      <c r="BS120" s="179"/>
      <c r="BT120" s="179"/>
      <c r="BU120" s="179"/>
      <c r="BV120" s="179"/>
      <c r="BW120" s="237"/>
      <c r="BX120" s="100">
        <f t="shared" si="38"/>
        <v>0</v>
      </c>
      <c r="BY120" s="74"/>
      <c r="BZ120" s="74"/>
      <c r="CA120" s="74"/>
      <c r="CB120" s="74"/>
      <c r="CC120" s="74"/>
      <c r="CD120" s="74"/>
      <c r="CK120" s="100">
        <f t="shared" si="42"/>
        <v>0</v>
      </c>
      <c r="CL120" s="130"/>
      <c r="CY120" s="100">
        <f t="shared" si="54"/>
        <v>0</v>
      </c>
      <c r="DL120" s="100">
        <f t="shared" si="55"/>
        <v>0</v>
      </c>
    </row>
    <row r="121" spans="2:117">
      <c r="B121" s="1" t="s">
        <v>212</v>
      </c>
      <c r="C121" s="102"/>
      <c r="D121" s="102"/>
      <c r="E121" s="102"/>
      <c r="F121" s="4"/>
      <c r="G121" s="4"/>
      <c r="H121" s="4"/>
      <c r="I121" s="4"/>
      <c r="J121" s="4"/>
      <c r="K121" s="4"/>
      <c r="L121" s="4"/>
      <c r="M121" s="139"/>
      <c r="N121" s="139"/>
      <c r="O121" s="40"/>
      <c r="P121" s="69"/>
      <c r="Q121" s="69"/>
      <c r="R121" s="69"/>
      <c r="S121" s="69"/>
      <c r="T121" s="69"/>
      <c r="U121" s="69"/>
      <c r="V121" s="69"/>
      <c r="W121" s="72"/>
      <c r="X121" s="69"/>
      <c r="Y121" s="69"/>
      <c r="Z121" s="69"/>
      <c r="AA121" s="69"/>
      <c r="AB121" s="117">
        <f t="shared" si="40"/>
        <v>0</v>
      </c>
      <c r="AC121" s="115"/>
      <c r="AD121" s="69"/>
      <c r="AE121" s="67"/>
      <c r="AF121" s="67"/>
      <c r="AG121" s="69"/>
      <c r="AH121" s="69"/>
      <c r="AI121" s="69"/>
      <c r="AJ121" s="69"/>
      <c r="AK121" s="119">
        <f t="shared" si="47"/>
        <v>0</v>
      </c>
      <c r="AL121" s="67"/>
      <c r="AM121" s="69"/>
      <c r="AN121" s="74"/>
      <c r="AO121" s="69"/>
      <c r="AP121" s="69"/>
      <c r="AQ121" s="69"/>
      <c r="AR121" s="69"/>
      <c r="AS121" s="69"/>
      <c r="AT121" s="69"/>
      <c r="AU121" s="69"/>
      <c r="AV121" s="69"/>
      <c r="AW121" s="69"/>
      <c r="AX121" s="100">
        <f t="shared" si="75"/>
        <v>0</v>
      </c>
      <c r="AY121" s="68">
        <f>443.8+443.8-443.8-443.8</f>
        <v>0</v>
      </c>
      <c r="AZ121" s="68">
        <f>455.7+26.81+455.7+455.7</f>
        <v>1393.91</v>
      </c>
      <c r="BA121" s="212">
        <f>455.7+443.8</f>
        <v>899.5</v>
      </c>
      <c r="BB121" s="68">
        <f>-443.8+455.7</f>
        <v>11.899999999999977</v>
      </c>
      <c r="BC121" s="68">
        <v>455.7</v>
      </c>
      <c r="BD121" s="68">
        <f>455.7+89.7</f>
        <v>545.4</v>
      </c>
      <c r="BE121" s="68">
        <v>455.7</v>
      </c>
      <c r="BF121" s="68">
        <f>455.7+48.8</f>
        <v>504.5</v>
      </c>
      <c r="BG121" s="68">
        <v>455.7</v>
      </c>
      <c r="BH121" s="68">
        <v>455.7</v>
      </c>
      <c r="BI121" s="68">
        <f>455.7+61</f>
        <v>516.70000000000005</v>
      </c>
      <c r="BJ121" s="68">
        <f>455.7</f>
        <v>455.7</v>
      </c>
      <c r="BK121" s="100">
        <f t="shared" si="74"/>
        <v>6150.4099999999989</v>
      </c>
      <c r="BL121" s="68">
        <f>455.7</f>
        <v>455.7</v>
      </c>
      <c r="BM121" s="68">
        <f>455.7+74.4</f>
        <v>530.1</v>
      </c>
      <c r="BN121" s="68">
        <v>455.7</v>
      </c>
      <c r="BO121" s="68">
        <f>499.8+54.1</f>
        <v>553.9</v>
      </c>
      <c r="BP121" s="68">
        <f>499.8+54.1</f>
        <v>553.9</v>
      </c>
      <c r="BQ121" s="68">
        <f>499.8+54.1</f>
        <v>553.9</v>
      </c>
      <c r="BR121" s="68">
        <f>499.8+54.1</f>
        <v>553.9</v>
      </c>
      <c r="BS121" s="68">
        <f>553.9+24.32</f>
        <v>578.22</v>
      </c>
      <c r="BT121" s="68">
        <f>499.8+54.1</f>
        <v>553.9</v>
      </c>
      <c r="BU121" s="68">
        <f>499.8+54.1</f>
        <v>553.9</v>
      </c>
      <c r="BV121" s="68">
        <f>499.8+54.1+25.36</f>
        <v>579.26</v>
      </c>
      <c r="BW121" s="68">
        <f>499.8+54.1</f>
        <v>553.9</v>
      </c>
      <c r="BX121" s="100">
        <f t="shared" si="38"/>
        <v>6476.28</v>
      </c>
      <c r="BY121" s="68">
        <f>499.8+54.1</f>
        <v>553.9</v>
      </c>
      <c r="BZ121" s="68">
        <f>499.8+34.92</f>
        <v>534.72</v>
      </c>
      <c r="CA121" s="68">
        <f>499.8</f>
        <v>499.8</v>
      </c>
      <c r="CB121" s="68">
        <f>499.8</f>
        <v>499.8</v>
      </c>
      <c r="CC121" s="68">
        <f>499.8+104.38</f>
        <v>604.18000000000006</v>
      </c>
      <c r="CD121" s="68">
        <f>499.8</f>
        <v>499.8</v>
      </c>
      <c r="CE121" s="305">
        <f>499.8</f>
        <v>499.8</v>
      </c>
      <c r="CF121" s="109">
        <f>499.8+54.1+60</f>
        <v>613.9</v>
      </c>
      <c r="CG121" s="109">
        <f t="shared" ref="CG121:CH121" si="76">499.8+54.1</f>
        <v>553.9</v>
      </c>
      <c r="CH121" s="109">
        <f t="shared" si="76"/>
        <v>553.9</v>
      </c>
      <c r="CI121" s="109">
        <f>499.8+54.1+60</f>
        <v>613.9</v>
      </c>
      <c r="CJ121" s="109">
        <f>499.8+54.1</f>
        <v>553.9</v>
      </c>
      <c r="CK121" s="100">
        <f t="shared" si="42"/>
        <v>6581.4999999999982</v>
      </c>
      <c r="CL121" s="130"/>
      <c r="CM121" s="109">
        <f>499.8+54.1</f>
        <v>553.9</v>
      </c>
      <c r="CN121" s="109">
        <f>499.8+54.1+60</f>
        <v>613.9</v>
      </c>
      <c r="CO121" s="109">
        <f>499.8+54.1</f>
        <v>553.9</v>
      </c>
      <c r="CP121" s="109">
        <f>499.8+54.1</f>
        <v>553.9</v>
      </c>
      <c r="CQ121" s="109">
        <f>499.8+54.1+60</f>
        <v>613.9</v>
      </c>
      <c r="CR121" s="109">
        <f t="shared" ref="CR121:CS121" si="77">499.8+54.1</f>
        <v>553.9</v>
      </c>
      <c r="CS121" s="109">
        <f t="shared" si="77"/>
        <v>553.9</v>
      </c>
      <c r="CT121" s="109">
        <f>499.8+54.1+60</f>
        <v>613.9</v>
      </c>
      <c r="CU121" s="109">
        <f t="shared" ref="CU121:CV121" si="78">499.8+54.1</f>
        <v>553.9</v>
      </c>
      <c r="CV121" s="109">
        <f t="shared" si="78"/>
        <v>553.9</v>
      </c>
      <c r="CW121" s="109">
        <f>499.8+54.1+60</f>
        <v>613.9</v>
      </c>
      <c r="CX121" s="109">
        <f>499.8+54.1</f>
        <v>553.9</v>
      </c>
      <c r="CY121" s="100">
        <f t="shared" si="54"/>
        <v>6886.7999999999984</v>
      </c>
      <c r="DL121" s="100">
        <f t="shared" si="55"/>
        <v>0</v>
      </c>
    </row>
    <row r="122" spans="2:117">
      <c r="B122" s="1" t="s">
        <v>213</v>
      </c>
      <c r="C122" s="102"/>
      <c r="D122" s="102"/>
      <c r="E122" s="102"/>
      <c r="F122" s="4"/>
      <c r="G122" s="4"/>
      <c r="H122" s="4"/>
      <c r="I122" s="4"/>
      <c r="J122" s="4"/>
      <c r="K122" s="4"/>
      <c r="L122" s="4"/>
      <c r="M122" s="139"/>
      <c r="N122" s="139"/>
      <c r="O122" s="40"/>
      <c r="P122" s="69"/>
      <c r="Q122" s="69"/>
      <c r="R122" s="69"/>
      <c r="S122" s="69"/>
      <c r="T122" s="69"/>
      <c r="U122" s="69"/>
      <c r="V122" s="69"/>
      <c r="W122" s="72"/>
      <c r="X122" s="69"/>
      <c r="Y122" s="69"/>
      <c r="Z122" s="69"/>
      <c r="AA122" s="69"/>
      <c r="AB122" s="117">
        <f t="shared" si="40"/>
        <v>0</v>
      </c>
      <c r="AC122" s="115"/>
      <c r="AD122" s="69"/>
      <c r="AE122" s="67"/>
      <c r="AF122" s="67"/>
      <c r="AG122" s="69"/>
      <c r="AH122" s="69"/>
      <c r="AI122" s="69"/>
      <c r="AJ122" s="69"/>
      <c r="AK122" s="119">
        <f t="shared" si="47"/>
        <v>0</v>
      </c>
      <c r="AL122" s="67"/>
      <c r="AM122" s="69"/>
      <c r="AN122" s="74"/>
      <c r="AO122" s="69"/>
      <c r="AP122" s="69"/>
      <c r="AQ122" s="69"/>
      <c r="AR122" s="69"/>
      <c r="AS122" s="69"/>
      <c r="AT122" s="69"/>
      <c r="AU122" s="69"/>
      <c r="AV122" s="69"/>
      <c r="AW122" s="69"/>
      <c r="AX122" s="100">
        <f t="shared" si="75"/>
        <v>0</v>
      </c>
      <c r="AY122" s="68"/>
      <c r="AZ122" s="68"/>
      <c r="BA122" s="212"/>
      <c r="BB122" s="68"/>
      <c r="BC122" s="68"/>
      <c r="BD122" s="68"/>
      <c r="BE122" s="68"/>
      <c r="BF122" s="68">
        <v>237.46</v>
      </c>
      <c r="BG122" s="68">
        <v>352.1</v>
      </c>
      <c r="BH122" s="68">
        <f>192.84+326.17</f>
        <v>519.01</v>
      </c>
      <c r="BI122" s="179"/>
      <c r="BJ122" s="72"/>
      <c r="BK122" s="100">
        <f t="shared" si="74"/>
        <v>1108.5700000000002</v>
      </c>
      <c r="BL122" s="68">
        <v>528.54999999999995</v>
      </c>
      <c r="BM122" s="68">
        <f>58.42+66.16</f>
        <v>124.58</v>
      </c>
      <c r="BN122" s="68">
        <f>65.44+413.53</f>
        <v>478.96999999999997</v>
      </c>
      <c r="BO122" s="68">
        <v>59.13</v>
      </c>
      <c r="BP122" s="68">
        <v>70.2</v>
      </c>
      <c r="BQ122" s="68">
        <v>61.35</v>
      </c>
      <c r="BR122" s="68">
        <v>54.12</v>
      </c>
      <c r="BS122" s="179"/>
      <c r="BT122" s="68">
        <f>57.37+57.6</f>
        <v>114.97</v>
      </c>
      <c r="BU122" s="68">
        <f>182.97+64.09</f>
        <v>247.06</v>
      </c>
      <c r="BV122" s="68">
        <f>231.42</f>
        <v>231.42</v>
      </c>
      <c r="BW122" s="68">
        <f>35.43+186.98</f>
        <v>222.41</v>
      </c>
      <c r="BX122" s="100">
        <f t="shared" si="38"/>
        <v>2192.7599999999998</v>
      </c>
      <c r="BY122" s="68">
        <f>86.71</f>
        <v>86.71</v>
      </c>
      <c r="BZ122" s="68">
        <f>33.51+132.46</f>
        <v>165.97</v>
      </c>
      <c r="CA122" s="68">
        <v>126.42</v>
      </c>
      <c r="CB122" s="68">
        <f>51.26+93.94</f>
        <v>145.19999999999999</v>
      </c>
      <c r="CC122" s="68">
        <v>92.69</v>
      </c>
      <c r="CD122" s="68">
        <f>51.43+105.79</f>
        <v>157.22</v>
      </c>
      <c r="CE122" s="305">
        <f>76.1</f>
        <v>76.099999999999994</v>
      </c>
      <c r="CF122" s="109">
        <v>200</v>
      </c>
      <c r="CG122" s="109">
        <v>200</v>
      </c>
      <c r="CH122" s="109">
        <v>200</v>
      </c>
      <c r="CI122" s="109">
        <v>200</v>
      </c>
      <c r="CJ122" s="109">
        <v>200</v>
      </c>
      <c r="CK122" s="100">
        <f t="shared" si="42"/>
        <v>1850.31</v>
      </c>
      <c r="CL122" s="130"/>
      <c r="CM122" s="171">
        <v>200</v>
      </c>
      <c r="CN122" s="171">
        <v>200</v>
      </c>
      <c r="CO122" s="171">
        <v>200</v>
      </c>
      <c r="CP122" s="171">
        <v>200</v>
      </c>
      <c r="CQ122" s="171">
        <v>200</v>
      </c>
      <c r="CR122" s="171">
        <v>200</v>
      </c>
      <c r="CS122" s="171">
        <v>200</v>
      </c>
      <c r="CT122" s="171">
        <v>200</v>
      </c>
      <c r="CU122" s="171">
        <v>200</v>
      </c>
      <c r="CV122" s="171">
        <v>200</v>
      </c>
      <c r="CW122" s="171">
        <v>200</v>
      </c>
      <c r="CX122" s="171">
        <v>200</v>
      </c>
      <c r="CY122" s="100">
        <f t="shared" si="54"/>
        <v>2400</v>
      </c>
      <c r="DL122" s="100">
        <f t="shared" si="55"/>
        <v>0</v>
      </c>
    </row>
    <row r="123" spans="2:117">
      <c r="B123" s="1" t="s">
        <v>341</v>
      </c>
      <c r="C123" s="102"/>
      <c r="D123" s="102"/>
      <c r="E123" s="102"/>
      <c r="F123" s="4"/>
      <c r="G123" s="4"/>
      <c r="H123" s="4"/>
      <c r="I123" s="4"/>
      <c r="J123" s="4"/>
      <c r="K123" s="4"/>
      <c r="L123" s="4"/>
      <c r="M123" s="139"/>
      <c r="N123" s="139"/>
      <c r="O123" s="40"/>
      <c r="P123" s="69"/>
      <c r="Q123" s="69"/>
      <c r="R123" s="69"/>
      <c r="S123" s="69"/>
      <c r="T123" s="69"/>
      <c r="U123" s="69"/>
      <c r="V123" s="69"/>
      <c r="W123" s="72"/>
      <c r="X123" s="69"/>
      <c r="Y123" s="69"/>
      <c r="Z123" s="69"/>
      <c r="AA123" s="69"/>
      <c r="AB123" s="117">
        <f t="shared" si="40"/>
        <v>0</v>
      </c>
      <c r="AC123" s="115"/>
      <c r="AD123" s="69"/>
      <c r="AE123" s="67"/>
      <c r="AF123" s="67"/>
      <c r="AG123" s="69"/>
      <c r="AH123" s="69"/>
      <c r="AI123" s="69"/>
      <c r="AJ123" s="69"/>
      <c r="AK123" s="119">
        <f t="shared" si="47"/>
        <v>0</v>
      </c>
      <c r="AL123" s="67"/>
      <c r="AM123" s="69"/>
      <c r="AN123" s="74"/>
      <c r="AO123" s="69"/>
      <c r="AP123" s="69"/>
      <c r="AQ123" s="69"/>
      <c r="AR123" s="69"/>
      <c r="AS123" s="69"/>
      <c r="AT123" s="69"/>
      <c r="AU123" s="69"/>
      <c r="AV123" s="69"/>
      <c r="AW123" s="69"/>
      <c r="AX123" s="100">
        <f t="shared" si="75"/>
        <v>0</v>
      </c>
      <c r="AY123" s="68"/>
      <c r="AZ123" s="68"/>
      <c r="BA123" s="212"/>
      <c r="BB123" s="68"/>
      <c r="BC123" s="68"/>
      <c r="BD123" s="68"/>
      <c r="BE123" s="68"/>
      <c r="BF123" s="68"/>
      <c r="BG123" s="68"/>
      <c r="BH123" s="68"/>
      <c r="BI123" s="68">
        <f>3330+2528.9+319.44</f>
        <v>6178.3399999999992</v>
      </c>
      <c r="BJ123" s="68">
        <f>100+39.5</f>
        <v>139.5</v>
      </c>
      <c r="BK123" s="100">
        <f t="shared" si="74"/>
        <v>6317.8399999999992</v>
      </c>
      <c r="BL123" s="68">
        <f>2300.79</f>
        <v>2300.79</v>
      </c>
      <c r="BM123" s="68">
        <f>2300.79</f>
        <v>2300.79</v>
      </c>
      <c r="BN123" s="68">
        <f>2137.23-(0.79-0.49)-(2300.79-2127.38)</f>
        <v>1963.52</v>
      </c>
      <c r="BO123" s="68">
        <v>2136.19</v>
      </c>
      <c r="BP123" s="68">
        <v>2133.67</v>
      </c>
      <c r="BQ123" s="68">
        <v>2133.64</v>
      </c>
      <c r="BR123" s="68">
        <v>2126.77</v>
      </c>
      <c r="BS123" s="68">
        <v>2141.89</v>
      </c>
      <c r="BT123" s="68">
        <f>2270*1.21+2131.66</f>
        <v>4878.3599999999997</v>
      </c>
      <c r="BU123" s="179"/>
      <c r="BV123" s="179"/>
      <c r="BW123" s="179"/>
      <c r="BX123" s="100">
        <f t="shared" si="38"/>
        <v>22115.620000000003</v>
      </c>
      <c r="BY123" s="74"/>
      <c r="BZ123" s="74"/>
      <c r="CA123" s="74"/>
      <c r="CB123" s="74"/>
      <c r="CC123" s="74"/>
      <c r="CD123" s="74"/>
      <c r="CK123" s="100">
        <f t="shared" si="42"/>
        <v>0</v>
      </c>
      <c r="CL123" s="130"/>
      <c r="CY123" s="100">
        <f t="shared" si="54"/>
        <v>0</v>
      </c>
      <c r="DL123" s="100">
        <f t="shared" si="55"/>
        <v>0</v>
      </c>
    </row>
    <row r="124" spans="2:117">
      <c r="B124" s="1" t="s">
        <v>214</v>
      </c>
      <c r="C124" s="102"/>
      <c r="D124" s="102"/>
      <c r="E124" s="102">
        <f>84.7+791.46</f>
        <v>876.16000000000008</v>
      </c>
      <c r="F124" s="4"/>
      <c r="G124" s="4"/>
      <c r="H124" s="4"/>
      <c r="I124" s="4"/>
      <c r="J124" s="4"/>
      <c r="K124" s="4"/>
      <c r="L124" s="4"/>
      <c r="M124" s="139"/>
      <c r="N124" s="139"/>
      <c r="O124" s="40">
        <f t="shared" si="39"/>
        <v>876.16000000000008</v>
      </c>
      <c r="P124" s="69"/>
      <c r="Q124" s="69"/>
      <c r="R124" s="94">
        <v>5580</v>
      </c>
      <c r="S124" s="94">
        <v>2332.52</v>
      </c>
      <c r="T124" s="94">
        <f>460+1864.61</f>
        <v>2324.6099999999997</v>
      </c>
      <c r="U124" s="69"/>
      <c r="V124" s="69"/>
      <c r="W124" s="94">
        <f>370.46+480</f>
        <v>850.46</v>
      </c>
      <c r="X124" s="69"/>
      <c r="Y124" s="69"/>
      <c r="Z124" s="95">
        <f>63.85</f>
        <v>63.85</v>
      </c>
      <c r="AA124" s="67">
        <v>1705.55</v>
      </c>
      <c r="AB124" s="117">
        <f t="shared" si="40"/>
        <v>12856.99</v>
      </c>
      <c r="AC124" s="120">
        <f>441.1+60.5-1.01</f>
        <v>500.59000000000003</v>
      </c>
      <c r="AD124" s="124">
        <f>120+150+415.44</f>
        <v>685.44</v>
      </c>
      <c r="AE124" s="67"/>
      <c r="AF124" s="67"/>
      <c r="AG124" s="67">
        <f>240</f>
        <v>240</v>
      </c>
      <c r="AH124" s="68">
        <v>64</v>
      </c>
      <c r="AI124" s="67">
        <v>-0.15</v>
      </c>
      <c r="AJ124" s="124">
        <v>236.11</v>
      </c>
      <c r="AK124" s="119">
        <f t="shared" si="47"/>
        <v>1725.9900000000002</v>
      </c>
      <c r="AL124" s="67">
        <f>(385+315*0.85)*1.21+320+0.04</f>
        <v>1109.8674999999998</v>
      </c>
      <c r="AM124" s="67">
        <v>0.33</v>
      </c>
      <c r="AN124" s="74"/>
      <c r="AO124" s="74"/>
      <c r="AP124" s="67">
        <f>38.99+238.98+39.95+106.48+(238.98+459.57+4.88)-1.72</f>
        <v>1126.1099999999999</v>
      </c>
      <c r="AQ124" s="95">
        <f>70.49+((26.18+9.99+11.3+26.85+181.63+53.25+219.43+251.85)+374.47-64)+4.22+(988.5+120)</f>
        <v>2274.16</v>
      </c>
      <c r="AR124" s="68">
        <f>70.49+(7.9+4.22+3.96+41.99+10.08)+187.68+0.01</f>
        <v>326.33</v>
      </c>
      <c r="AS124" s="68">
        <f>70.49+10.26+13.75+294.4+81.1+38.34+0.01</f>
        <v>508.35</v>
      </c>
      <c r="AT124" s="68">
        <f>70.49+128+61.69+525.29-0.01</f>
        <v>785.46</v>
      </c>
      <c r="AU124" s="67">
        <f>154.76+3.94+70.49+387.27+488.4+0.17</f>
        <v>1105.0300000000002</v>
      </c>
      <c r="AV124" s="121">
        <f>275+6500+1.21+50818.8+7625.51+666.09-0.01</f>
        <v>65886.600000000006</v>
      </c>
      <c r="AW124" s="67">
        <f>1365+620.3+0.01</f>
        <v>1985.31</v>
      </c>
      <c r="AX124" s="100">
        <f t="shared" ref="AX124:AX125" si="79">SUM(AL124:AW124)</f>
        <v>75107.547500000001</v>
      </c>
      <c r="AY124" s="120">
        <f>830.94</f>
        <v>830.94</v>
      </c>
      <c r="AZ124" s="67">
        <f>(181.58+155.36)+0.57</f>
        <v>337.51000000000005</v>
      </c>
      <c r="BA124" s="121">
        <f>(31.39+438.67)+27.37-425.49-0.01</f>
        <v>71.929999999999993</v>
      </c>
      <c r="BB124" s="67">
        <f>(-438.67-155.36-203.29)+197.18+473.48+31.55-0.56</f>
        <v>-95.66999999999986</v>
      </c>
      <c r="BC124" s="223">
        <f>74.54+439.11-0.03</f>
        <v>513.62</v>
      </c>
      <c r="BD124" s="223">
        <f>-197.18+499.83</f>
        <v>302.64999999999998</v>
      </c>
      <c r="BE124" s="223">
        <f>4547.58+0.19</f>
        <v>4547.7699999999995</v>
      </c>
      <c r="BF124" s="223">
        <f>3133.29+0.18</f>
        <v>3133.47</v>
      </c>
      <c r="BG124" s="223">
        <f>357.63*1.21+350*1.21+7885.56+0.22</f>
        <v>8742.0123000000003</v>
      </c>
      <c r="BH124" s="226">
        <f>87*1.21+50*1.21+7145.11+0.26+551.71</f>
        <v>7862.8499999999995</v>
      </c>
      <c r="BI124" s="226">
        <f>3662.95+24.2+0.33</f>
        <v>3687.4799999999996</v>
      </c>
      <c r="BJ124" s="234">
        <f>7.94+(105.3+1317.38)-0.01</f>
        <v>1430.6100000000001</v>
      </c>
      <c r="BK124" s="100">
        <f t="shared" si="74"/>
        <v>31365.172299999998</v>
      </c>
      <c r="BL124" s="223">
        <f>502.33-0.01</f>
        <v>502.32</v>
      </c>
      <c r="BM124" s="223">
        <f>1632.37-0.74</f>
        <v>1631.6299999999999</v>
      </c>
      <c r="BN124" s="223">
        <f>136.17+2050.01-0.22</f>
        <v>2185.9600000000005</v>
      </c>
      <c r="BO124" s="223">
        <f>16.14+4779.67+3.57</f>
        <v>4799.38</v>
      </c>
      <c r="BP124" s="223">
        <f>118.1+(551.25-240)+2176.28</f>
        <v>2605.63</v>
      </c>
      <c r="BQ124" s="74"/>
      <c r="BR124" s="67">
        <v>-1.07</v>
      </c>
      <c r="BS124" s="67">
        <v>1.54</v>
      </c>
      <c r="BT124" s="69"/>
      <c r="BU124" s="68">
        <v>0.42</v>
      </c>
      <c r="BV124" s="67">
        <v>0.01</v>
      </c>
      <c r="BW124" s="200">
        <v>0.01</v>
      </c>
      <c r="BX124" s="100">
        <f t="shared" si="38"/>
        <v>11725.830000000004</v>
      </c>
      <c r="BY124" s="81">
        <v>-0.03</v>
      </c>
      <c r="BZ124" s="68">
        <v>-0.48</v>
      </c>
      <c r="CA124" s="68">
        <v>-0.42</v>
      </c>
      <c r="CB124" s="74"/>
      <c r="CC124" s="81">
        <v>-0.01</v>
      </c>
      <c r="CD124" s="81">
        <v>-0.01</v>
      </c>
      <c r="CF124" s="377">
        <v>30</v>
      </c>
      <c r="CK124" s="100">
        <f t="shared" si="42"/>
        <v>29.05</v>
      </c>
      <c r="CL124" s="130"/>
      <c r="CY124" s="100">
        <f t="shared" si="54"/>
        <v>0</v>
      </c>
      <c r="DL124" s="100">
        <f t="shared" si="55"/>
        <v>0</v>
      </c>
    </row>
    <row r="125" spans="2:117">
      <c r="B125" s="1" t="s">
        <v>215</v>
      </c>
      <c r="C125" s="102"/>
      <c r="D125" s="102"/>
      <c r="E125" s="102"/>
      <c r="F125" s="4"/>
      <c r="G125" s="4"/>
      <c r="H125" s="4"/>
      <c r="I125" s="4"/>
      <c r="J125" s="4"/>
      <c r="K125" s="4"/>
      <c r="L125" s="4"/>
      <c r="M125" s="139"/>
      <c r="N125" s="139"/>
      <c r="O125" s="40"/>
      <c r="P125" s="69"/>
      <c r="Q125" s="69"/>
      <c r="R125" s="94"/>
      <c r="S125" s="94"/>
      <c r="T125" s="94"/>
      <c r="U125" s="69"/>
      <c r="V125" s="69"/>
      <c r="W125" s="94"/>
      <c r="X125" s="69"/>
      <c r="Y125" s="69"/>
      <c r="Z125" s="95"/>
      <c r="AA125" s="67"/>
      <c r="AB125" s="117">
        <f t="shared" si="40"/>
        <v>0</v>
      </c>
      <c r="AC125" s="120"/>
      <c r="AD125" s="67"/>
      <c r="AE125" s="67"/>
      <c r="AF125" s="67"/>
      <c r="AG125" s="67"/>
      <c r="AH125" s="68"/>
      <c r="AI125" s="69"/>
      <c r="AJ125" s="69"/>
      <c r="AK125" s="119">
        <f t="shared" si="47"/>
        <v>0</v>
      </c>
      <c r="AL125" s="70">
        <v>4112.04</v>
      </c>
      <c r="AM125" s="95"/>
      <c r="AN125" s="69"/>
      <c r="AO125" s="69"/>
      <c r="AP125" s="69"/>
      <c r="AQ125" s="69"/>
      <c r="AR125" s="69"/>
      <c r="AS125" s="69">
        <v>-0.01</v>
      </c>
      <c r="AT125" s="74"/>
      <c r="AU125" s="69">
        <f>200000*0</f>
        <v>0</v>
      </c>
      <c r="AV125" s="69"/>
      <c r="AW125" s="69"/>
      <c r="AX125" s="100">
        <f t="shared" si="79"/>
        <v>4112.03</v>
      </c>
      <c r="AY125" s="115"/>
      <c r="AZ125" s="69"/>
      <c r="BA125" s="213"/>
      <c r="BB125" s="69"/>
      <c r="BC125" s="69"/>
      <c r="BD125" s="69"/>
      <c r="BE125" s="69"/>
      <c r="BF125" s="69"/>
      <c r="BG125" s="69"/>
      <c r="BH125" s="72"/>
      <c r="BI125" s="69"/>
      <c r="BJ125" s="197"/>
      <c r="BK125" s="100">
        <f t="shared" si="74"/>
        <v>0</v>
      </c>
      <c r="BL125" s="115"/>
      <c r="BM125" s="69"/>
      <c r="BN125" s="69"/>
      <c r="BO125" s="69"/>
      <c r="BP125" s="69"/>
      <c r="BQ125" s="69"/>
      <c r="BR125" s="69"/>
      <c r="BS125" s="69"/>
      <c r="BT125" s="69"/>
      <c r="BU125" s="69"/>
      <c r="BV125" s="69"/>
      <c r="BW125" s="197"/>
      <c r="BX125" s="100">
        <f t="shared" si="38"/>
        <v>0</v>
      </c>
      <c r="BY125" s="74"/>
      <c r="BZ125" s="74"/>
      <c r="CA125" s="74"/>
      <c r="CB125" s="74"/>
      <c r="CC125" s="74"/>
      <c r="CD125" s="74"/>
      <c r="CK125" s="100">
        <f t="shared" si="42"/>
        <v>0</v>
      </c>
      <c r="CL125" s="130"/>
      <c r="CY125" s="100">
        <f t="shared" si="54"/>
        <v>0</v>
      </c>
      <c r="DL125" s="100">
        <f t="shared" si="55"/>
        <v>0</v>
      </c>
    </row>
    <row r="126" spans="2:117" s="13" customFormat="1">
      <c r="C126" s="103"/>
      <c r="D126" s="103"/>
      <c r="E126" s="103"/>
      <c r="F126" s="32"/>
      <c r="G126" s="32"/>
      <c r="H126" s="32"/>
      <c r="I126" s="32"/>
      <c r="J126" s="32"/>
      <c r="K126" s="32"/>
      <c r="L126" s="32"/>
      <c r="M126" s="103"/>
      <c r="N126" s="103"/>
      <c r="O126" s="41">
        <f t="shared" si="39"/>
        <v>0</v>
      </c>
      <c r="P126" s="125"/>
      <c r="Q126" s="79"/>
      <c r="R126" s="79"/>
      <c r="S126" s="79"/>
      <c r="T126" s="79"/>
      <c r="U126" s="79"/>
      <c r="V126" s="79"/>
      <c r="W126" s="79"/>
      <c r="X126" s="80"/>
      <c r="Y126" s="80"/>
      <c r="Z126" s="80"/>
      <c r="AA126" s="77"/>
      <c r="AB126" s="126"/>
      <c r="AC126" s="127"/>
      <c r="AD126" s="112"/>
      <c r="AE126" s="112"/>
      <c r="AF126" s="77"/>
      <c r="AG126" s="77"/>
      <c r="AH126" s="80"/>
      <c r="AI126" s="79"/>
      <c r="AJ126" s="79"/>
      <c r="AK126" s="128"/>
      <c r="AL126" s="112"/>
      <c r="AM126" s="112"/>
      <c r="AN126" s="112"/>
      <c r="AO126" s="79"/>
      <c r="AP126" s="112"/>
      <c r="AQ126" s="112"/>
      <c r="AR126" s="112"/>
      <c r="AS126" s="112"/>
      <c r="AT126" s="112"/>
      <c r="AU126" s="112"/>
      <c r="AV126" s="112"/>
      <c r="AW126" s="112"/>
      <c r="AX126" s="111"/>
      <c r="AY126" s="204"/>
      <c r="AZ126" s="112"/>
      <c r="BA126" s="246"/>
      <c r="BB126" s="112"/>
      <c r="BC126" s="112"/>
      <c r="BD126" s="112"/>
      <c r="BE126" s="112"/>
      <c r="BF126" s="112"/>
      <c r="BG126" s="112"/>
      <c r="BH126" s="112"/>
      <c r="BI126" s="112"/>
      <c r="BJ126" s="198"/>
      <c r="BK126" s="111"/>
      <c r="BL126" s="204"/>
      <c r="BM126" s="112"/>
      <c r="BN126" s="112"/>
      <c r="BO126" s="112"/>
      <c r="BP126" s="112"/>
      <c r="BQ126" s="112"/>
      <c r="BR126" s="112"/>
      <c r="BS126" s="112"/>
      <c r="BT126" s="112"/>
      <c r="BU126" s="112"/>
      <c r="BV126" s="112"/>
      <c r="BW126" s="198"/>
      <c r="BX126" s="111">
        <f t="shared" si="38"/>
        <v>0</v>
      </c>
      <c r="BY126" s="440"/>
      <c r="BZ126" s="440"/>
      <c r="CA126" s="440"/>
      <c r="CB126" s="440"/>
      <c r="CC126" s="440"/>
      <c r="CD126" s="440"/>
      <c r="CK126" s="111"/>
      <c r="CL126" s="132"/>
      <c r="CY126" s="111"/>
      <c r="DL126" s="111"/>
    </row>
    <row r="127" spans="2:117" s="43" customFormat="1" ht="16.5">
      <c r="B127" s="154" t="s">
        <v>427</v>
      </c>
      <c r="C127" s="163">
        <f t="shared" ref="C127:N127" si="80">SUM(C78:C126)</f>
        <v>181.67</v>
      </c>
      <c r="D127" s="163">
        <f t="shared" si="80"/>
        <v>42137.99</v>
      </c>
      <c r="E127" s="163">
        <f t="shared" si="80"/>
        <v>6901.43</v>
      </c>
      <c r="F127" s="163">
        <f t="shared" si="80"/>
        <v>-5264.7</v>
      </c>
      <c r="G127" s="163">
        <f t="shared" si="80"/>
        <v>1357.85</v>
      </c>
      <c r="H127" s="163">
        <f t="shared" si="80"/>
        <v>2147.85</v>
      </c>
      <c r="I127" s="163">
        <f t="shared" si="80"/>
        <v>2672.85</v>
      </c>
      <c r="J127" s="163">
        <f t="shared" si="80"/>
        <v>3857.85</v>
      </c>
      <c r="K127" s="163">
        <f t="shared" si="80"/>
        <v>857.85</v>
      </c>
      <c r="L127" s="163">
        <f t="shared" si="80"/>
        <v>857.85</v>
      </c>
      <c r="M127" s="158">
        <f t="shared" si="80"/>
        <v>18825.349999999999</v>
      </c>
      <c r="N127" s="158">
        <f t="shared" si="80"/>
        <v>13108.35</v>
      </c>
      <c r="O127" s="164">
        <f t="shared" si="39"/>
        <v>87642.19</v>
      </c>
      <c r="P127" s="158">
        <f>SUM(P79:P126)</f>
        <v>714.1</v>
      </c>
      <c r="Q127" s="158">
        <f t="shared" ref="Q127:AW127" si="81">SUM(Q78:Q126)</f>
        <v>25339.18</v>
      </c>
      <c r="R127" s="158">
        <f t="shared" si="81"/>
        <v>19717.57</v>
      </c>
      <c r="S127" s="158">
        <f t="shared" si="81"/>
        <v>22147.54</v>
      </c>
      <c r="T127" s="158">
        <f t="shared" si="81"/>
        <v>24854.55</v>
      </c>
      <c r="U127" s="158">
        <f t="shared" si="81"/>
        <v>15062.429999999998</v>
      </c>
      <c r="V127" s="158">
        <f t="shared" si="81"/>
        <v>20795.419999999998</v>
      </c>
      <c r="W127" s="158">
        <f t="shared" si="81"/>
        <v>14998.21</v>
      </c>
      <c r="X127" s="158">
        <f t="shared" si="81"/>
        <v>19736.130699999998</v>
      </c>
      <c r="Y127" s="158">
        <f t="shared" si="81"/>
        <v>20083.850700000003</v>
      </c>
      <c r="Z127" s="158">
        <f t="shared" si="81"/>
        <v>21440.900699999998</v>
      </c>
      <c r="AA127" s="158">
        <f t="shared" si="81"/>
        <v>19327.230700321183</v>
      </c>
      <c r="AB127" s="160">
        <f t="shared" si="81"/>
        <v>224217.11280032116</v>
      </c>
      <c r="AC127" s="262">
        <f t="shared" si="81"/>
        <v>25102.724033333328</v>
      </c>
      <c r="AD127" s="158">
        <f t="shared" si="81"/>
        <v>19652.334033333329</v>
      </c>
      <c r="AE127" s="158">
        <f t="shared" si="81"/>
        <v>16377.324033333336</v>
      </c>
      <c r="AF127" s="158">
        <f t="shared" si="81"/>
        <v>28525.130845174674</v>
      </c>
      <c r="AG127" s="158">
        <f t="shared" si="81"/>
        <v>14876.247220537256</v>
      </c>
      <c r="AH127" s="158">
        <f t="shared" si="81"/>
        <v>17029.084127872709</v>
      </c>
      <c r="AI127" s="158">
        <f t="shared" si="81"/>
        <v>37741.223977479276</v>
      </c>
      <c r="AJ127" s="158">
        <f t="shared" si="81"/>
        <v>16375.838300000001</v>
      </c>
      <c r="AK127" s="161">
        <f t="shared" si="81"/>
        <v>175679.90657106388</v>
      </c>
      <c r="AL127" s="158">
        <f t="shared" si="81"/>
        <v>21685.263641252368</v>
      </c>
      <c r="AM127" s="158">
        <f t="shared" si="81"/>
        <v>42510.880185690272</v>
      </c>
      <c r="AN127" s="158">
        <f t="shared" si="81"/>
        <v>18563.750700000004</v>
      </c>
      <c r="AO127" s="158">
        <f t="shared" si="81"/>
        <v>24287.7504028697</v>
      </c>
      <c r="AP127" s="158">
        <f t="shared" si="81"/>
        <v>26462.377165640595</v>
      </c>
      <c r="AQ127" s="158">
        <f t="shared" si="81"/>
        <v>33391.49979596521</v>
      </c>
      <c r="AR127" s="158">
        <f t="shared" si="81"/>
        <v>32947.215788498856</v>
      </c>
      <c r="AS127" s="158">
        <f t="shared" si="81"/>
        <v>26090.577212675904</v>
      </c>
      <c r="AT127" s="158">
        <f t="shared" si="81"/>
        <v>31212.463653507668</v>
      </c>
      <c r="AU127" s="158">
        <f t="shared" si="81"/>
        <v>8185.0516665068626</v>
      </c>
      <c r="AV127" s="158">
        <f t="shared" si="81"/>
        <v>115867.88706178369</v>
      </c>
      <c r="AW127" s="162">
        <f t="shared" si="81"/>
        <v>28697.088636596443</v>
      </c>
      <c r="AX127" s="165">
        <f>SUM(AX77:AX126)</f>
        <v>409901.80591098749</v>
      </c>
      <c r="AY127" s="206">
        <f t="shared" ref="AY127:BJ127" si="82">SUM(AY78:AY126)</f>
        <v>23045.830801044205</v>
      </c>
      <c r="AZ127" s="209">
        <f t="shared" si="82"/>
        <v>35453.279050834382</v>
      </c>
      <c r="BA127" s="263">
        <f t="shared" si="82"/>
        <v>19831.105695999999</v>
      </c>
      <c r="BB127" s="209">
        <f t="shared" si="82"/>
        <v>25119.916768000006</v>
      </c>
      <c r="BC127" s="209">
        <f t="shared" si="82"/>
        <v>33208.4877283151</v>
      </c>
      <c r="BD127" s="209">
        <f t="shared" si="82"/>
        <v>27557.540576611715</v>
      </c>
      <c r="BE127" s="209">
        <f t="shared" si="82"/>
        <v>51749.220048000003</v>
      </c>
      <c r="BF127" s="209">
        <f t="shared" si="82"/>
        <v>47275.37</v>
      </c>
      <c r="BG127" s="209">
        <f t="shared" si="82"/>
        <v>40793.627956000004</v>
      </c>
      <c r="BH127" s="209">
        <f t="shared" si="82"/>
        <v>28447.212320821516</v>
      </c>
      <c r="BI127" s="209">
        <f t="shared" si="82"/>
        <v>47737.601383791203</v>
      </c>
      <c r="BJ127" s="264">
        <f t="shared" si="82"/>
        <v>25240.512924999999</v>
      </c>
      <c r="BK127" s="165">
        <f>SUM(BK77:BK126)</f>
        <v>405459.70525441814</v>
      </c>
      <c r="BL127" s="206">
        <f t="shared" ref="BL127:CJ127" si="83">SUM(BL78:BL126)</f>
        <v>-9945.4340499674618</v>
      </c>
      <c r="BM127" s="209">
        <f t="shared" si="83"/>
        <v>50305.347265644574</v>
      </c>
      <c r="BN127" s="209">
        <f t="shared" si="83"/>
        <v>6685.8245595053977</v>
      </c>
      <c r="BO127" s="209">
        <f t="shared" si="83"/>
        <v>47362.691300000006</v>
      </c>
      <c r="BP127" s="209">
        <f t="shared" si="83"/>
        <v>31765.143225000003</v>
      </c>
      <c r="BQ127" s="209">
        <f t="shared" si="83"/>
        <v>15586.618147000001</v>
      </c>
      <c r="BR127" s="209">
        <f t="shared" si="83"/>
        <v>219396.28217248141</v>
      </c>
      <c r="BS127" s="209">
        <f t="shared" si="83"/>
        <v>41490.520550840964</v>
      </c>
      <c r="BT127" s="209">
        <f t="shared" si="83"/>
        <v>12891.069175000001</v>
      </c>
      <c r="BU127" s="209">
        <f t="shared" si="83"/>
        <v>15101.381680500013</v>
      </c>
      <c r="BV127" s="209">
        <f t="shared" si="83"/>
        <v>54423.240743199996</v>
      </c>
      <c r="BW127" s="264">
        <f t="shared" si="83"/>
        <v>8954.3951769999985</v>
      </c>
      <c r="BX127" s="185">
        <f t="shared" si="83"/>
        <v>492650.50996950507</v>
      </c>
      <c r="BY127" s="209">
        <f>SUM(BY78:BY126)</f>
        <v>23796.846860043373</v>
      </c>
      <c r="BZ127" s="209">
        <f t="shared" si="83"/>
        <v>33832.159565891627</v>
      </c>
      <c r="CA127" s="209">
        <f t="shared" si="83"/>
        <v>23372.380845002936</v>
      </c>
      <c r="CB127" s="209">
        <f t="shared" si="83"/>
        <v>27066.427049999995</v>
      </c>
      <c r="CC127" s="209">
        <f>SUM(CC78:CC126)</f>
        <v>34806.816295452329</v>
      </c>
      <c r="CD127" s="209">
        <f t="shared" si="83"/>
        <v>29673.831240500003</v>
      </c>
      <c r="CE127" s="168">
        <f>SUM(CE78:CE126)</f>
        <v>23911.602107500003</v>
      </c>
      <c r="CF127" s="168">
        <f t="shared" si="83"/>
        <v>58800.332431256793</v>
      </c>
      <c r="CG127" s="168">
        <f t="shared" si="83"/>
        <v>24299.922387595259</v>
      </c>
      <c r="CH127" s="168">
        <f t="shared" si="83"/>
        <v>24820.434617166611</v>
      </c>
      <c r="CI127" s="168">
        <f t="shared" si="83"/>
        <v>39091.390964804006</v>
      </c>
      <c r="CJ127" s="168">
        <f t="shared" si="83"/>
        <v>25669.547277977763</v>
      </c>
      <c r="CK127" s="165">
        <f>SUM(CK77:CK126)</f>
        <v>365926.18224182411</v>
      </c>
      <c r="CL127" s="185"/>
      <c r="CM127" s="168">
        <f t="shared" ref="CM127:CX127" si="84">SUM(CM78:CM126)</f>
        <v>22764.176288789993</v>
      </c>
      <c r="CN127" s="168">
        <f t="shared" si="84"/>
        <v>45451.406291469255</v>
      </c>
      <c r="CO127" s="168">
        <f t="shared" si="84"/>
        <v>27757.12514336513</v>
      </c>
      <c r="CP127" s="168">
        <f t="shared" si="84"/>
        <v>31595.128700942758</v>
      </c>
      <c r="CQ127" s="168">
        <f t="shared" si="84"/>
        <v>38330.450819777368</v>
      </c>
      <c r="CR127" s="168">
        <f t="shared" si="84"/>
        <v>26918.98335454876</v>
      </c>
      <c r="CS127" s="168">
        <f t="shared" si="84"/>
        <v>37362.172159035719</v>
      </c>
      <c r="CT127" s="168">
        <f t="shared" si="84"/>
        <v>44140.67041944385</v>
      </c>
      <c r="CU127" s="168">
        <f t="shared" si="84"/>
        <v>26591.281321066501</v>
      </c>
      <c r="CV127" s="168">
        <f t="shared" si="84"/>
        <v>28458.998048279213</v>
      </c>
      <c r="CW127" s="168">
        <f t="shared" si="84"/>
        <v>37406.910451200645</v>
      </c>
      <c r="CX127" s="168">
        <f t="shared" si="84"/>
        <v>24349.70837902019</v>
      </c>
      <c r="CY127" s="165">
        <f>SUM(CY77:CY126)</f>
        <v>390230.21137693938</v>
      </c>
      <c r="DL127" s="165">
        <f>SUM(DL77:DL126)</f>
        <v>337254.21442549222</v>
      </c>
    </row>
    <row r="128" spans="2:117">
      <c r="C128" s="97"/>
      <c r="D128" s="97"/>
      <c r="E128" s="97"/>
      <c r="F128" s="97"/>
      <c r="G128" s="97"/>
      <c r="H128" s="97"/>
      <c r="I128" s="97"/>
      <c r="J128" s="97"/>
      <c r="K128" s="97"/>
      <c r="L128" s="97"/>
      <c r="M128" s="98"/>
      <c r="N128" s="98"/>
      <c r="O128" s="99"/>
      <c r="P128" s="69"/>
      <c r="Q128" s="69"/>
      <c r="R128" s="69"/>
      <c r="S128" s="69"/>
      <c r="T128" s="69"/>
      <c r="U128" s="69"/>
      <c r="V128" s="69"/>
      <c r="W128" s="69"/>
      <c r="X128" s="69"/>
      <c r="Y128" s="69"/>
      <c r="Z128" s="69"/>
      <c r="AA128" s="69"/>
      <c r="AB128" s="114"/>
      <c r="AC128" s="115"/>
      <c r="AD128" s="69"/>
      <c r="AE128" s="69"/>
      <c r="AF128" s="69"/>
      <c r="AG128" s="69"/>
      <c r="AH128" s="69"/>
      <c r="AI128" s="69"/>
      <c r="AJ128" s="69"/>
      <c r="AK128" s="100"/>
      <c r="AL128" s="69"/>
      <c r="AM128" s="69"/>
      <c r="AN128" s="69"/>
      <c r="AO128" s="69"/>
      <c r="AP128" s="69"/>
      <c r="AQ128" s="69"/>
      <c r="AR128" s="69"/>
      <c r="AS128" s="69"/>
      <c r="AT128" s="69"/>
      <c r="AU128" s="69"/>
      <c r="AV128" s="69"/>
      <c r="AW128" s="69"/>
      <c r="AX128" s="100"/>
      <c r="AY128" s="115"/>
      <c r="AZ128" s="69"/>
      <c r="BA128" s="213"/>
      <c r="BB128" s="69"/>
      <c r="BC128" s="69"/>
      <c r="BD128" s="69"/>
      <c r="BE128" s="69"/>
      <c r="BF128" s="69"/>
      <c r="BG128" s="69"/>
      <c r="BH128" s="69"/>
      <c r="BI128" s="69"/>
      <c r="BJ128" s="197"/>
      <c r="BK128" s="100"/>
      <c r="BL128" s="115"/>
      <c r="BM128" s="69"/>
      <c r="BN128" s="69"/>
      <c r="BO128" s="69"/>
      <c r="BP128" s="69"/>
      <c r="BQ128" s="69"/>
      <c r="BR128" s="69"/>
      <c r="BS128" s="69"/>
      <c r="BT128" s="69"/>
      <c r="BU128" s="69"/>
      <c r="BV128" s="69"/>
      <c r="BW128" s="197"/>
      <c r="BX128" s="100">
        <f t="shared" si="38"/>
        <v>0</v>
      </c>
      <c r="BY128" s="74"/>
      <c r="BZ128" s="74"/>
      <c r="CA128" s="74"/>
      <c r="CB128" s="74"/>
      <c r="CC128" s="74"/>
      <c r="CD128" s="74"/>
      <c r="CK128" s="100"/>
      <c r="CL128" s="130"/>
      <c r="CY128" s="100"/>
      <c r="DL128" s="100"/>
    </row>
    <row r="129" spans="1:141">
      <c r="B129" s="1" t="s">
        <v>429</v>
      </c>
      <c r="C129" s="97">
        <v>6.09</v>
      </c>
      <c r="D129" s="97">
        <f>C133</f>
        <v>15824.42</v>
      </c>
      <c r="E129" s="97">
        <f t="shared" ref="E129:L129" si="85">D133</f>
        <v>8686.43</v>
      </c>
      <c r="F129" s="97">
        <f t="shared" si="85"/>
        <v>16785</v>
      </c>
      <c r="G129" s="97">
        <f t="shared" si="85"/>
        <v>22049.7</v>
      </c>
      <c r="H129" s="97">
        <f t="shared" si="85"/>
        <v>25531.850000000002</v>
      </c>
      <c r="I129" s="97">
        <f t="shared" si="85"/>
        <v>28384.000000000004</v>
      </c>
      <c r="J129" s="97">
        <f t="shared" si="85"/>
        <v>30711.15</v>
      </c>
      <c r="K129" s="97">
        <f t="shared" si="85"/>
        <v>36853.300000000003</v>
      </c>
      <c r="L129" s="97">
        <f t="shared" si="85"/>
        <v>35995.450000000004</v>
      </c>
      <c r="M129" s="98">
        <f>10884.03+102.85</f>
        <v>10986.880000000001</v>
      </c>
      <c r="N129" s="98">
        <f>M133</f>
        <v>18161.530000000006</v>
      </c>
      <c r="O129" s="99"/>
      <c r="P129" s="98">
        <f>N133</f>
        <v>5053.1800000000057</v>
      </c>
      <c r="Q129" s="98">
        <f t="shared" ref="Q129:AA129" si="86">P133</f>
        <v>54339.080000000009</v>
      </c>
      <c r="R129" s="98">
        <f t="shared" si="86"/>
        <v>69759.900000000023</v>
      </c>
      <c r="S129" s="98">
        <f t="shared" si="86"/>
        <v>63654.830000000024</v>
      </c>
      <c r="T129" s="98">
        <f t="shared" si="86"/>
        <v>64157.290000000015</v>
      </c>
      <c r="U129" s="98">
        <f t="shared" si="86"/>
        <v>64765.440000000017</v>
      </c>
      <c r="V129" s="98">
        <f t="shared" si="86"/>
        <v>58715.510000000017</v>
      </c>
      <c r="W129" s="98">
        <f t="shared" si="86"/>
        <v>89773.260000000024</v>
      </c>
      <c r="X129" s="98">
        <f t="shared" si="86"/>
        <v>99261.670000000013</v>
      </c>
      <c r="Y129" s="98">
        <f t="shared" si="86"/>
        <v>123491.28930000002</v>
      </c>
      <c r="Z129" s="98">
        <f t="shared" si="86"/>
        <v>142032.43859999999</v>
      </c>
      <c r="AA129" s="98">
        <f t="shared" si="86"/>
        <v>151679.33789999998</v>
      </c>
      <c r="AB129" s="114">
        <f>P129</f>
        <v>5053.1800000000057</v>
      </c>
      <c r="AC129" s="129">
        <f>AA133</f>
        <v>145130.42719967882</v>
      </c>
      <c r="AD129" s="98">
        <f t="shared" ref="AD129:AJ129" si="87">AC133</f>
        <v>168248.53316634547</v>
      </c>
      <c r="AE129" s="98">
        <f t="shared" si="87"/>
        <v>201426.51913301216</v>
      </c>
      <c r="AF129" s="98">
        <f t="shared" si="87"/>
        <v>224049.19509967882</v>
      </c>
      <c r="AG129" s="98">
        <f t="shared" si="87"/>
        <v>221598.47425450414</v>
      </c>
      <c r="AH129" s="98">
        <f t="shared" si="87"/>
        <v>277512.58157577307</v>
      </c>
      <c r="AI129" s="98">
        <f t="shared" si="87"/>
        <v>302946.8114045019</v>
      </c>
      <c r="AJ129" s="98">
        <f t="shared" si="87"/>
        <v>311859.88680676074</v>
      </c>
      <c r="AK129" s="100">
        <f>AC129</f>
        <v>145130.42719967882</v>
      </c>
      <c r="AL129" s="98">
        <f>AJ133</f>
        <v>313984.04850676074</v>
      </c>
      <c r="AM129" s="98">
        <f t="shared" ref="AM129:AN129" si="88">AL133</f>
        <v>348607.83687195618</v>
      </c>
      <c r="AN129" s="98">
        <f t="shared" si="88"/>
        <v>388282.88998291281</v>
      </c>
      <c r="AO129" s="98">
        <f t="shared" ref="AO129" si="89">AN133</f>
        <v>408219.13928291283</v>
      </c>
      <c r="AP129" s="98">
        <f t="shared" ref="AP129" si="90">AO133</f>
        <v>395379.86386529624</v>
      </c>
      <c r="AQ129" s="98">
        <f t="shared" ref="AQ129" si="91">AP133</f>
        <v>439121.33224880742</v>
      </c>
      <c r="AR129" s="98">
        <f>AQ133</f>
        <v>419106.70009990101</v>
      </c>
      <c r="AS129" s="98">
        <f t="shared" ref="AS129" si="92">AR133</f>
        <v>428659.48431140214</v>
      </c>
      <c r="AT129" s="98">
        <f t="shared" ref="AT129" si="93">AS133</f>
        <v>415061.61968305206</v>
      </c>
      <c r="AU129" s="98">
        <f t="shared" ref="AU129" si="94">AT133</f>
        <v>493831.40521938051</v>
      </c>
      <c r="AV129" s="98">
        <f t="shared" ref="AV129" si="95">AU133</f>
        <v>486646.35355287365</v>
      </c>
      <c r="AW129" s="98">
        <f t="shared" ref="AW129" si="96">AV133</f>
        <v>453065.8207020188</v>
      </c>
      <c r="AX129" s="100">
        <f>+AL129</f>
        <v>313984.04850676074</v>
      </c>
      <c r="AY129" s="115">
        <f t="shared" ref="AY129" si="97">AX133</f>
        <v>460240.96928423614</v>
      </c>
      <c r="AZ129" s="69">
        <f t="shared" ref="AZ129" si="98">AY133</f>
        <v>538026.94173368637</v>
      </c>
      <c r="BA129" s="69">
        <f t="shared" ref="BA129" si="99">AZ133</f>
        <v>561935.19495633466</v>
      </c>
      <c r="BB129" s="69">
        <f t="shared" ref="BB129" si="100">BA133</f>
        <v>616243.07588946901</v>
      </c>
      <c r="BC129" s="69">
        <f t="shared" ref="BC129" si="101">BB133</f>
        <v>1236759.7878523166</v>
      </c>
      <c r="BD129" s="69">
        <f t="shared" ref="BD129" si="102">BC133</f>
        <v>1229022.8771849333</v>
      </c>
      <c r="BE129" s="69">
        <f t="shared" ref="BE129" si="103">BD133</f>
        <v>1236002.8366083216</v>
      </c>
      <c r="BF129" s="69">
        <f t="shared" ref="BF129" si="104">BE133</f>
        <v>1257638.2666587238</v>
      </c>
      <c r="BG129" s="69">
        <f t="shared" ref="BG129" si="105">BF133</f>
        <v>1322058.2260758423</v>
      </c>
      <c r="BH129" s="69">
        <f t="shared" ref="BH129" si="106">BG133</f>
        <v>1915211.0886501856</v>
      </c>
      <c r="BI129" s="69">
        <f>BH133</f>
        <v>2097969.0840021134</v>
      </c>
      <c r="BJ129" s="197">
        <f>BI133</f>
        <v>2089983.4050661782</v>
      </c>
      <c r="BK129" s="100">
        <f>+AY129</f>
        <v>460240.96928423614</v>
      </c>
      <c r="BL129" s="115">
        <f t="shared" ref="BL129" si="107">BK133</f>
        <v>2130753.6817439245</v>
      </c>
      <c r="BM129" s="69">
        <f t="shared" ref="BM129" si="108">BL133</f>
        <v>2174699.1157938922</v>
      </c>
      <c r="BN129" s="69">
        <f t="shared" ref="BN129" si="109">BM133</f>
        <v>2141637.0229935641</v>
      </c>
      <c r="BO129" s="69">
        <f t="shared" ref="BO129" si="110">BN133</f>
        <v>1522952.8946152001</v>
      </c>
      <c r="BP129" s="69">
        <f t="shared" ref="BP129" si="111">BO133</f>
        <v>1521220.7783768815</v>
      </c>
      <c r="BQ129" s="69">
        <f t="shared" ref="BQ129" si="112">BP133</f>
        <v>1605781.0790351876</v>
      </c>
      <c r="BR129" s="69">
        <f t="shared" ref="BR129" si="113">BQ133</f>
        <v>1639253.0226497015</v>
      </c>
      <c r="BS129" s="69">
        <f t="shared" ref="BS129" si="114">BR133</f>
        <v>1549194.2696412196</v>
      </c>
      <c r="BT129" s="69">
        <f t="shared" ref="BT129" si="115">BS133</f>
        <v>1612199.9234423006</v>
      </c>
      <c r="BU129" s="69">
        <f t="shared" ref="BU129" si="116">BT133</f>
        <v>1599308.8542673006</v>
      </c>
      <c r="BV129" s="69">
        <f t="shared" ref="BV129" si="117">BU133</f>
        <v>1601023.2656650583</v>
      </c>
      <c r="BW129" s="197">
        <f t="shared" ref="BW129" si="118">BV133</f>
        <v>1575308.0345332345</v>
      </c>
      <c r="BX129" s="100">
        <f>+BL129</f>
        <v>2130753.6817439245</v>
      </c>
      <c r="BY129" s="115">
        <f>BX133</f>
        <v>1627626.9693562337</v>
      </c>
      <c r="BZ129" s="69">
        <f t="shared" ref="BZ129" si="119">BY133</f>
        <v>1636518.9080680804</v>
      </c>
      <c r="CA129" s="69">
        <f t="shared" ref="CA129" si="120">BZ133</f>
        <v>1682587.6607636204</v>
      </c>
      <c r="CB129" s="69">
        <f t="shared" ref="CB129" si="121">CA133</f>
        <v>1702040.513079572</v>
      </c>
      <c r="CC129" s="69">
        <f t="shared" ref="CC129" si="122">CB133</f>
        <v>1718474.0860295719</v>
      </c>
      <c r="CD129" s="69">
        <f t="shared" ref="CD129" si="123">CC133</f>
        <v>1763588.7489515347</v>
      </c>
      <c r="CE129" s="83">
        <f t="shared" ref="CE129" si="124">CD133</f>
        <v>1797195.2504915989</v>
      </c>
      <c r="CF129" s="83">
        <f t="shared" ref="CF129" si="125">CE133</f>
        <v>1777819.0872383039</v>
      </c>
      <c r="CG129" s="83">
        <f t="shared" ref="CG129" si="126">CF133</f>
        <v>1840030.555756852</v>
      </c>
      <c r="CH129" s="83">
        <f t="shared" ref="CH129" si="127">CG133</f>
        <v>1861139.6333692567</v>
      </c>
      <c r="CI129" s="83">
        <f>CH133</f>
        <v>1858529.1987520901</v>
      </c>
      <c r="CJ129" s="83">
        <f t="shared" ref="CJ129" si="128">CI133</f>
        <v>1890897.8077872861</v>
      </c>
      <c r="CK129" s="100">
        <f>+BY129</f>
        <v>1627626.9693562337</v>
      </c>
      <c r="CL129" s="130"/>
      <c r="CM129" s="83">
        <f>CJ133</f>
        <v>1892688.2605093084</v>
      </c>
      <c r="CN129" s="83">
        <f>CM133</f>
        <v>1874884.0842205184</v>
      </c>
      <c r="CO129" s="83">
        <f t="shared" ref="CO129:CX129" si="129">CN133</f>
        <v>1861892.6779290491</v>
      </c>
      <c r="CP129" s="83">
        <f t="shared" si="129"/>
        <v>1906245.5527856839</v>
      </c>
      <c r="CQ129" s="83">
        <f t="shared" si="129"/>
        <v>1910610.4240847412</v>
      </c>
      <c r="CR129" s="83">
        <f t="shared" si="129"/>
        <v>1987739.9732649638</v>
      </c>
      <c r="CS129" s="83">
        <f t="shared" si="129"/>
        <v>2016520.9899104151</v>
      </c>
      <c r="CT129" s="83">
        <f t="shared" si="129"/>
        <v>2045158.8177513795</v>
      </c>
      <c r="CU129" s="83">
        <f t="shared" si="129"/>
        <v>2068518.1473319358</v>
      </c>
      <c r="CV129" s="83">
        <f t="shared" si="129"/>
        <v>2041926.8660108694</v>
      </c>
      <c r="CW129" s="83">
        <f t="shared" si="129"/>
        <v>2030717.8679625902</v>
      </c>
      <c r="CX129" s="83">
        <f t="shared" si="129"/>
        <v>2041810.9575113896</v>
      </c>
      <c r="CY129" s="100">
        <f>CX133</f>
        <v>2045961.2491323694</v>
      </c>
      <c r="DL129" s="100">
        <f>DK133</f>
        <v>0</v>
      </c>
    </row>
    <row r="130" spans="1:141">
      <c r="B130" s="1" t="s">
        <v>430</v>
      </c>
      <c r="C130" s="97">
        <f t="shared" ref="C130:N130" si="130">+C74</f>
        <v>16000</v>
      </c>
      <c r="D130" s="97">
        <f t="shared" si="130"/>
        <v>35000</v>
      </c>
      <c r="E130" s="97">
        <f t="shared" si="130"/>
        <v>15000</v>
      </c>
      <c r="F130" s="97">
        <f t="shared" si="130"/>
        <v>0</v>
      </c>
      <c r="G130" s="97">
        <f t="shared" si="130"/>
        <v>4840</v>
      </c>
      <c r="H130" s="97">
        <f t="shared" si="130"/>
        <v>5000</v>
      </c>
      <c r="I130" s="97">
        <f t="shared" si="130"/>
        <v>5000</v>
      </c>
      <c r="J130" s="97">
        <f t="shared" si="130"/>
        <v>10000</v>
      </c>
      <c r="K130" s="97">
        <f t="shared" si="130"/>
        <v>0</v>
      </c>
      <c r="L130" s="97">
        <f t="shared" si="130"/>
        <v>0</v>
      </c>
      <c r="M130" s="98">
        <f t="shared" si="130"/>
        <v>26000</v>
      </c>
      <c r="N130" s="98">
        <f t="shared" si="130"/>
        <v>0</v>
      </c>
      <c r="O130" s="99"/>
      <c r="P130" s="98">
        <f t="shared" ref="P130:AA130" si="131">+P74</f>
        <v>50000</v>
      </c>
      <c r="Q130" s="98">
        <f t="shared" si="131"/>
        <v>40760</v>
      </c>
      <c r="R130" s="98">
        <f t="shared" si="131"/>
        <v>13612.5</v>
      </c>
      <c r="S130" s="98">
        <f t="shared" si="131"/>
        <v>22650</v>
      </c>
      <c r="T130" s="98">
        <f t="shared" si="131"/>
        <v>25462.7</v>
      </c>
      <c r="U130" s="98">
        <f t="shared" si="131"/>
        <v>9012.5</v>
      </c>
      <c r="V130" s="98">
        <f t="shared" si="131"/>
        <v>51853.17</v>
      </c>
      <c r="W130" s="98">
        <f t="shared" si="131"/>
        <v>24486.62</v>
      </c>
      <c r="X130" s="98">
        <f t="shared" si="131"/>
        <v>43965.75</v>
      </c>
      <c r="Y130" s="98">
        <f t="shared" si="131"/>
        <v>38625</v>
      </c>
      <c r="Z130" s="98">
        <f t="shared" si="131"/>
        <v>31087.8</v>
      </c>
      <c r="AA130" s="98">
        <f t="shared" si="131"/>
        <v>12778.32</v>
      </c>
      <c r="AB130" s="114">
        <f>SUM(P130:AA130)</f>
        <v>364294.36</v>
      </c>
      <c r="AC130" s="129">
        <f t="shared" ref="AC130:AJ130" si="132">+AC74</f>
        <v>48220.83</v>
      </c>
      <c r="AD130" s="98">
        <f t="shared" si="132"/>
        <v>52830.32</v>
      </c>
      <c r="AE130" s="98">
        <f t="shared" si="132"/>
        <v>39000</v>
      </c>
      <c r="AF130" s="98">
        <f t="shared" si="132"/>
        <v>26074.41</v>
      </c>
      <c r="AG130" s="98">
        <f t="shared" si="132"/>
        <v>70790.354541806184</v>
      </c>
      <c r="AH130" s="98">
        <f t="shared" si="132"/>
        <v>42463.313956601516</v>
      </c>
      <c r="AI130" s="98">
        <f t="shared" si="132"/>
        <v>46654.299379738113</v>
      </c>
      <c r="AJ130" s="98">
        <f t="shared" si="132"/>
        <v>18500</v>
      </c>
      <c r="AK130" s="100">
        <f>SUM(AC130:AJ130)</f>
        <v>344533.5278781458</v>
      </c>
      <c r="AL130" s="98">
        <f t="shared" ref="AL130:AW130" si="133">+AL74</f>
        <v>56309.052006447782</v>
      </c>
      <c r="AM130" s="98">
        <f t="shared" si="133"/>
        <v>82185.933296646937</v>
      </c>
      <c r="AN130" s="98">
        <f t="shared" si="133"/>
        <v>38500</v>
      </c>
      <c r="AO130" s="98">
        <f t="shared" si="133"/>
        <v>11448.474985253117</v>
      </c>
      <c r="AP130" s="98">
        <f t="shared" si="133"/>
        <v>70203.845549151767</v>
      </c>
      <c r="AQ130" s="98">
        <f t="shared" si="133"/>
        <v>13376.867647058823</v>
      </c>
      <c r="AR130" s="98">
        <f t="shared" si="133"/>
        <v>42500</v>
      </c>
      <c r="AS130" s="98">
        <f t="shared" si="133"/>
        <v>12492.712584325809</v>
      </c>
      <c r="AT130" s="98">
        <f t="shared" si="133"/>
        <v>109982.24918983609</v>
      </c>
      <c r="AU130" s="98">
        <f t="shared" si="133"/>
        <v>1000</v>
      </c>
      <c r="AV130" s="98">
        <f t="shared" si="133"/>
        <v>82287.354210928868</v>
      </c>
      <c r="AW130" s="98">
        <f t="shared" si="133"/>
        <v>35872.237218813905</v>
      </c>
      <c r="AX130" s="100">
        <f>SUM(AL130:AW130)</f>
        <v>556158.72668846301</v>
      </c>
      <c r="AY130" s="115">
        <f t="shared" ref="AY130:BJ130" si="134">+AY74</f>
        <v>100831.80325049446</v>
      </c>
      <c r="AZ130" s="69">
        <f t="shared" si="134"/>
        <v>59361.532273482611</v>
      </c>
      <c r="BA130" s="69">
        <f t="shared" si="134"/>
        <v>74138.986629134408</v>
      </c>
      <c r="BB130" s="69">
        <f t="shared" si="134"/>
        <v>645636.62873084762</v>
      </c>
      <c r="BC130" s="69">
        <f t="shared" si="134"/>
        <v>25471.577060931901</v>
      </c>
      <c r="BD130" s="69">
        <f t="shared" si="134"/>
        <v>34537.5</v>
      </c>
      <c r="BE130" s="69">
        <f t="shared" si="134"/>
        <v>73384.650098402301</v>
      </c>
      <c r="BF130" s="69">
        <f t="shared" si="134"/>
        <v>111695.32941711858</v>
      </c>
      <c r="BG130" s="69">
        <f t="shared" si="134"/>
        <v>633946.49053034326</v>
      </c>
      <c r="BH130" s="69">
        <f t="shared" si="134"/>
        <v>211205.20767274898</v>
      </c>
      <c r="BI130" s="69">
        <f t="shared" si="134"/>
        <v>39751.922447855999</v>
      </c>
      <c r="BJ130" s="197">
        <f t="shared" si="134"/>
        <v>66010.789602746445</v>
      </c>
      <c r="BK130" s="100">
        <f>SUM(AY130:BJ130)</f>
        <v>2075972.4177141066</v>
      </c>
      <c r="BL130" s="115">
        <f t="shared" ref="BL130:BW130" si="135">+BL74</f>
        <v>34000</v>
      </c>
      <c r="BM130" s="69">
        <f t="shared" si="135"/>
        <v>17243.254465316386</v>
      </c>
      <c r="BN130" s="69">
        <f t="shared" si="135"/>
        <v>-611998.30381885881</v>
      </c>
      <c r="BO130" s="69">
        <f t="shared" si="135"/>
        <v>45630.575061681535</v>
      </c>
      <c r="BP130" s="69">
        <f t="shared" si="135"/>
        <v>116325.44388330603</v>
      </c>
      <c r="BQ130" s="69">
        <f t="shared" si="135"/>
        <v>49058.561761513833</v>
      </c>
      <c r="BR130" s="69">
        <f t="shared" si="135"/>
        <v>129337.52916399957</v>
      </c>
      <c r="BS130" s="69">
        <f t="shared" si="135"/>
        <v>104496.17435192192</v>
      </c>
      <c r="BT130" s="69">
        <f t="shared" si="135"/>
        <v>0</v>
      </c>
      <c r="BU130" s="69">
        <f t="shared" si="135"/>
        <v>16815.793078257695</v>
      </c>
      <c r="BV130" s="69">
        <f t="shared" si="135"/>
        <v>28708.009611376219</v>
      </c>
      <c r="BW130" s="197">
        <f t="shared" si="135"/>
        <v>61273.33</v>
      </c>
      <c r="BX130" s="100">
        <f t="shared" si="38"/>
        <v>-9109.6324414856063</v>
      </c>
      <c r="BY130" s="115">
        <f>+BY74</f>
        <v>32688.785571890112</v>
      </c>
      <c r="BZ130" s="69">
        <f t="shared" ref="BZ130:CJ130" si="136">+BZ74</f>
        <v>79900.912261431615</v>
      </c>
      <c r="CA130" s="69">
        <f t="shared" si="136"/>
        <v>42825.233160954318</v>
      </c>
      <c r="CB130" s="69">
        <f t="shared" si="136"/>
        <v>43500</v>
      </c>
      <c r="CC130" s="69">
        <f t="shared" si="136"/>
        <v>79921.479217415268</v>
      </c>
      <c r="CD130" s="69">
        <f t="shared" si="136"/>
        <v>63280.332780564167</v>
      </c>
      <c r="CE130" s="83">
        <f t="shared" si="136"/>
        <v>4535.438854204921</v>
      </c>
      <c r="CF130" s="83">
        <f t="shared" si="136"/>
        <v>121011.80094980494</v>
      </c>
      <c r="CG130" s="83">
        <f t="shared" si="136"/>
        <v>45409</v>
      </c>
      <c r="CH130" s="83">
        <f t="shared" si="136"/>
        <v>22210</v>
      </c>
      <c r="CI130" s="83">
        <f t="shared" si="136"/>
        <v>71460</v>
      </c>
      <c r="CJ130" s="83">
        <f t="shared" si="136"/>
        <v>27460</v>
      </c>
      <c r="CK130" s="100">
        <f>SUM(BY130:CJ130)</f>
        <v>634202.98279626528</v>
      </c>
      <c r="CL130" s="130"/>
      <c r="CM130" s="83">
        <f t="shared" ref="CM130:CX130" si="137">+CM74</f>
        <v>4960</v>
      </c>
      <c r="CN130" s="83">
        <f t="shared" si="137"/>
        <v>32460</v>
      </c>
      <c r="CO130" s="83">
        <f t="shared" si="137"/>
        <v>72110</v>
      </c>
      <c r="CP130" s="83">
        <f t="shared" si="137"/>
        <v>35960</v>
      </c>
      <c r="CQ130" s="83">
        <f t="shared" si="137"/>
        <v>115460</v>
      </c>
      <c r="CR130" s="83">
        <f t="shared" si="137"/>
        <v>55700</v>
      </c>
      <c r="CS130" s="83">
        <f t="shared" si="137"/>
        <v>66000</v>
      </c>
      <c r="CT130" s="83">
        <f t="shared" si="137"/>
        <v>67500</v>
      </c>
      <c r="CU130" s="83">
        <f t="shared" si="137"/>
        <v>0</v>
      </c>
      <c r="CV130" s="83">
        <f t="shared" si="137"/>
        <v>17250</v>
      </c>
      <c r="CW130" s="83">
        <f t="shared" si="137"/>
        <v>48500</v>
      </c>
      <c r="CX130" s="83">
        <f t="shared" si="137"/>
        <v>28500</v>
      </c>
      <c r="CY130" s="100">
        <f>SUM(CM130:CX130)</f>
        <v>544400</v>
      </c>
      <c r="DL130" s="100">
        <f>SUM(CZ130:DK130)</f>
        <v>0</v>
      </c>
    </row>
    <row r="131" spans="1:141" s="13" customFormat="1">
      <c r="B131" s="13" t="s">
        <v>431</v>
      </c>
      <c r="C131" s="265">
        <f>-C127</f>
        <v>-181.67</v>
      </c>
      <c r="D131" s="265">
        <f t="shared" ref="D131:P131" si="138">-D127</f>
        <v>-42137.99</v>
      </c>
      <c r="E131" s="265">
        <f t="shared" si="138"/>
        <v>-6901.43</v>
      </c>
      <c r="F131" s="265">
        <f t="shared" si="138"/>
        <v>5264.7</v>
      </c>
      <c r="G131" s="265">
        <f t="shared" si="138"/>
        <v>-1357.85</v>
      </c>
      <c r="H131" s="265">
        <f t="shared" si="138"/>
        <v>-2147.85</v>
      </c>
      <c r="I131" s="265">
        <f t="shared" si="138"/>
        <v>-2672.85</v>
      </c>
      <c r="J131" s="265">
        <f t="shared" si="138"/>
        <v>-3857.85</v>
      </c>
      <c r="K131" s="265">
        <f t="shared" si="138"/>
        <v>-857.85</v>
      </c>
      <c r="L131" s="265">
        <f t="shared" si="138"/>
        <v>-857.85</v>
      </c>
      <c r="M131" s="78">
        <f t="shared" si="138"/>
        <v>-18825.349999999999</v>
      </c>
      <c r="N131" s="78">
        <f t="shared" si="138"/>
        <v>-13108.35</v>
      </c>
      <c r="O131" s="169"/>
      <c r="P131" s="78">
        <f t="shared" si="138"/>
        <v>-714.1</v>
      </c>
      <c r="Q131" s="78">
        <f t="shared" ref="Q131:AA131" si="139">-Q127</f>
        <v>-25339.18</v>
      </c>
      <c r="R131" s="78">
        <f t="shared" si="139"/>
        <v>-19717.57</v>
      </c>
      <c r="S131" s="78">
        <f t="shared" si="139"/>
        <v>-22147.54</v>
      </c>
      <c r="T131" s="78">
        <f t="shared" si="139"/>
        <v>-24854.55</v>
      </c>
      <c r="U131" s="78">
        <f t="shared" si="139"/>
        <v>-15062.429999999998</v>
      </c>
      <c r="V131" s="78">
        <f t="shared" si="139"/>
        <v>-20795.419999999998</v>
      </c>
      <c r="W131" s="78">
        <f t="shared" si="139"/>
        <v>-14998.21</v>
      </c>
      <c r="X131" s="78">
        <f t="shared" si="139"/>
        <v>-19736.130699999998</v>
      </c>
      <c r="Y131" s="78">
        <f t="shared" si="139"/>
        <v>-20083.850700000003</v>
      </c>
      <c r="Z131" s="78">
        <f t="shared" si="139"/>
        <v>-21440.900699999998</v>
      </c>
      <c r="AA131" s="78">
        <f t="shared" si="139"/>
        <v>-19327.230700321183</v>
      </c>
      <c r="AB131" s="184">
        <f>SUM(P131:AA131)</f>
        <v>-224217.11280032119</v>
      </c>
      <c r="AC131" s="131">
        <f t="shared" ref="AC131:AN131" si="140">-AC127</f>
        <v>-25102.724033333328</v>
      </c>
      <c r="AD131" s="78">
        <f t="shared" si="140"/>
        <v>-19652.334033333329</v>
      </c>
      <c r="AE131" s="78">
        <f t="shared" si="140"/>
        <v>-16377.324033333336</v>
      </c>
      <c r="AF131" s="78">
        <f t="shared" si="140"/>
        <v>-28525.130845174674</v>
      </c>
      <c r="AG131" s="78">
        <f t="shared" si="140"/>
        <v>-14876.247220537256</v>
      </c>
      <c r="AH131" s="78">
        <f t="shared" si="140"/>
        <v>-17029.084127872709</v>
      </c>
      <c r="AI131" s="78">
        <f t="shared" si="140"/>
        <v>-37741.223977479276</v>
      </c>
      <c r="AJ131" s="78">
        <f t="shared" si="140"/>
        <v>-16375.838300000001</v>
      </c>
      <c r="AK131" s="111">
        <f>SUM(AC131:AJ131)</f>
        <v>-175679.90657106391</v>
      </c>
      <c r="AL131" s="78">
        <f t="shared" si="140"/>
        <v>-21685.263641252368</v>
      </c>
      <c r="AM131" s="78">
        <f t="shared" si="140"/>
        <v>-42510.880185690272</v>
      </c>
      <c r="AN131" s="78">
        <f t="shared" si="140"/>
        <v>-18563.750700000004</v>
      </c>
      <c r="AO131" s="78">
        <f t="shared" ref="AO131:AW131" si="141">-AO127</f>
        <v>-24287.7504028697</v>
      </c>
      <c r="AP131" s="78">
        <f t="shared" si="141"/>
        <v>-26462.377165640595</v>
      </c>
      <c r="AQ131" s="78">
        <f t="shared" si="141"/>
        <v>-33391.49979596521</v>
      </c>
      <c r="AR131" s="78">
        <f>-AR127</f>
        <v>-32947.215788498856</v>
      </c>
      <c r="AS131" s="78">
        <f t="shared" si="141"/>
        <v>-26090.577212675904</v>
      </c>
      <c r="AT131" s="78">
        <f t="shared" si="141"/>
        <v>-31212.463653507668</v>
      </c>
      <c r="AU131" s="78">
        <f t="shared" si="141"/>
        <v>-8185.0516665068626</v>
      </c>
      <c r="AV131" s="78">
        <f t="shared" si="141"/>
        <v>-115867.88706178369</v>
      </c>
      <c r="AW131" s="78">
        <f t="shared" si="141"/>
        <v>-28697.088636596443</v>
      </c>
      <c r="AX131" s="111">
        <f>SUM(AL131:AW131)</f>
        <v>-409901.8059109876</v>
      </c>
      <c r="AY131" s="204">
        <f t="shared" ref="AY131:BJ131" si="142">-AY127</f>
        <v>-23045.830801044205</v>
      </c>
      <c r="AZ131" s="112">
        <f t="shared" si="142"/>
        <v>-35453.279050834382</v>
      </c>
      <c r="BA131" s="112">
        <f t="shared" si="142"/>
        <v>-19831.105695999999</v>
      </c>
      <c r="BB131" s="112">
        <f t="shared" si="142"/>
        <v>-25119.916768000006</v>
      </c>
      <c r="BC131" s="112">
        <f t="shared" si="142"/>
        <v>-33208.4877283151</v>
      </c>
      <c r="BD131" s="112">
        <f t="shared" si="142"/>
        <v>-27557.540576611715</v>
      </c>
      <c r="BE131" s="112">
        <f t="shared" si="142"/>
        <v>-51749.220048000003</v>
      </c>
      <c r="BF131" s="112">
        <f t="shared" si="142"/>
        <v>-47275.37</v>
      </c>
      <c r="BG131" s="112">
        <f t="shared" si="142"/>
        <v>-40793.627956000004</v>
      </c>
      <c r="BH131" s="112">
        <f t="shared" si="142"/>
        <v>-28447.212320821516</v>
      </c>
      <c r="BI131" s="112">
        <f t="shared" si="142"/>
        <v>-47737.601383791203</v>
      </c>
      <c r="BJ131" s="198">
        <f t="shared" si="142"/>
        <v>-25240.512924999999</v>
      </c>
      <c r="BK131" s="111">
        <f>SUM(AY131:BJ131)</f>
        <v>-405459.70525441808</v>
      </c>
      <c r="BL131" s="204">
        <f t="shared" ref="BL131:BW131" si="143">-BL127</f>
        <v>9945.4340499674618</v>
      </c>
      <c r="BM131" s="112">
        <f t="shared" si="143"/>
        <v>-50305.347265644574</v>
      </c>
      <c r="BN131" s="112">
        <f t="shared" si="143"/>
        <v>-6685.8245595053977</v>
      </c>
      <c r="BO131" s="112">
        <f t="shared" si="143"/>
        <v>-47362.691300000006</v>
      </c>
      <c r="BP131" s="112">
        <f t="shared" si="143"/>
        <v>-31765.143225000003</v>
      </c>
      <c r="BQ131" s="112">
        <f t="shared" si="143"/>
        <v>-15586.618147000001</v>
      </c>
      <c r="BR131" s="112">
        <f t="shared" si="143"/>
        <v>-219396.28217248141</v>
      </c>
      <c r="BS131" s="112">
        <f t="shared" si="143"/>
        <v>-41490.520550840964</v>
      </c>
      <c r="BT131" s="112">
        <f t="shared" si="143"/>
        <v>-12891.069175000001</v>
      </c>
      <c r="BU131" s="112">
        <f t="shared" si="143"/>
        <v>-15101.381680500013</v>
      </c>
      <c r="BV131" s="112">
        <f t="shared" si="143"/>
        <v>-54423.240743199996</v>
      </c>
      <c r="BW131" s="198">
        <f t="shared" si="143"/>
        <v>-8954.3951769999985</v>
      </c>
      <c r="BX131" s="111">
        <f>SUM(BL131:BW131)</f>
        <v>-494017.0799462049</v>
      </c>
      <c r="BY131" s="204">
        <f>-BY127</f>
        <v>-23796.846860043373</v>
      </c>
      <c r="BZ131" s="112">
        <f t="shared" ref="BZ131:CJ131" si="144">-BZ127</f>
        <v>-33832.159565891627</v>
      </c>
      <c r="CA131" s="112">
        <f t="shared" si="144"/>
        <v>-23372.380845002936</v>
      </c>
      <c r="CB131" s="112">
        <f t="shared" si="144"/>
        <v>-27066.427049999995</v>
      </c>
      <c r="CC131" s="112">
        <f t="shared" si="144"/>
        <v>-34806.816295452329</v>
      </c>
      <c r="CD131" s="112">
        <f t="shared" si="144"/>
        <v>-29673.831240500003</v>
      </c>
      <c r="CE131" s="113">
        <f t="shared" si="144"/>
        <v>-23911.602107500003</v>
      </c>
      <c r="CF131" s="113">
        <f t="shared" si="144"/>
        <v>-58800.332431256793</v>
      </c>
      <c r="CG131" s="113">
        <f t="shared" si="144"/>
        <v>-24299.922387595259</v>
      </c>
      <c r="CH131" s="113">
        <f t="shared" si="144"/>
        <v>-24820.434617166611</v>
      </c>
      <c r="CI131" s="113">
        <f t="shared" si="144"/>
        <v>-39091.390964804006</v>
      </c>
      <c r="CJ131" s="113">
        <f t="shared" si="144"/>
        <v>-25669.547277977763</v>
      </c>
      <c r="CK131" s="111">
        <f>SUM(BY131:CJ131)</f>
        <v>-369141.69164319063</v>
      </c>
      <c r="CL131" s="132"/>
      <c r="CM131" s="113">
        <f t="shared" ref="CM131:CX131" si="145">-CM127</f>
        <v>-22764.176288789993</v>
      </c>
      <c r="CN131" s="113">
        <f t="shared" si="145"/>
        <v>-45451.406291469255</v>
      </c>
      <c r="CO131" s="113">
        <f t="shared" si="145"/>
        <v>-27757.12514336513</v>
      </c>
      <c r="CP131" s="113">
        <f t="shared" si="145"/>
        <v>-31595.128700942758</v>
      </c>
      <c r="CQ131" s="113">
        <f t="shared" si="145"/>
        <v>-38330.450819777368</v>
      </c>
      <c r="CR131" s="113">
        <f t="shared" si="145"/>
        <v>-26918.98335454876</v>
      </c>
      <c r="CS131" s="113">
        <f t="shared" si="145"/>
        <v>-37362.172159035719</v>
      </c>
      <c r="CT131" s="113">
        <f t="shared" si="145"/>
        <v>-44140.67041944385</v>
      </c>
      <c r="CU131" s="113">
        <f t="shared" si="145"/>
        <v>-26591.281321066501</v>
      </c>
      <c r="CV131" s="113">
        <f t="shared" si="145"/>
        <v>-28458.998048279213</v>
      </c>
      <c r="CW131" s="113">
        <f t="shared" si="145"/>
        <v>-37406.910451200645</v>
      </c>
      <c r="CX131" s="113">
        <f t="shared" si="145"/>
        <v>-24349.70837902019</v>
      </c>
      <c r="CY131" s="111">
        <f>SUM(CM131:CX131)</f>
        <v>-391127.01137693936</v>
      </c>
      <c r="DL131" s="111">
        <f>SUM(CZ131:DK131)</f>
        <v>0</v>
      </c>
    </row>
    <row r="132" spans="1:141" s="43" customFormat="1" ht="16.5">
      <c r="B132" s="58" t="s">
        <v>433</v>
      </c>
      <c r="C132" s="400"/>
      <c r="D132" s="400"/>
      <c r="E132" s="400"/>
      <c r="F132" s="400"/>
      <c r="G132" s="400"/>
      <c r="H132" s="400"/>
      <c r="I132" s="400"/>
      <c r="J132" s="400"/>
      <c r="K132" s="400"/>
      <c r="L132" s="400"/>
      <c r="M132" s="401"/>
      <c r="N132" s="401"/>
      <c r="O132" s="402"/>
      <c r="P132" s="401"/>
      <c r="Q132" s="401"/>
      <c r="R132" s="401"/>
      <c r="S132" s="401"/>
      <c r="T132" s="401"/>
      <c r="U132" s="401"/>
      <c r="V132" s="401"/>
      <c r="W132" s="401"/>
      <c r="X132" s="401"/>
      <c r="Y132" s="401"/>
      <c r="Z132" s="401"/>
      <c r="AA132" s="401"/>
      <c r="AB132" s="403"/>
      <c r="AC132" s="404"/>
      <c r="AD132" s="401"/>
      <c r="AE132" s="401"/>
      <c r="AF132" s="401"/>
      <c r="AG132" s="401"/>
      <c r="AH132" s="401"/>
      <c r="AI132" s="401"/>
      <c r="AJ132" s="401"/>
      <c r="AK132" s="405"/>
      <c r="AL132" s="401"/>
      <c r="AM132" s="401"/>
      <c r="AN132" s="401"/>
      <c r="AO132" s="401"/>
      <c r="AP132" s="401"/>
      <c r="AQ132" s="401"/>
      <c r="AR132" s="401"/>
      <c r="AS132" s="401"/>
      <c r="AT132" s="401"/>
      <c r="AU132" s="401"/>
      <c r="AV132" s="401"/>
      <c r="AW132" s="401"/>
      <c r="AX132" s="405"/>
      <c r="AY132" s="406"/>
      <c r="AZ132" s="407"/>
      <c r="BA132" s="407"/>
      <c r="BB132" s="407"/>
      <c r="BC132" s="407"/>
      <c r="BD132" s="407"/>
      <c r="BE132" s="407"/>
      <c r="BF132" s="407"/>
      <c r="BG132" s="407"/>
      <c r="BH132" s="407"/>
      <c r="BI132" s="407"/>
      <c r="BJ132" s="408"/>
      <c r="BK132" s="405"/>
      <c r="BL132" s="406"/>
      <c r="BM132" s="407"/>
      <c r="BN132" s="407"/>
      <c r="BO132" s="407"/>
      <c r="BP132" s="407"/>
      <c r="BQ132" s="407"/>
      <c r="BR132" s="407"/>
      <c r="BS132" s="407"/>
      <c r="BT132" s="407"/>
      <c r="BU132" s="407"/>
      <c r="BV132" s="407"/>
      <c r="BW132" s="408"/>
      <c r="BX132" s="405"/>
      <c r="BY132" s="209">
        <f>BY130+BY131</f>
        <v>8891.9387118467384</v>
      </c>
      <c r="BZ132" s="209">
        <f t="shared" ref="BZ132:CJ132" si="146">BZ130+BZ131</f>
        <v>46068.752695539988</v>
      </c>
      <c r="CA132" s="209">
        <f t="shared" si="146"/>
        <v>19452.852315951382</v>
      </c>
      <c r="CB132" s="209">
        <f t="shared" si="146"/>
        <v>16433.572950000005</v>
      </c>
      <c r="CC132" s="209">
        <f t="shared" si="146"/>
        <v>45114.662921962939</v>
      </c>
      <c r="CD132" s="209">
        <f t="shared" si="146"/>
        <v>33606.501540064164</v>
      </c>
      <c r="CE132" s="168">
        <f>CE130+CE131</f>
        <v>-19376.163253295083</v>
      </c>
      <c r="CF132" s="168">
        <f t="shared" si="146"/>
        <v>62211.468518548143</v>
      </c>
      <c r="CG132" s="168">
        <f t="shared" si="146"/>
        <v>21109.077612404741</v>
      </c>
      <c r="CH132" s="168">
        <f t="shared" si="146"/>
        <v>-2610.4346171666111</v>
      </c>
      <c r="CI132" s="168">
        <f t="shared" si="146"/>
        <v>32368.609035195994</v>
      </c>
      <c r="CJ132" s="168">
        <f t="shared" si="146"/>
        <v>1790.4527220222371</v>
      </c>
      <c r="CK132" s="165">
        <f>SUM(BY132:CJ132)</f>
        <v>265061.29115307465</v>
      </c>
      <c r="CL132" s="409"/>
      <c r="CM132" s="168">
        <f>CM130+CM131</f>
        <v>-17804.176288789993</v>
      </c>
      <c r="CN132" s="168">
        <f>CN130+CN131</f>
        <v>-12991.406291469255</v>
      </c>
      <c r="CO132" s="168">
        <f t="shared" ref="CO132:CY132" si="147">CO130+CO131</f>
        <v>44352.874856634866</v>
      </c>
      <c r="CP132" s="168">
        <f t="shared" si="147"/>
        <v>4364.8712990572421</v>
      </c>
      <c r="CQ132" s="168">
        <f t="shared" si="147"/>
        <v>77129.549180222632</v>
      </c>
      <c r="CR132" s="168">
        <f t="shared" si="147"/>
        <v>28781.01664545124</v>
      </c>
      <c r="CS132" s="168">
        <f t="shared" si="147"/>
        <v>28637.827840964281</v>
      </c>
      <c r="CT132" s="168">
        <f t="shared" si="147"/>
        <v>23359.32958055615</v>
      </c>
      <c r="CU132" s="168">
        <f t="shared" si="147"/>
        <v>-26591.281321066501</v>
      </c>
      <c r="CV132" s="168">
        <f t="shared" si="147"/>
        <v>-11208.998048279213</v>
      </c>
      <c r="CW132" s="168">
        <f t="shared" si="147"/>
        <v>11093.089548799355</v>
      </c>
      <c r="CX132" s="168">
        <f t="shared" si="147"/>
        <v>4150.2916209798095</v>
      </c>
      <c r="CY132" s="433">
        <f t="shared" si="147"/>
        <v>153272.98862306064</v>
      </c>
      <c r="DL132" s="433">
        <f t="shared" ref="DL132" si="148">DL130+DL131</f>
        <v>0</v>
      </c>
    </row>
    <row r="133" spans="1:141" s="43" customFormat="1" ht="16.5">
      <c r="B133" s="58" t="s">
        <v>434</v>
      </c>
      <c r="C133" s="410">
        <f>C129+C130+C131</f>
        <v>15824.42</v>
      </c>
      <c r="D133" s="410">
        <f t="shared" ref="D133:N133" si="149">D129+D130+D131</f>
        <v>8686.43</v>
      </c>
      <c r="E133" s="410">
        <f t="shared" si="149"/>
        <v>16785</v>
      </c>
      <c r="F133" s="410">
        <f t="shared" si="149"/>
        <v>22049.7</v>
      </c>
      <c r="G133" s="410">
        <f t="shared" si="149"/>
        <v>25531.850000000002</v>
      </c>
      <c r="H133" s="410">
        <f t="shared" si="149"/>
        <v>28384.000000000004</v>
      </c>
      <c r="I133" s="410">
        <f t="shared" si="149"/>
        <v>30711.15</v>
      </c>
      <c r="J133" s="410">
        <f t="shared" si="149"/>
        <v>36853.300000000003</v>
      </c>
      <c r="K133" s="410">
        <f t="shared" si="149"/>
        <v>35995.450000000004</v>
      </c>
      <c r="L133" s="410">
        <f t="shared" si="149"/>
        <v>35137.600000000006</v>
      </c>
      <c r="M133" s="167">
        <f t="shared" si="149"/>
        <v>18161.530000000006</v>
      </c>
      <c r="N133" s="411">
        <f t="shared" si="149"/>
        <v>5053.1800000000057</v>
      </c>
      <c r="O133" s="166"/>
      <c r="P133" s="412">
        <f>P129+P130+P131</f>
        <v>54339.080000000009</v>
      </c>
      <c r="Q133" s="167">
        <f>Q129+Q130+Q131</f>
        <v>69759.900000000023</v>
      </c>
      <c r="R133" s="167">
        <f t="shared" ref="R133:AA133" si="150">R129+R130+R131</f>
        <v>63654.830000000024</v>
      </c>
      <c r="S133" s="167">
        <f t="shared" si="150"/>
        <v>64157.290000000015</v>
      </c>
      <c r="T133" s="167">
        <f t="shared" si="150"/>
        <v>64765.440000000017</v>
      </c>
      <c r="U133" s="167">
        <f t="shared" si="150"/>
        <v>58715.510000000017</v>
      </c>
      <c r="V133" s="167">
        <f t="shared" si="150"/>
        <v>89773.260000000024</v>
      </c>
      <c r="W133" s="167">
        <f t="shared" si="150"/>
        <v>99261.670000000013</v>
      </c>
      <c r="X133" s="167">
        <f t="shared" si="150"/>
        <v>123491.28930000002</v>
      </c>
      <c r="Y133" s="167">
        <f t="shared" si="150"/>
        <v>142032.43859999999</v>
      </c>
      <c r="Z133" s="167">
        <f t="shared" si="150"/>
        <v>151679.33789999998</v>
      </c>
      <c r="AA133" s="167">
        <f t="shared" si="150"/>
        <v>145130.42719967882</v>
      </c>
      <c r="AB133" s="413">
        <f>SUM(AB129:AB131)</f>
        <v>145130.42719967879</v>
      </c>
      <c r="AC133" s="412">
        <f t="shared" ref="AC133" si="151">AC129+AC130+AC131</f>
        <v>168248.53316634547</v>
      </c>
      <c r="AD133" s="167">
        <f t="shared" ref="AD133" si="152">AD129+AD130+AD131</f>
        <v>201426.51913301216</v>
      </c>
      <c r="AE133" s="167">
        <f t="shared" ref="AE133" si="153">AE129+AE130+AE131</f>
        <v>224049.19509967882</v>
      </c>
      <c r="AF133" s="167">
        <f t="shared" ref="AF133" si="154">AF129+AF130+AF131</f>
        <v>221598.47425450414</v>
      </c>
      <c r="AG133" s="167">
        <f t="shared" ref="AG133" si="155">AG129+AG130+AG131</f>
        <v>277512.58157577307</v>
      </c>
      <c r="AH133" s="167">
        <f t="shared" ref="AH133" si="156">AH129+AH130+AH131</f>
        <v>302946.8114045019</v>
      </c>
      <c r="AI133" s="167">
        <f t="shared" ref="AI133" si="157">AI129+AI130+AI131</f>
        <v>311859.88680676074</v>
      </c>
      <c r="AJ133" s="167">
        <f t="shared" ref="AJ133" si="158">AJ129+AJ130+AJ131</f>
        <v>313984.04850676074</v>
      </c>
      <c r="AK133" s="165">
        <f>SUM(AK129:AK131)</f>
        <v>313984.04850676074</v>
      </c>
      <c r="AL133" s="412">
        <f>AL129+AL130+AL131</f>
        <v>348607.83687195618</v>
      </c>
      <c r="AM133" s="167">
        <f>AM129+AM130+AM131</f>
        <v>388282.88998291281</v>
      </c>
      <c r="AN133" s="167">
        <f>AN129+AN130+AN131</f>
        <v>408219.13928291283</v>
      </c>
      <c r="AO133" s="167">
        <f t="shared" ref="AO133:BJ133" si="159">AO129+AO130+AO131</f>
        <v>395379.86386529624</v>
      </c>
      <c r="AP133" s="167">
        <f t="shared" si="159"/>
        <v>439121.33224880742</v>
      </c>
      <c r="AQ133" s="167">
        <f t="shared" si="159"/>
        <v>419106.70009990101</v>
      </c>
      <c r="AR133" s="167">
        <f>AR129+AR130+AR131</f>
        <v>428659.48431140214</v>
      </c>
      <c r="AS133" s="167">
        <f t="shared" si="159"/>
        <v>415061.61968305206</v>
      </c>
      <c r="AT133" s="167">
        <f t="shared" si="159"/>
        <v>493831.40521938051</v>
      </c>
      <c r="AU133" s="167">
        <f t="shared" si="159"/>
        <v>486646.35355287365</v>
      </c>
      <c r="AV133" s="167">
        <f>AV129+AV130+AV131</f>
        <v>453065.8207020188</v>
      </c>
      <c r="AW133" s="411">
        <f>AW129+AW130+AW131</f>
        <v>460240.96928423626</v>
      </c>
      <c r="AX133" s="165">
        <f>SUM(AX129:AX131)</f>
        <v>460240.96928423614</v>
      </c>
      <c r="AY133" s="206">
        <f t="shared" si="159"/>
        <v>538026.94173368637</v>
      </c>
      <c r="AZ133" s="209">
        <f t="shared" si="159"/>
        <v>561935.19495633466</v>
      </c>
      <c r="BA133" s="209">
        <f t="shared" si="159"/>
        <v>616243.07588946901</v>
      </c>
      <c r="BB133" s="209">
        <f t="shared" si="159"/>
        <v>1236759.7878523166</v>
      </c>
      <c r="BC133" s="209">
        <f t="shared" si="159"/>
        <v>1229022.8771849333</v>
      </c>
      <c r="BD133" s="209">
        <f t="shared" si="159"/>
        <v>1236002.8366083216</v>
      </c>
      <c r="BE133" s="209">
        <f t="shared" si="159"/>
        <v>1257638.2666587238</v>
      </c>
      <c r="BF133" s="209">
        <f t="shared" si="159"/>
        <v>1322058.2260758423</v>
      </c>
      <c r="BG133" s="209">
        <f t="shared" si="159"/>
        <v>1915211.0886501856</v>
      </c>
      <c r="BH133" s="209">
        <f>BH129+BH130+BH131</f>
        <v>2097969.0840021134</v>
      </c>
      <c r="BI133" s="209">
        <f t="shared" si="159"/>
        <v>2089983.4050661782</v>
      </c>
      <c r="BJ133" s="264">
        <f t="shared" si="159"/>
        <v>2130753.6817439245</v>
      </c>
      <c r="BK133" s="165">
        <f>SUM(BK129:BK131)</f>
        <v>2130753.6817439245</v>
      </c>
      <c r="BL133" s="206">
        <f t="shared" ref="BL133:BV133" si="160">BL129+BL130+BL131</f>
        <v>2174699.1157938922</v>
      </c>
      <c r="BM133" s="209">
        <f t="shared" si="160"/>
        <v>2141637.0229935641</v>
      </c>
      <c r="BN133" s="209">
        <f t="shared" si="160"/>
        <v>1522952.8946152001</v>
      </c>
      <c r="BO133" s="209">
        <f t="shared" si="160"/>
        <v>1521220.7783768815</v>
      </c>
      <c r="BP133" s="209">
        <f t="shared" si="160"/>
        <v>1605781.0790351876</v>
      </c>
      <c r="BQ133" s="209">
        <f t="shared" si="160"/>
        <v>1639253.0226497015</v>
      </c>
      <c r="BR133" s="209">
        <f t="shared" si="160"/>
        <v>1549194.2696412196</v>
      </c>
      <c r="BS133" s="209">
        <f t="shared" si="160"/>
        <v>1612199.9234423006</v>
      </c>
      <c r="BT133" s="209">
        <f t="shared" si="160"/>
        <v>1599308.8542673006</v>
      </c>
      <c r="BU133" s="209">
        <f t="shared" si="160"/>
        <v>1601023.2656650583</v>
      </c>
      <c r="BV133" s="209">
        <f t="shared" si="160"/>
        <v>1575308.0345332345</v>
      </c>
      <c r="BW133" s="264">
        <f>BW129+BW130+BW131</f>
        <v>1627626.9693562347</v>
      </c>
      <c r="BX133" s="165">
        <f>SUM(BX129:BX131)</f>
        <v>1627626.9693562337</v>
      </c>
      <c r="BY133" s="209">
        <f>BY129+BY130+BY131</f>
        <v>1636518.9080680804</v>
      </c>
      <c r="BZ133" s="209">
        <f>BZ129+BZ130+BZ131</f>
        <v>1682587.6607636204</v>
      </c>
      <c r="CA133" s="209">
        <f t="shared" ref="CA133:CJ133" si="161">CA129+CA130+CA131</f>
        <v>1702040.513079572</v>
      </c>
      <c r="CB133" s="209">
        <f t="shared" si="161"/>
        <v>1718474.0860295719</v>
      </c>
      <c r="CC133" s="209">
        <f t="shared" si="161"/>
        <v>1763588.7489515347</v>
      </c>
      <c r="CD133" s="209">
        <f t="shared" si="161"/>
        <v>1797195.2504915989</v>
      </c>
      <c r="CE133" s="168">
        <f t="shared" si="161"/>
        <v>1777819.0872383039</v>
      </c>
      <c r="CF133" s="168">
        <f t="shared" si="161"/>
        <v>1840030.555756852</v>
      </c>
      <c r="CG133" s="168">
        <f t="shared" si="161"/>
        <v>1861139.6333692567</v>
      </c>
      <c r="CH133" s="168">
        <f t="shared" si="161"/>
        <v>1858529.1987520901</v>
      </c>
      <c r="CI133" s="168">
        <f t="shared" si="161"/>
        <v>1890897.8077872861</v>
      </c>
      <c r="CJ133" s="168">
        <f t="shared" si="161"/>
        <v>1892688.2605093084</v>
      </c>
      <c r="CK133" s="165">
        <f>SUM(CK129:CK131)</f>
        <v>1892688.2605093084</v>
      </c>
      <c r="CL133" s="185"/>
      <c r="CM133" s="168">
        <f>CM129+CM130+CM131</f>
        <v>1874884.0842205184</v>
      </c>
      <c r="CN133" s="168">
        <f t="shared" ref="CN133:CX133" si="162">CN129+CN130+CN131</f>
        <v>1861892.6779290491</v>
      </c>
      <c r="CO133" s="168">
        <f t="shared" si="162"/>
        <v>1906245.5527856839</v>
      </c>
      <c r="CP133" s="168">
        <f t="shared" si="162"/>
        <v>1910610.4240847412</v>
      </c>
      <c r="CQ133" s="168">
        <f t="shared" si="162"/>
        <v>1987739.9732649638</v>
      </c>
      <c r="CR133" s="168">
        <f t="shared" si="162"/>
        <v>2016520.9899104151</v>
      </c>
      <c r="CS133" s="168">
        <f t="shared" si="162"/>
        <v>2045158.8177513795</v>
      </c>
      <c r="CT133" s="168">
        <f t="shared" si="162"/>
        <v>2068518.1473319358</v>
      </c>
      <c r="CU133" s="168">
        <f t="shared" si="162"/>
        <v>2041926.8660108694</v>
      </c>
      <c r="CV133" s="168">
        <f t="shared" si="162"/>
        <v>2030717.8679625902</v>
      </c>
      <c r="CW133" s="168">
        <f t="shared" si="162"/>
        <v>2041810.9575113896</v>
      </c>
      <c r="CX133" s="168">
        <f t="shared" si="162"/>
        <v>2045961.2491323694</v>
      </c>
      <c r="CY133" s="165"/>
      <c r="DL133" s="165"/>
    </row>
    <row r="134" spans="1:141">
      <c r="B134" s="1" t="s">
        <v>219</v>
      </c>
      <c r="C134" s="4"/>
      <c r="D134" s="4"/>
      <c r="E134" s="4"/>
      <c r="F134" s="4"/>
      <c r="G134" s="4"/>
      <c r="H134" s="4"/>
      <c r="I134" s="4"/>
      <c r="J134" s="4"/>
      <c r="K134" s="4"/>
      <c r="L134" s="4"/>
      <c r="M134" s="139"/>
      <c r="N134" s="139"/>
      <c r="O134" s="99"/>
      <c r="P134" s="98"/>
      <c r="Q134" s="98">
        <f>Q133/P133</f>
        <v>1.2837887575571765</v>
      </c>
      <c r="R134" s="98">
        <f t="shared" ref="R134:AA134" si="163">R133/Q133</f>
        <v>0.91248453624503478</v>
      </c>
      <c r="S134" s="98">
        <f t="shared" si="163"/>
        <v>1.0078935094163317</v>
      </c>
      <c r="T134" s="98">
        <f t="shared" si="163"/>
        <v>1.0094790475096438</v>
      </c>
      <c r="U134" s="98">
        <f t="shared" si="163"/>
        <v>0.90658706248270682</v>
      </c>
      <c r="V134" s="98">
        <f t="shared" si="163"/>
        <v>1.5289530824138289</v>
      </c>
      <c r="W134" s="98">
        <f t="shared" si="163"/>
        <v>1.1056930538113463</v>
      </c>
      <c r="X134" s="98">
        <f t="shared" si="163"/>
        <v>1.2440984450493329</v>
      </c>
      <c r="Y134" s="98">
        <f t="shared" si="163"/>
        <v>1.1501413533302545</v>
      </c>
      <c r="Z134" s="98">
        <f t="shared" si="163"/>
        <v>1.0679203947710012</v>
      </c>
      <c r="AA134" s="98">
        <f t="shared" si="163"/>
        <v>0.95682397621857518</v>
      </c>
      <c r="AB134" s="114"/>
      <c r="AC134" s="129">
        <f>AC133/AA133</f>
        <v>1.1592919308013849</v>
      </c>
      <c r="AD134" s="98">
        <f t="shared" ref="AD134:AJ134" si="164">AD133/AC133</f>
        <v>1.1971962866021779</v>
      </c>
      <c r="AE134" s="98">
        <f t="shared" si="164"/>
        <v>1.1123123015978236</v>
      </c>
      <c r="AF134" s="98">
        <f t="shared" si="164"/>
        <v>0.98906168422482232</v>
      </c>
      <c r="AG134" s="98">
        <f t="shared" si="164"/>
        <v>1.2523217161551934</v>
      </c>
      <c r="AH134" s="98">
        <f t="shared" si="164"/>
        <v>1.091650726912301</v>
      </c>
      <c r="AI134" s="98">
        <f t="shared" si="164"/>
        <v>1.0294212550412287</v>
      </c>
      <c r="AJ134" s="98">
        <f t="shared" si="164"/>
        <v>1.0068112693868712</v>
      </c>
      <c r="AK134" s="100"/>
      <c r="AL134" s="129">
        <f>AL133/AJ133</f>
        <v>1.1102724438705043</v>
      </c>
      <c r="AM134" s="75">
        <f t="shared" ref="AM134:AR134" si="165">AM133/AL133</f>
        <v>1.1138099862210764</v>
      </c>
      <c r="AN134" s="75">
        <f t="shared" si="165"/>
        <v>1.0513446505481541</v>
      </c>
      <c r="AO134" s="75">
        <f t="shared" si="165"/>
        <v>0.96854808071916876</v>
      </c>
      <c r="AP134" s="75">
        <f t="shared" si="165"/>
        <v>1.1106315024642066</v>
      </c>
      <c r="AQ134" s="75">
        <f t="shared" si="165"/>
        <v>0.95442118002692233</v>
      </c>
      <c r="AR134" s="75">
        <f t="shared" si="165"/>
        <v>1.0227932032802722</v>
      </c>
      <c r="AS134" s="69">
        <f t="shared" ref="AS134" si="166">AS133/AR133</f>
        <v>0.968278166875991</v>
      </c>
      <c r="AT134" s="69">
        <f>AT133/AS133</f>
        <v>1.1897785335981639</v>
      </c>
      <c r="AU134" s="69">
        <f t="shared" ref="AU134" si="167">AU133/AT133</f>
        <v>0.98545039543745716</v>
      </c>
      <c r="AV134" s="69">
        <f t="shared" ref="AV134" si="168">AV133/AU133</f>
        <v>0.93099602492509714</v>
      </c>
      <c r="AW134" s="197">
        <f t="shared" ref="AW134" si="169">AW133/AV133</f>
        <v>1.0158368790015977</v>
      </c>
      <c r="AX134" s="100"/>
      <c r="AY134" s="115">
        <f t="shared" ref="AY134" si="170">AY133/AX133</f>
        <v>1.1690114041138546</v>
      </c>
      <c r="AZ134" s="69">
        <f t="shared" ref="AZ134" si="171">AZ133/AY133</f>
        <v>1.0444369070916943</v>
      </c>
      <c r="BA134" s="69">
        <f t="shared" ref="BA134" si="172">BA133/AZ133</f>
        <v>1.0966443843001406</v>
      </c>
      <c r="BB134" s="69">
        <f t="shared" ref="BB134" si="173">BB133/BA133</f>
        <v>2.0069349843277511</v>
      </c>
      <c r="BC134" s="69">
        <f t="shared" ref="BC134" si="174">BC133/BB133</f>
        <v>0.99374420906680772</v>
      </c>
      <c r="BD134" s="69">
        <f t="shared" ref="BD134" si="175">BD133/BC133</f>
        <v>1.0056792754251864</v>
      </c>
      <c r="BE134" s="69">
        <f t="shared" ref="BE134" si="176">BE133/BD133</f>
        <v>1.0175043530723371</v>
      </c>
      <c r="BF134" s="69">
        <f t="shared" ref="BF134" si="177">BF133/BE133</f>
        <v>1.0512229638083999</v>
      </c>
      <c r="BG134" s="69">
        <f t="shared" ref="BG134" si="178">BG133/BF133</f>
        <v>1.4486586527546148</v>
      </c>
      <c r="BH134" s="69">
        <f t="shared" ref="BH134" si="179">BH133/BG133</f>
        <v>1.0954244659687791</v>
      </c>
      <c r="BI134" s="69">
        <f t="shared" ref="BI134" si="180">BI133/BH133</f>
        <v>0.99619361457858013</v>
      </c>
      <c r="BJ134" s="197">
        <f>BJ133/BI133</f>
        <v>1.0195074643075721</v>
      </c>
      <c r="BK134" s="100"/>
      <c r="BL134" s="115">
        <f>BL133/BK133</f>
        <v>1.0206243614297079</v>
      </c>
      <c r="BM134" s="69">
        <f t="shared" ref="BM134" si="181">BM133/BL133</f>
        <v>0.98479693463789431</v>
      </c>
      <c r="BN134" s="69">
        <f t="shared" ref="BN134" si="182">BN133/BM133</f>
        <v>0.71111625278425006</v>
      </c>
      <c r="BO134" s="69">
        <f t="shared" ref="BO134" si="183">BO133/BN133</f>
        <v>0.9988626593478741</v>
      </c>
      <c r="BP134" s="69">
        <f t="shared" ref="BP134" si="184">BP133/BO133</f>
        <v>1.0555871322955046</v>
      </c>
      <c r="BQ134" s="69">
        <f t="shared" ref="BQ134" si="185">BQ133/BP133</f>
        <v>1.0208446494055248</v>
      </c>
      <c r="BR134" s="69">
        <f t="shared" ref="BR134" si="186">BR133/BQ133</f>
        <v>0.94506110297548196</v>
      </c>
      <c r="BS134" s="69">
        <f t="shared" ref="BS134" si="187">BS133/BR133</f>
        <v>1.0406699502029997</v>
      </c>
      <c r="BT134" s="69">
        <f t="shared" ref="BT134" si="188">BT133/BS133</f>
        <v>0.99200405049798313</v>
      </c>
      <c r="BU134" s="69">
        <f t="shared" ref="BU134" si="189">BU133/BT133</f>
        <v>1.0010719701783575</v>
      </c>
      <c r="BV134" s="69">
        <f t="shared" ref="BV134" si="190">BV133/BU133</f>
        <v>0.98393825268920021</v>
      </c>
      <c r="BW134" s="197">
        <f t="shared" ref="BW134" si="191">BW133/BV133</f>
        <v>1.0332118758211641</v>
      </c>
      <c r="BX134" s="100"/>
      <c r="BY134" s="115">
        <f t="shared" ref="BY134" si="192">BY133/BX133</f>
        <v>1.0054631306062491</v>
      </c>
      <c r="BZ134" s="69">
        <f>BZ133/BY133</f>
        <v>1.0281504554994261</v>
      </c>
      <c r="CA134" s="69">
        <f t="shared" ref="CA134" si="193">CA133/BZ133</f>
        <v>1.0115612712309581</v>
      </c>
      <c r="CB134" s="69">
        <f t="shared" ref="CB134" si="194">CB133/CA133</f>
        <v>1.0096552184414611</v>
      </c>
      <c r="CC134" s="69">
        <f t="shared" ref="CC134" si="195">CC133/CB133</f>
        <v>1.0262527455541663</v>
      </c>
      <c r="CD134" s="69">
        <f t="shared" ref="CD134" si="196">CD133/CC133</f>
        <v>1.019055747299388</v>
      </c>
      <c r="CE134" s="83">
        <f t="shared" ref="CE134" si="197">CE133/CD133</f>
        <v>0.98921866544662029</v>
      </c>
      <c r="CF134" s="83">
        <f t="shared" ref="CF134" si="198">CF133/CE133</f>
        <v>1.0349931379211303</v>
      </c>
      <c r="CG134" s="83">
        <f t="shared" ref="CG134" si="199">CG133/CF133</f>
        <v>1.011472134278619</v>
      </c>
      <c r="CH134" s="83">
        <f t="shared" ref="CH134" si="200">CH133/CG133</f>
        <v>0.99859739991005358</v>
      </c>
      <c r="CI134" s="83">
        <f t="shared" ref="CI134" si="201">CI133/CH133</f>
        <v>1.01741624993405</v>
      </c>
      <c r="CJ134" s="83">
        <f t="shared" ref="CJ134" si="202">CJ133/CI133</f>
        <v>1.0009468796857497</v>
      </c>
      <c r="CK134" s="100"/>
      <c r="CL134" s="130"/>
      <c r="CM134" s="83">
        <f>CM133/CJ133</f>
        <v>0.99059318078931868</v>
      </c>
      <c r="CN134" s="83">
        <f t="shared" ref="CN134" si="203">CN133/CM133</f>
        <v>0.9930708216039551</v>
      </c>
      <c r="CO134" s="83">
        <f t="shared" ref="CO134" si="204">CO133/CN133</f>
        <v>1.0238213917388448</v>
      </c>
      <c r="CP134" s="83">
        <f t="shared" ref="CP134" si="205">CP133/CO133</f>
        <v>1.0022897738922871</v>
      </c>
      <c r="CQ134" s="83">
        <f t="shared" ref="CQ134" si="206">CQ133/CP133</f>
        <v>1.0403690612214527</v>
      </c>
      <c r="CR134" s="83">
        <f t="shared" ref="CR134" si="207">CR133/CQ133</f>
        <v>1.0144792664194286</v>
      </c>
      <c r="CS134" s="83">
        <f t="shared" ref="CS134" si="208">CS133/CR133</f>
        <v>1.0142016016616007</v>
      </c>
      <c r="CT134" s="83">
        <f t="shared" ref="CT134" si="209">CT133/CS133</f>
        <v>1.0114217680200697</v>
      </c>
      <c r="CU134" s="83">
        <f t="shared" ref="CU134" si="210">CU133/CT133</f>
        <v>0.98714476769016268</v>
      </c>
      <c r="CV134" s="83">
        <f t="shared" ref="CV134" si="211">CV133/CU133</f>
        <v>0.99451057810401544</v>
      </c>
      <c r="CW134" s="83">
        <f t="shared" ref="CW134" si="212">CW133/CV133</f>
        <v>1.0054626443800039</v>
      </c>
      <c r="CX134" s="83">
        <f t="shared" ref="CX134" si="213">CX133/CW133</f>
        <v>1.0020326522422225</v>
      </c>
      <c r="CY134" s="100"/>
      <c r="DL134" s="100"/>
    </row>
    <row r="135" spans="1:141">
      <c r="C135" s="4"/>
      <c r="D135" s="4"/>
      <c r="E135" s="4"/>
      <c r="F135" s="4"/>
      <c r="G135" s="4"/>
      <c r="H135" s="4"/>
      <c r="I135" s="4"/>
      <c r="J135" s="4"/>
      <c r="K135" s="4"/>
      <c r="L135" s="4"/>
      <c r="M135" s="139"/>
      <c r="N135" s="139"/>
      <c r="O135" s="99"/>
      <c r="P135" s="98"/>
      <c r="Q135" s="98"/>
      <c r="R135" s="98"/>
      <c r="S135" s="98"/>
      <c r="T135" s="98"/>
      <c r="U135" s="98"/>
      <c r="V135" s="98"/>
      <c r="W135" s="98"/>
      <c r="X135" s="98"/>
      <c r="Y135" s="98"/>
      <c r="Z135" s="98"/>
      <c r="AA135" s="98"/>
      <c r="AB135" s="114"/>
      <c r="AC135" s="129"/>
      <c r="AD135" s="98"/>
      <c r="AE135" s="98"/>
      <c r="AF135" s="98"/>
      <c r="AG135" s="98"/>
      <c r="AH135" s="98"/>
      <c r="AI135" s="98"/>
      <c r="AJ135" s="98"/>
      <c r="AK135" s="100"/>
      <c r="AL135" s="129"/>
      <c r="AM135" s="75"/>
      <c r="AN135" s="75"/>
      <c r="AO135" s="75"/>
      <c r="AP135" s="69"/>
      <c r="AQ135" s="69"/>
      <c r="AR135" s="69"/>
      <c r="AS135" s="69"/>
      <c r="AT135" s="69"/>
      <c r="AU135" s="69"/>
      <c r="AV135" s="69"/>
      <c r="AW135" s="197"/>
      <c r="AX135" s="100"/>
      <c r="AY135" s="115"/>
      <c r="AZ135" s="69"/>
      <c r="BA135" s="69"/>
      <c r="BB135" s="69"/>
      <c r="BC135" s="69"/>
      <c r="BD135" s="69"/>
      <c r="BE135" s="69"/>
      <c r="BF135" s="69"/>
      <c r="BG135" s="69"/>
      <c r="BH135" s="69"/>
      <c r="BI135" s="69"/>
      <c r="BJ135" s="197"/>
      <c r="BK135" s="100"/>
      <c r="BL135" s="115"/>
      <c r="BM135" s="69"/>
      <c r="BN135" s="69"/>
      <c r="BO135" s="69"/>
      <c r="BP135" s="69"/>
      <c r="BQ135" s="69"/>
      <c r="BR135" s="69"/>
      <c r="BS135" s="69"/>
      <c r="BT135" s="69"/>
      <c r="BU135" s="69"/>
      <c r="BV135" s="69"/>
      <c r="BW135" s="197"/>
      <c r="BX135" s="100"/>
      <c r="BY135" s="74"/>
      <c r="BZ135" s="74"/>
      <c r="CA135" s="74"/>
      <c r="CB135" s="74"/>
      <c r="CC135" s="74"/>
      <c r="CD135" s="74"/>
      <c r="CK135" s="100"/>
      <c r="CL135" s="130"/>
      <c r="CY135" s="100"/>
      <c r="DL135" s="100"/>
    </row>
    <row r="136" spans="1:141" s="13" customFormat="1">
      <c r="A136" s="1"/>
      <c r="B136" s="14" t="s">
        <v>220</v>
      </c>
      <c r="C136" s="32"/>
      <c r="D136" s="32"/>
      <c r="E136" s="32"/>
      <c r="F136" s="32"/>
      <c r="G136" s="32"/>
      <c r="H136" s="32"/>
      <c r="I136" s="32"/>
      <c r="J136" s="32"/>
      <c r="K136" s="32"/>
      <c r="L136" s="32"/>
      <c r="M136" s="103"/>
      <c r="N136" s="103"/>
      <c r="O136" s="169"/>
      <c r="P136" s="78"/>
      <c r="Q136" s="78"/>
      <c r="R136" s="78"/>
      <c r="S136" s="78"/>
      <c r="T136" s="78"/>
      <c r="U136" s="78"/>
      <c r="V136" s="78"/>
      <c r="W136" s="78"/>
      <c r="X136" s="78"/>
      <c r="Y136" s="78"/>
      <c r="Z136" s="78"/>
      <c r="AA136" s="78"/>
      <c r="AB136" s="184"/>
      <c r="AC136" s="131"/>
      <c r="AD136" s="78"/>
      <c r="AE136" s="78"/>
      <c r="AF136" s="78"/>
      <c r="AG136" s="78"/>
      <c r="AH136" s="78"/>
      <c r="AI136" s="78"/>
      <c r="AJ136" s="78"/>
      <c r="AK136" s="111"/>
      <c r="AL136" s="131"/>
      <c r="AM136" s="78"/>
      <c r="AN136" s="78"/>
      <c r="AO136" s="78"/>
      <c r="AP136" s="112"/>
      <c r="AQ136" s="112"/>
      <c r="AR136" s="112"/>
      <c r="AS136" s="112"/>
      <c r="AT136" s="112"/>
      <c r="AU136" s="112"/>
      <c r="AV136" s="112"/>
      <c r="AW136" s="198"/>
      <c r="AX136" s="111"/>
      <c r="AY136" s="204"/>
      <c r="AZ136" s="112"/>
      <c r="BA136" s="112"/>
      <c r="BB136" s="112"/>
      <c r="BC136" s="112"/>
      <c r="BD136" s="112"/>
      <c r="BE136" s="112"/>
      <c r="BF136" s="112"/>
      <c r="BG136" s="112"/>
      <c r="BH136" s="112"/>
      <c r="BI136" s="112"/>
      <c r="BJ136" s="198"/>
      <c r="BK136" s="111"/>
      <c r="BL136" s="204"/>
      <c r="BM136" s="112"/>
      <c r="BN136" s="112"/>
      <c r="BO136" s="112"/>
      <c r="BP136" s="112"/>
      <c r="BQ136" s="112"/>
      <c r="BR136" s="112"/>
      <c r="BS136" s="112"/>
      <c r="BT136" s="112"/>
      <c r="BU136" s="112"/>
      <c r="BV136" s="112"/>
      <c r="BW136" s="198"/>
      <c r="BX136" s="111"/>
      <c r="BY136" s="440"/>
      <c r="BZ136" s="440"/>
      <c r="CA136" s="440"/>
      <c r="CB136" s="74"/>
      <c r="CC136" s="440"/>
      <c r="CD136" s="440"/>
      <c r="CK136" s="111"/>
      <c r="CL136" s="132"/>
      <c r="CY136" s="111"/>
      <c r="DL136" s="111"/>
    </row>
    <row r="137" spans="1:141">
      <c r="B137" s="1" t="s">
        <v>221</v>
      </c>
      <c r="C137" s="4"/>
      <c r="D137" s="4"/>
      <c r="E137" s="4"/>
      <c r="F137" s="4"/>
      <c r="G137" s="4"/>
      <c r="H137" s="4"/>
      <c r="I137" s="4"/>
      <c r="J137" s="4"/>
      <c r="K137" s="4"/>
      <c r="L137" s="4"/>
      <c r="M137" s="139"/>
      <c r="N137" s="139"/>
      <c r="O137" s="99"/>
      <c r="P137" s="98"/>
      <c r="Q137" s="98"/>
      <c r="R137" s="98"/>
      <c r="S137" s="98"/>
      <c r="T137" s="98"/>
      <c r="U137" s="98"/>
      <c r="V137" s="98"/>
      <c r="W137" s="98"/>
      <c r="X137" s="98"/>
      <c r="Y137" s="98"/>
      <c r="Z137" s="98"/>
      <c r="AA137" s="98"/>
      <c r="AB137" s="114"/>
      <c r="AC137" s="129"/>
      <c r="AD137" s="98"/>
      <c r="AE137" s="98"/>
      <c r="AF137" s="98"/>
      <c r="AG137" s="98"/>
      <c r="AH137" s="98"/>
      <c r="AI137" s="98"/>
      <c r="AJ137" s="98"/>
      <c r="AK137" s="100"/>
      <c r="AL137" s="129"/>
      <c r="AM137" s="75"/>
      <c r="AN137" s="75"/>
      <c r="AO137" s="75"/>
      <c r="AP137" s="69"/>
      <c r="AQ137" s="69"/>
      <c r="AR137" s="69"/>
      <c r="AS137" s="69"/>
      <c r="AT137" s="69"/>
      <c r="AU137" s="74"/>
      <c r="AV137" s="67">
        <f>309000+400000</f>
        <v>709000</v>
      </c>
      <c r="AW137" s="197"/>
      <c r="AX137" s="100"/>
      <c r="AY137" s="115"/>
      <c r="AZ137" s="69"/>
      <c r="BA137" s="69"/>
      <c r="BB137" s="69"/>
      <c r="BC137" s="69"/>
      <c r="BD137" s="69"/>
      <c r="BE137" s="69"/>
      <c r="BF137" s="69"/>
      <c r="BG137" s="69"/>
      <c r="BH137" s="69"/>
      <c r="BI137" s="69"/>
      <c r="BJ137" s="197"/>
      <c r="BK137" s="100"/>
      <c r="BL137" s="68">
        <f>4565.77+12755.05</f>
        <v>17320.82</v>
      </c>
      <c r="BM137" s="68">
        <f>9871.98+2976.75</f>
        <v>12848.73</v>
      </c>
      <c r="BN137" s="68">
        <f>31560.1+(18805.05-12755.05)+1129.08</f>
        <v>38739.18</v>
      </c>
      <c r="BO137" s="68">
        <f>28805.09+1484+1463.6+2262.51+15148.01+6488.4*0.2</f>
        <v>50460.89</v>
      </c>
      <c r="BP137" s="67">
        <f>28067.34+1751.61+9871.98</f>
        <v>39690.93</v>
      </c>
      <c r="BQ137" s="69"/>
      <c r="BR137" s="67">
        <f>3859.9+1374.44+1484+3217.34+3338.33+42096.98+6488.4*0.8+6742.8+725.26+8242.69</f>
        <v>76272.460000000006</v>
      </c>
      <c r="BS137" s="67">
        <f>1639.6+6388.44+874.23</f>
        <v>8902.2699999999986</v>
      </c>
      <c r="BT137" s="68">
        <f>28435.53*1.21/2+112.23+361.79</f>
        <v>17677.515649999998</v>
      </c>
      <c r="BU137" s="68">
        <f>1498.1+363</f>
        <v>1861.1</v>
      </c>
      <c r="BV137" s="68">
        <f>6850.46</f>
        <v>6850.46</v>
      </c>
      <c r="BW137" s="72"/>
      <c r="BX137" s="100"/>
      <c r="BY137" s="72"/>
      <c r="BZ137" s="74"/>
      <c r="CA137" s="67">
        <f>1149.5+701.44</f>
        <v>1850.94</v>
      </c>
      <c r="CB137" s="457">
        <f>557.33+902.67+474.32+515.94</f>
        <v>2450.2600000000002</v>
      </c>
      <c r="CC137" s="67">
        <f>10423.87/2</f>
        <v>5211.9350000000004</v>
      </c>
      <c r="CD137" s="439">
        <f>3041+2788.48</f>
        <v>5829.48</v>
      </c>
      <c r="CE137" s="83"/>
      <c r="CH137" s="439">
        <f>(7719.8-3859.9)+10423.87/2</f>
        <v>9071.8350000000009</v>
      </c>
      <c r="CK137" s="88"/>
      <c r="CL137" s="399">
        <f>(28435.53*1.21/2-3041)</f>
        <v>14162.495649999997</v>
      </c>
      <c r="CM137" s="109">
        <f>10423.87</f>
        <v>10423.870000000001</v>
      </c>
      <c r="CY137" s="100"/>
      <c r="DL137" s="100"/>
    </row>
    <row r="138" spans="1:141">
      <c r="B138" s="1" t="s">
        <v>222</v>
      </c>
      <c r="C138" s="136"/>
      <c r="D138" s="136"/>
      <c r="E138" s="136"/>
      <c r="F138" s="136"/>
      <c r="G138" s="136"/>
      <c r="H138" s="136"/>
      <c r="I138" s="136"/>
      <c r="J138" s="136"/>
      <c r="K138" s="136"/>
      <c r="L138" s="136"/>
      <c r="M138" s="102"/>
      <c r="N138" s="102"/>
      <c r="O138" s="66"/>
      <c r="P138" s="75"/>
      <c r="Q138" s="75"/>
      <c r="R138" s="75"/>
      <c r="S138" s="75"/>
      <c r="T138" s="75"/>
      <c r="U138" s="75"/>
      <c r="V138" s="75"/>
      <c r="W138" s="75"/>
      <c r="X138" s="75"/>
      <c r="Y138" s="75"/>
      <c r="Z138" s="75"/>
      <c r="AA138" s="75"/>
      <c r="AB138" s="114"/>
      <c r="AC138" s="129"/>
      <c r="AD138" s="75"/>
      <c r="AE138" s="75"/>
      <c r="AF138" s="75"/>
      <c r="AG138" s="75"/>
      <c r="AH138" s="75"/>
      <c r="AI138" s="75"/>
      <c r="AJ138" s="75"/>
      <c r="AK138" s="83"/>
      <c r="AL138" s="75"/>
      <c r="AM138" s="75"/>
      <c r="AN138" s="75"/>
      <c r="AO138" s="75"/>
      <c r="AP138" s="69"/>
      <c r="AQ138" s="69"/>
      <c r="AR138" s="69"/>
      <c r="AS138" s="69"/>
      <c r="AT138" s="69"/>
      <c r="AU138" s="69"/>
      <c r="AV138" s="69"/>
      <c r="AW138" s="69"/>
      <c r="AX138" s="83"/>
      <c r="AY138" s="69"/>
      <c r="AZ138" s="69"/>
      <c r="BA138" s="69"/>
      <c r="BB138" s="67">
        <v>20000</v>
      </c>
      <c r="BC138" s="67">
        <f>19500+19500+19900</f>
        <v>58900</v>
      </c>
      <c r="BD138" s="69"/>
      <c r="BE138" s="69"/>
      <c r="BF138" s="69"/>
      <c r="BG138" s="69"/>
      <c r="BH138" s="69"/>
      <c r="BI138" s="68">
        <v>1404.43</v>
      </c>
      <c r="BJ138" s="67">
        <f>1404.43</f>
        <v>1404.43</v>
      </c>
      <c r="BK138" s="83"/>
      <c r="BL138" s="67">
        <f>-78900+1404.43</f>
        <v>-77495.570000000007</v>
      </c>
      <c r="BM138" s="68">
        <v>1404.43</v>
      </c>
      <c r="BN138" s="68">
        <v>1404.43</v>
      </c>
      <c r="BO138" s="68">
        <v>1404.43</v>
      </c>
      <c r="BP138" s="68">
        <v>1470.69</v>
      </c>
      <c r="BQ138" s="68">
        <v>1470.69</v>
      </c>
      <c r="BR138" s="68">
        <v>1470.69</v>
      </c>
      <c r="BS138" s="68">
        <v>1470.69</v>
      </c>
      <c r="BT138" s="68">
        <v>1470.69</v>
      </c>
      <c r="BU138" s="68">
        <v>1470.69</v>
      </c>
      <c r="BV138" s="68">
        <v>1502.78</v>
      </c>
      <c r="BW138" s="68">
        <v>1502.78</v>
      </c>
      <c r="BX138" s="100"/>
      <c r="BY138" s="68">
        <v>1502.78</v>
      </c>
      <c r="BZ138" s="68">
        <v>1502.78</v>
      </c>
      <c r="CA138" s="68">
        <v>1502.78</v>
      </c>
      <c r="CB138" s="68">
        <v>1502.78</v>
      </c>
      <c r="CC138" s="68">
        <v>1494.47</v>
      </c>
      <c r="CD138" s="68">
        <v>1494.47</v>
      </c>
      <c r="CE138" s="305">
        <v>1494.47</v>
      </c>
      <c r="CF138" s="66">
        <v>1494.47</v>
      </c>
      <c r="CG138" s="66">
        <v>1494.47</v>
      </c>
      <c r="CH138" s="66">
        <v>1494.47</v>
      </c>
      <c r="CI138" s="66">
        <v>1494.47</v>
      </c>
      <c r="CJ138" s="66">
        <v>1494.47</v>
      </c>
      <c r="CK138" s="100">
        <f>SUM(BY138:CJ138)</f>
        <v>17966.879999999997</v>
      </c>
      <c r="CL138" s="130"/>
      <c r="CM138" s="66">
        <v>1494.47</v>
      </c>
      <c r="CN138" s="66">
        <v>1494.47</v>
      </c>
      <c r="CO138" s="66">
        <v>1494.47</v>
      </c>
      <c r="CP138" s="66">
        <v>1494.47</v>
      </c>
      <c r="CQ138" s="66">
        <v>1494.47</v>
      </c>
      <c r="CR138" s="66">
        <v>1494.47</v>
      </c>
      <c r="CS138" s="66">
        <v>1494.47</v>
      </c>
      <c r="CT138" s="66">
        <v>1494.47</v>
      </c>
      <c r="CU138" s="66">
        <v>1494.47</v>
      </c>
      <c r="CV138" s="66">
        <v>1494.47</v>
      </c>
      <c r="CW138" s="66">
        <v>1494.47</v>
      </c>
      <c r="CX138" s="376">
        <v>1494.47</v>
      </c>
      <c r="CY138" s="100">
        <f t="shared" ref="CY138" si="214">SUM(CM138:CX138)</f>
        <v>17933.64</v>
      </c>
      <c r="DL138" s="100">
        <f t="shared" ref="DL138" si="215">SUM(CZ138:DK138)</f>
        <v>0</v>
      </c>
    </row>
    <row r="139" spans="1:141">
      <c r="B139" s="13" t="s">
        <v>453</v>
      </c>
      <c r="C139" s="32"/>
      <c r="D139" s="32"/>
      <c r="E139" s="32"/>
      <c r="F139" s="32"/>
      <c r="G139" s="32"/>
      <c r="H139" s="32"/>
      <c r="I139" s="32"/>
      <c r="J139" s="32"/>
      <c r="K139" s="32"/>
      <c r="L139" s="32"/>
      <c r="M139" s="103"/>
      <c r="N139" s="103"/>
      <c r="O139" s="169"/>
      <c r="P139" s="78"/>
      <c r="Q139" s="78"/>
      <c r="R139" s="78"/>
      <c r="S139" s="78"/>
      <c r="T139" s="78"/>
      <c r="U139" s="78"/>
      <c r="V139" s="78"/>
      <c r="W139" s="78"/>
      <c r="X139" s="78"/>
      <c r="Y139" s="78"/>
      <c r="Z139" s="78"/>
      <c r="AA139" s="78"/>
      <c r="AB139" s="184"/>
      <c r="AC139" s="131"/>
      <c r="AD139" s="78"/>
      <c r="AE139" s="78"/>
      <c r="AF139" s="78"/>
      <c r="AG139" s="78"/>
      <c r="AH139" s="78"/>
      <c r="AI139" s="78"/>
      <c r="AJ139" s="78"/>
      <c r="AK139" s="111"/>
      <c r="AL139" s="131"/>
      <c r="AM139" s="78"/>
      <c r="AN139" s="78"/>
      <c r="AO139" s="78"/>
      <c r="AP139" s="112"/>
      <c r="AQ139" s="112"/>
      <c r="AR139" s="112"/>
      <c r="AS139" s="112"/>
      <c r="AT139" s="112"/>
      <c r="AU139" s="112"/>
      <c r="AV139" s="112"/>
      <c r="AW139" s="198"/>
      <c r="AX139" s="111"/>
      <c r="AY139" s="204"/>
      <c r="AZ139" s="69"/>
      <c r="BA139" s="112"/>
      <c r="BB139" s="77"/>
      <c r="BC139" s="77"/>
      <c r="BD139" s="112"/>
      <c r="BE139" s="112"/>
      <c r="BF139" s="112"/>
      <c r="BG139" s="112"/>
      <c r="BH139" s="112"/>
      <c r="BI139" s="231"/>
      <c r="BJ139" s="77"/>
      <c r="BK139" s="111"/>
      <c r="BL139" s="77"/>
      <c r="BM139" s="231"/>
      <c r="BN139" s="231"/>
      <c r="BO139" s="231"/>
      <c r="BP139" s="231"/>
      <c r="BQ139" s="231"/>
      <c r="BR139" s="231">
        <f>23172.73*1.1</f>
        <v>25490.003000000001</v>
      </c>
      <c r="BS139" s="228"/>
      <c r="BT139" s="228"/>
      <c r="BU139" s="228"/>
      <c r="BV139" s="228"/>
      <c r="BW139" s="228"/>
      <c r="BX139" s="111"/>
      <c r="BY139" s="228"/>
      <c r="BZ139" s="231"/>
      <c r="CA139" s="228"/>
      <c r="CB139" s="228"/>
      <c r="CC139" s="231"/>
      <c r="CD139" s="474">
        <f>23172.73*1.1+2124.17+2124.17</f>
        <v>29738.343000000001</v>
      </c>
      <c r="CE139" s="479">
        <v>2124.17</v>
      </c>
      <c r="CF139" s="210">
        <v>2124.17</v>
      </c>
      <c r="CG139" s="210">
        <v>2124.17</v>
      </c>
      <c r="CH139" s="210">
        <v>2124.17</v>
      </c>
      <c r="CI139" s="210">
        <v>2124.17</v>
      </c>
      <c r="CJ139" s="210">
        <v>2124.17</v>
      </c>
      <c r="CK139" s="111">
        <f>SUM(BY139:CJ139)</f>
        <v>42483.36299999999</v>
      </c>
      <c r="CL139" s="132"/>
      <c r="CM139" s="210">
        <v>2124.17</v>
      </c>
      <c r="CN139" s="210">
        <v>2124.17</v>
      </c>
      <c r="CO139" s="210">
        <v>2124.17</v>
      </c>
      <c r="CP139" s="210">
        <v>2124.17</v>
      </c>
      <c r="CQ139" s="13"/>
      <c r="CR139" s="13"/>
      <c r="CS139" s="13"/>
      <c r="CT139" s="13"/>
      <c r="CU139" s="13"/>
      <c r="CV139" s="13"/>
      <c r="CW139" s="13"/>
      <c r="CX139" s="13"/>
      <c r="CY139" s="111"/>
      <c r="CZ139" s="13"/>
      <c r="DA139" s="13"/>
      <c r="DB139" s="13"/>
      <c r="DC139" s="13"/>
      <c r="DD139" s="13"/>
      <c r="DE139" s="13"/>
      <c r="DF139" s="13"/>
      <c r="DG139" s="13"/>
      <c r="DH139" s="13"/>
      <c r="DI139" s="13"/>
      <c r="DJ139" s="13"/>
      <c r="DK139" s="13"/>
      <c r="DL139" s="111"/>
      <c r="DM139" s="13"/>
      <c r="DN139" s="13"/>
      <c r="DO139" s="13"/>
      <c r="DP139" s="13"/>
      <c r="DQ139" s="13"/>
      <c r="DR139" s="13"/>
      <c r="DS139" s="13"/>
      <c r="DT139" s="13"/>
      <c r="DU139" s="13"/>
      <c r="DV139" s="13"/>
      <c r="DW139" s="13"/>
      <c r="DX139" s="13"/>
      <c r="DY139" s="13"/>
      <c r="DZ139" s="13"/>
      <c r="EA139" s="13"/>
      <c r="EB139" s="13"/>
      <c r="EC139" s="13"/>
      <c r="ED139" s="13"/>
      <c r="EE139" s="13"/>
      <c r="EF139" s="13"/>
      <c r="EG139" s="13"/>
      <c r="EH139" s="13"/>
      <c r="EI139" s="13"/>
      <c r="EJ139" s="13"/>
      <c r="EK139" s="13"/>
    </row>
    <row r="140" spans="1:141" s="14" customFormat="1" ht="16.5">
      <c r="B140" s="414" t="s">
        <v>435</v>
      </c>
      <c r="C140" s="415"/>
      <c r="D140" s="415"/>
      <c r="E140" s="415"/>
      <c r="F140" s="415"/>
      <c r="G140" s="415"/>
      <c r="H140" s="415"/>
      <c r="I140" s="415"/>
      <c r="J140" s="415"/>
      <c r="K140" s="415"/>
      <c r="L140" s="415"/>
      <c r="M140" s="416"/>
      <c r="N140" s="416"/>
      <c r="O140" s="417"/>
      <c r="P140" s="76"/>
      <c r="Q140" s="76"/>
      <c r="R140" s="76"/>
      <c r="S140" s="76"/>
      <c r="T140" s="76"/>
      <c r="U140" s="76"/>
      <c r="V140" s="76"/>
      <c r="W140" s="76"/>
      <c r="X140" s="76"/>
      <c r="Y140" s="76"/>
      <c r="Z140" s="76"/>
      <c r="AA140" s="76"/>
      <c r="AB140" s="350"/>
      <c r="AC140" s="418"/>
      <c r="AD140" s="76"/>
      <c r="AE140" s="76"/>
      <c r="AF140" s="76"/>
      <c r="AG140" s="76"/>
      <c r="AH140" s="76"/>
      <c r="AI140" s="76"/>
      <c r="AJ140" s="76"/>
      <c r="AK140" s="282"/>
      <c r="AL140" s="418"/>
      <c r="AM140" s="76"/>
      <c r="AN140" s="76"/>
      <c r="AO140" s="76"/>
      <c r="AP140" s="77"/>
      <c r="AQ140" s="77"/>
      <c r="AR140" s="77"/>
      <c r="AS140" s="77"/>
      <c r="AT140" s="77"/>
      <c r="AU140" s="77"/>
      <c r="AV140" s="77">
        <f>SUM(AV137:AV139)+AU140</f>
        <v>709000</v>
      </c>
      <c r="AW140" s="77">
        <f>SUM(AW137:AW139)+AV140</f>
        <v>709000</v>
      </c>
      <c r="AX140" s="282">
        <f>AW140</f>
        <v>709000</v>
      </c>
      <c r="AY140" s="127">
        <f>SUM(AY137:AY139)+AW140</f>
        <v>709000</v>
      </c>
      <c r="AZ140" s="329">
        <f>SUM(AZ137:AZ139)+AY140</f>
        <v>709000</v>
      </c>
      <c r="BA140" s="329">
        <f t="shared" ref="BA140:BJ140" si="216">SUM(BA137:BA139)+AZ140</f>
        <v>709000</v>
      </c>
      <c r="BB140" s="329">
        <f t="shared" si="216"/>
        <v>729000</v>
      </c>
      <c r="BC140" s="329">
        <f t="shared" si="216"/>
        <v>787900</v>
      </c>
      <c r="BD140" s="329">
        <f t="shared" si="216"/>
        <v>787900</v>
      </c>
      <c r="BE140" s="329">
        <f t="shared" si="216"/>
        <v>787900</v>
      </c>
      <c r="BF140" s="329">
        <f t="shared" si="216"/>
        <v>787900</v>
      </c>
      <c r="BG140" s="329">
        <f t="shared" si="216"/>
        <v>787900</v>
      </c>
      <c r="BH140" s="329">
        <f t="shared" si="216"/>
        <v>787900</v>
      </c>
      <c r="BI140" s="329">
        <f t="shared" si="216"/>
        <v>789304.43</v>
      </c>
      <c r="BJ140" s="329">
        <f t="shared" si="216"/>
        <v>790708.8600000001</v>
      </c>
      <c r="BK140" s="282">
        <f>BJ140</f>
        <v>790708.8600000001</v>
      </c>
      <c r="BL140" s="127">
        <f>SUM(BL137:BL139)+BJ140</f>
        <v>730534.1100000001</v>
      </c>
      <c r="BM140" s="77">
        <f>SUM(BM137:BM139)+BL140</f>
        <v>744787.27000000014</v>
      </c>
      <c r="BN140" s="77">
        <f t="shared" ref="BN140:BV140" si="217">SUM(BN137:BN139)+BM140</f>
        <v>784930.88000000012</v>
      </c>
      <c r="BO140" s="77">
        <f t="shared" si="217"/>
        <v>836796.20000000007</v>
      </c>
      <c r="BP140" s="77">
        <f>SUM(BP137:BP139)+BO140</f>
        <v>877957.82000000007</v>
      </c>
      <c r="BQ140" s="77">
        <f t="shared" si="217"/>
        <v>879428.51</v>
      </c>
      <c r="BR140" s="77">
        <f>SUM(BR137:BR139)+BQ140</f>
        <v>982661.66300000006</v>
      </c>
      <c r="BS140" s="77">
        <f>SUM(BS137:BS139)+BR140</f>
        <v>993034.62300000002</v>
      </c>
      <c r="BT140" s="77">
        <f>SUM(BT137:BT139)+BS140</f>
        <v>1012182.82865</v>
      </c>
      <c r="BU140" s="77">
        <f t="shared" si="217"/>
        <v>1015514.6186500001</v>
      </c>
      <c r="BV140" s="77">
        <f t="shared" si="217"/>
        <v>1023867.8586500001</v>
      </c>
      <c r="BW140" s="77">
        <f>SUM(BW137:BW139)+BV140</f>
        <v>1025370.6386500001</v>
      </c>
      <c r="BX140" s="333">
        <f>BW140</f>
        <v>1025370.6386500001</v>
      </c>
      <c r="BY140" s="77">
        <f>SUM(BY137:BY139)+BX140</f>
        <v>1026873.4186500001</v>
      </c>
      <c r="BZ140" s="77">
        <f>SUM(BZ137:BZ139)+BY140</f>
        <v>1028376.1986500002</v>
      </c>
      <c r="CA140" s="77">
        <f t="shared" ref="CA140:CJ140" si="218">SUM(CA137:CA139)+BZ140</f>
        <v>1031729.9186500001</v>
      </c>
      <c r="CB140" s="77">
        <f t="shared" si="218"/>
        <v>1035682.9586500002</v>
      </c>
      <c r="CC140" s="77">
        <f t="shared" si="218"/>
        <v>1042389.3636500002</v>
      </c>
      <c r="CD140" s="231">
        <f>SUM(CD137:CD139)+CC140</f>
        <v>1079451.6566500003</v>
      </c>
      <c r="CE140" s="255">
        <f>SUM(CE137:CE139)+CD140</f>
        <v>1083070.2966500001</v>
      </c>
      <c r="CF140" s="255">
        <f t="shared" si="218"/>
        <v>1086688.93665</v>
      </c>
      <c r="CG140" s="255">
        <f t="shared" si="218"/>
        <v>1090307.5766499999</v>
      </c>
      <c r="CH140" s="255">
        <f t="shared" si="218"/>
        <v>1102998.05165</v>
      </c>
      <c r="CI140" s="255">
        <f t="shared" si="218"/>
        <v>1106616.6916499999</v>
      </c>
      <c r="CJ140" s="255">
        <f t="shared" si="218"/>
        <v>1110235.3316499998</v>
      </c>
      <c r="CK140" s="282">
        <f>CJ140</f>
        <v>1110235.3316499998</v>
      </c>
      <c r="CL140" s="382"/>
      <c r="CM140" s="255">
        <f>SUM(CM137:CM139)+CK140</f>
        <v>1124277.8416499998</v>
      </c>
      <c r="CN140" s="255">
        <f>SUM(CN137:CN139)+CM140</f>
        <v>1127896.4816499997</v>
      </c>
      <c r="CO140" s="255">
        <f t="shared" ref="CO140:CX140" si="219">SUM(CO137:CO139)+CN140</f>
        <v>1131515.1216499996</v>
      </c>
      <c r="CP140" s="255">
        <f t="shared" si="219"/>
        <v>1135133.7616499995</v>
      </c>
      <c r="CQ140" s="255">
        <f t="shared" si="219"/>
        <v>1136628.2316499995</v>
      </c>
      <c r="CR140" s="255">
        <f t="shared" si="219"/>
        <v>1138122.7016499995</v>
      </c>
      <c r="CS140" s="255">
        <f t="shared" si="219"/>
        <v>1139617.1716499995</v>
      </c>
      <c r="CT140" s="255">
        <f t="shared" si="219"/>
        <v>1141111.6416499994</v>
      </c>
      <c r="CU140" s="255">
        <f t="shared" si="219"/>
        <v>1142606.1116499994</v>
      </c>
      <c r="CV140" s="255">
        <f t="shared" si="219"/>
        <v>1144100.5816499994</v>
      </c>
      <c r="CW140" s="255">
        <f t="shared" si="219"/>
        <v>1145595.0516499993</v>
      </c>
      <c r="CX140" s="255">
        <f t="shared" si="219"/>
        <v>1147089.5216499993</v>
      </c>
      <c r="CY140" s="282">
        <f>CX140</f>
        <v>1147089.5216499993</v>
      </c>
      <c r="DL140" s="282">
        <f>DK140</f>
        <v>0</v>
      </c>
    </row>
    <row r="141" spans="1:141">
      <c r="C141" s="4"/>
      <c r="D141" s="4"/>
      <c r="E141" s="4"/>
      <c r="F141" s="4"/>
      <c r="G141" s="4"/>
      <c r="H141" s="4"/>
      <c r="I141" s="4"/>
      <c r="J141" s="4"/>
      <c r="K141" s="4"/>
      <c r="L141" s="4"/>
      <c r="M141" s="139"/>
      <c r="N141" s="139"/>
      <c r="O141" s="99"/>
      <c r="P141" s="98"/>
      <c r="Q141" s="98"/>
      <c r="R141" s="98"/>
      <c r="S141" s="98"/>
      <c r="T141" s="98"/>
      <c r="U141" s="98"/>
      <c r="V141" s="98"/>
      <c r="W141" s="98"/>
      <c r="X141" s="98"/>
      <c r="Y141" s="98"/>
      <c r="Z141" s="98"/>
      <c r="AA141" s="98"/>
      <c r="AB141" s="114"/>
      <c r="AC141" s="129"/>
      <c r="AD141" s="98"/>
      <c r="AE141" s="98"/>
      <c r="AF141" s="98"/>
      <c r="AG141" s="98"/>
      <c r="AH141" s="98"/>
      <c r="AI141" s="98"/>
      <c r="AJ141" s="98"/>
      <c r="AK141" s="100"/>
      <c r="AL141" s="129"/>
      <c r="AM141" s="75"/>
      <c r="AN141" s="75"/>
      <c r="AO141" s="75"/>
      <c r="AP141" s="69"/>
      <c r="AQ141" s="69"/>
      <c r="AR141" s="69"/>
      <c r="AS141" s="69"/>
      <c r="AT141" s="69"/>
      <c r="AU141" s="69"/>
      <c r="AV141" s="69"/>
      <c r="AW141" s="197"/>
      <c r="AX141" s="100"/>
      <c r="AY141" s="115"/>
      <c r="AZ141" s="69"/>
      <c r="BA141" s="69"/>
      <c r="BB141" s="69"/>
      <c r="BC141" s="69"/>
      <c r="BD141" s="69"/>
      <c r="BE141" s="69"/>
      <c r="BF141" s="69"/>
      <c r="BG141" s="69"/>
      <c r="BH141" s="69"/>
      <c r="BI141" s="69"/>
      <c r="BJ141" s="197"/>
      <c r="BK141" s="100"/>
      <c r="BL141" s="115"/>
      <c r="BM141" s="69"/>
      <c r="BN141" s="69"/>
      <c r="BO141" s="69"/>
      <c r="BP141" s="69"/>
      <c r="BQ141" s="69"/>
      <c r="BR141" s="69"/>
      <c r="BS141" s="69"/>
      <c r="BT141" s="69"/>
      <c r="BU141" s="69"/>
      <c r="BV141" s="69"/>
      <c r="BW141" s="197"/>
      <c r="BX141" s="100"/>
      <c r="BY141" s="74"/>
      <c r="BZ141" s="74"/>
      <c r="CA141" s="74"/>
      <c r="CB141" s="74"/>
      <c r="CC141" s="74"/>
      <c r="CD141" s="225"/>
      <c r="CK141" s="100"/>
      <c r="CL141" s="130"/>
      <c r="CY141" s="100"/>
      <c r="DL141" s="100"/>
    </row>
    <row r="142" spans="1:141" s="13" customFormat="1">
      <c r="A142" s="1"/>
      <c r="B142" s="14" t="s">
        <v>224</v>
      </c>
      <c r="C142" s="32"/>
      <c r="D142" s="32"/>
      <c r="E142" s="32"/>
      <c r="F142" s="32"/>
      <c r="G142" s="32"/>
      <c r="H142" s="32"/>
      <c r="I142" s="32"/>
      <c r="J142" s="32"/>
      <c r="K142" s="32"/>
      <c r="L142" s="32"/>
      <c r="M142" s="103"/>
      <c r="N142" s="103"/>
      <c r="O142" s="169"/>
      <c r="P142" s="78"/>
      <c r="Q142" s="78"/>
      <c r="R142" s="78"/>
      <c r="S142" s="78"/>
      <c r="T142" s="78"/>
      <c r="U142" s="78"/>
      <c r="V142" s="78"/>
      <c r="W142" s="78"/>
      <c r="X142" s="78"/>
      <c r="Y142" s="78"/>
      <c r="Z142" s="78"/>
      <c r="AA142" s="78"/>
      <c r="AB142" s="184"/>
      <c r="AC142" s="131"/>
      <c r="AD142" s="78"/>
      <c r="AE142" s="78"/>
      <c r="AF142" s="78"/>
      <c r="AG142" s="78"/>
      <c r="AH142" s="78"/>
      <c r="AI142" s="78"/>
      <c r="AJ142" s="78"/>
      <c r="AK142" s="111"/>
      <c r="AL142" s="131"/>
      <c r="AM142" s="78"/>
      <c r="AN142" s="78"/>
      <c r="AO142" s="78"/>
      <c r="AP142" s="112"/>
      <c r="AQ142" s="112"/>
      <c r="AR142" s="112"/>
      <c r="AS142" s="112"/>
      <c r="AT142" s="112"/>
      <c r="AU142" s="112"/>
      <c r="AV142" s="112"/>
      <c r="AW142" s="198"/>
      <c r="AX142" s="111"/>
      <c r="AY142" s="204"/>
      <c r="AZ142" s="112"/>
      <c r="BA142" s="112"/>
      <c r="BB142" s="112"/>
      <c r="BC142" s="112"/>
      <c r="BD142" s="112"/>
      <c r="BE142" s="112"/>
      <c r="BF142" s="112"/>
      <c r="BG142" s="112"/>
      <c r="BH142" s="112"/>
      <c r="BI142" s="112"/>
      <c r="BJ142" s="198"/>
      <c r="BK142" s="111"/>
      <c r="BL142" s="204"/>
      <c r="BM142" s="112"/>
      <c r="BN142" s="112"/>
      <c r="BO142" s="112"/>
      <c r="BP142" s="112"/>
      <c r="BQ142" s="112"/>
      <c r="BR142" s="112"/>
      <c r="BS142" s="112"/>
      <c r="BT142" s="112"/>
      <c r="BU142" s="112"/>
      <c r="BV142" s="112"/>
      <c r="BW142" s="198"/>
      <c r="BX142" s="111"/>
      <c r="BY142" s="440"/>
      <c r="BZ142" s="440"/>
      <c r="CA142" s="440"/>
      <c r="CB142" s="440"/>
      <c r="CC142" s="440"/>
      <c r="CD142" s="476"/>
      <c r="CK142" s="111"/>
      <c r="CL142" s="132"/>
      <c r="CY142" s="111"/>
      <c r="DL142" s="111"/>
    </row>
    <row r="143" spans="1:141">
      <c r="B143" s="9" t="s">
        <v>225</v>
      </c>
      <c r="C143" s="136"/>
      <c r="D143" s="136"/>
      <c r="E143" s="136"/>
      <c r="F143" s="136"/>
      <c r="G143" s="136"/>
      <c r="H143" s="136"/>
      <c r="I143" s="136"/>
      <c r="J143" s="136"/>
      <c r="K143" s="136"/>
      <c r="L143" s="136"/>
      <c r="M143" s="102"/>
      <c r="N143" s="102"/>
      <c r="O143" s="99"/>
      <c r="P143" s="75"/>
      <c r="Q143" s="75"/>
      <c r="R143" s="75"/>
      <c r="S143" s="75"/>
      <c r="T143" s="75"/>
      <c r="U143" s="75"/>
      <c r="V143" s="75"/>
      <c r="W143" s="75"/>
      <c r="X143" s="75"/>
      <c r="Y143" s="75"/>
      <c r="Z143" s="75"/>
      <c r="AA143" s="75"/>
      <c r="AB143" s="114"/>
      <c r="AC143" s="129"/>
      <c r="AD143" s="75"/>
      <c r="AE143" s="75"/>
      <c r="AF143" s="75"/>
      <c r="AG143" s="75"/>
      <c r="AH143" s="75"/>
      <c r="AI143" s="75"/>
      <c r="AJ143" s="75"/>
      <c r="AK143" s="100"/>
      <c r="AL143" s="129"/>
      <c r="AM143" s="75"/>
      <c r="AN143" s="75"/>
      <c r="AO143" s="75"/>
      <c r="AP143" s="69"/>
      <c r="AQ143" s="69"/>
      <c r="AR143" s="69"/>
      <c r="AS143" s="69"/>
      <c r="AT143" s="69"/>
      <c r="AU143" s="69"/>
      <c r="AV143" s="69"/>
      <c r="AW143" s="69"/>
      <c r="AX143" s="100"/>
      <c r="AY143" s="115"/>
      <c r="AZ143" s="69"/>
      <c r="BA143" s="69"/>
      <c r="BB143" s="69"/>
      <c r="BC143" s="69"/>
      <c r="BD143" s="69"/>
      <c r="BE143" s="69"/>
      <c r="BF143" s="69"/>
      <c r="BG143" s="69"/>
      <c r="BH143" s="69"/>
      <c r="BI143" s="69"/>
      <c r="BJ143" s="197"/>
      <c r="BK143" s="100"/>
      <c r="BL143" s="115"/>
      <c r="BM143" s="69"/>
      <c r="BN143" s="69"/>
      <c r="BO143" s="69"/>
      <c r="BP143" s="69"/>
      <c r="BQ143" s="69"/>
      <c r="BR143" s="69"/>
      <c r="BS143" s="69"/>
      <c r="BT143" s="69"/>
      <c r="BU143" s="69"/>
      <c r="BV143" s="69"/>
      <c r="BW143" s="197"/>
      <c r="BX143" s="100"/>
      <c r="BY143" s="74"/>
      <c r="BZ143" s="74"/>
      <c r="CA143" s="74"/>
      <c r="CB143" s="74"/>
      <c r="CC143" s="74"/>
      <c r="CD143" s="225"/>
      <c r="CK143" s="100"/>
      <c r="CL143" s="130"/>
      <c r="CY143" s="100"/>
      <c r="DL143" s="100"/>
    </row>
    <row r="144" spans="1:141">
      <c r="B144" s="1" t="s">
        <v>226</v>
      </c>
      <c r="C144" s="136"/>
      <c r="D144" s="136"/>
      <c r="E144" s="136"/>
      <c r="F144" s="136"/>
      <c r="G144" s="136"/>
      <c r="H144" s="136"/>
      <c r="I144" s="136"/>
      <c r="J144" s="136"/>
      <c r="K144" s="136"/>
      <c r="L144" s="136"/>
      <c r="M144" s="102"/>
      <c r="N144" s="102"/>
      <c r="O144" s="99"/>
      <c r="P144" s="75"/>
      <c r="Q144" s="75"/>
      <c r="R144" s="75"/>
      <c r="S144" s="75"/>
      <c r="T144" s="75"/>
      <c r="U144" s="75"/>
      <c r="V144" s="75"/>
      <c r="W144" s="75"/>
      <c r="X144" s="75"/>
      <c r="Y144" s="75"/>
      <c r="Z144" s="75"/>
      <c r="AA144" s="75"/>
      <c r="AB144" s="114"/>
      <c r="AC144" s="129"/>
      <c r="AD144" s="75"/>
      <c r="AE144" s="75"/>
      <c r="AF144" s="75"/>
      <c r="AG144" s="75"/>
      <c r="AH144" s="75"/>
      <c r="AI144" s="75"/>
      <c r="AJ144" s="75"/>
      <c r="AK144" s="100"/>
      <c r="AL144" s="129"/>
      <c r="AM144" s="75"/>
      <c r="AN144" s="75"/>
      <c r="AO144" s="75"/>
      <c r="AP144" s="69"/>
      <c r="AQ144" s="69"/>
      <c r="AR144" s="69"/>
      <c r="AS144" s="69"/>
      <c r="AT144" s="69"/>
      <c r="AU144" s="69"/>
      <c r="AV144" s="67">
        <v>400000</v>
      </c>
      <c r="AW144" s="67">
        <v>-1919.33</v>
      </c>
      <c r="AX144" s="100"/>
      <c r="AY144" s="67">
        <v>-1922.4</v>
      </c>
      <c r="AZ144" s="67">
        <v>0</v>
      </c>
      <c r="BA144" s="67">
        <f>-1925.48-1928.56</f>
        <v>-3854.04</v>
      </c>
      <c r="BB144" s="67">
        <v>-1931.64</v>
      </c>
      <c r="BC144" s="67">
        <v>-1934.73</v>
      </c>
      <c r="BD144" s="67">
        <v>-1937.83</v>
      </c>
      <c r="BE144" s="67">
        <v>-1940.93</v>
      </c>
      <c r="BF144" s="69"/>
      <c r="BG144" s="67">
        <f>-1944.04-1947.15</f>
        <v>-3891.19</v>
      </c>
      <c r="BH144" s="68">
        <v>-1950.26</v>
      </c>
      <c r="BI144" s="69"/>
      <c r="BJ144" s="67">
        <f>-1953.38-1956.51</f>
        <v>-3909.8900000000003</v>
      </c>
      <c r="BK144" s="100"/>
      <c r="BL144" s="67">
        <v>-1959.64</v>
      </c>
      <c r="BM144" s="67">
        <v>-1962.77</v>
      </c>
      <c r="BN144" s="67">
        <v>-1965.91</v>
      </c>
      <c r="BO144" s="69"/>
      <c r="BP144" s="67">
        <f>-1969.06-1972.21</f>
        <v>-3941.27</v>
      </c>
      <c r="BQ144" s="67">
        <v>-1975.36</v>
      </c>
      <c r="BR144" s="67">
        <v>-1978.53</v>
      </c>
      <c r="BS144" s="74"/>
      <c r="BT144" s="67">
        <f>-1981.69-1984.86</f>
        <v>-3966.55</v>
      </c>
      <c r="BU144" s="67">
        <v>-1988.04</v>
      </c>
      <c r="BV144" s="67">
        <v>-1991.22</v>
      </c>
      <c r="BW144" s="67">
        <v>-1994.4</v>
      </c>
      <c r="BX144" s="100"/>
      <c r="BY144" s="69"/>
      <c r="BZ144" s="67">
        <f>-1997.6-2000.79</f>
        <v>-3998.39</v>
      </c>
      <c r="CA144" s="67">
        <v>-2003.99</v>
      </c>
      <c r="CB144" s="69"/>
      <c r="CC144" s="67">
        <f>-2007.2-2010.41</f>
        <v>-4017.61</v>
      </c>
      <c r="CD144" s="68">
        <v>-2013.63</v>
      </c>
      <c r="CE144" s="66">
        <v>-2016.85</v>
      </c>
      <c r="CF144" s="83">
        <v>-2020.08</v>
      </c>
      <c r="CG144" s="83">
        <v>-2023.31</v>
      </c>
      <c r="CH144" s="83">
        <v>-2026.55</v>
      </c>
      <c r="CI144" s="83">
        <v>-2029.79</v>
      </c>
      <c r="CJ144" s="83">
        <v>-2033.04</v>
      </c>
      <c r="CK144" s="100">
        <f>SUM(BY144:CJ144)</f>
        <v>-24183.24</v>
      </c>
      <c r="CL144" s="130"/>
      <c r="CM144" s="377">
        <f>CJ144-3</f>
        <v>-2036.04</v>
      </c>
      <c r="CN144" s="377">
        <f>CM144-3</f>
        <v>-2039.04</v>
      </c>
      <c r="CO144" s="377">
        <f t="shared" ref="CO144:CX144" si="220">CN144-3</f>
        <v>-2042.04</v>
      </c>
      <c r="CP144" s="377">
        <f t="shared" si="220"/>
        <v>-2045.04</v>
      </c>
      <c r="CQ144" s="377">
        <f t="shared" si="220"/>
        <v>-2048.04</v>
      </c>
      <c r="CR144" s="377">
        <f t="shared" si="220"/>
        <v>-2051.04</v>
      </c>
      <c r="CS144" s="377">
        <f t="shared" si="220"/>
        <v>-2054.04</v>
      </c>
      <c r="CT144" s="377">
        <f t="shared" si="220"/>
        <v>-2057.04</v>
      </c>
      <c r="CU144" s="377">
        <f t="shared" si="220"/>
        <v>-2060.04</v>
      </c>
      <c r="CV144" s="377">
        <f t="shared" si="220"/>
        <v>-2063.04</v>
      </c>
      <c r="CW144" s="377">
        <f t="shared" si="220"/>
        <v>-2066.04</v>
      </c>
      <c r="CX144" s="377">
        <f t="shared" si="220"/>
        <v>-2069.04</v>
      </c>
      <c r="CY144" s="100">
        <f t="shared" ref="CY144" si="221">SUM(CM144:CX144)</f>
        <v>-24630.480000000007</v>
      </c>
      <c r="DL144" s="100">
        <f t="shared" ref="DL144" si="222">SUM(CZ144:DK144)</f>
        <v>0</v>
      </c>
    </row>
    <row r="145" spans="1:116">
      <c r="B145" s="13" t="s">
        <v>227</v>
      </c>
      <c r="C145" s="136"/>
      <c r="D145" s="136"/>
      <c r="E145" s="136"/>
      <c r="F145" s="136"/>
      <c r="G145" s="136"/>
      <c r="H145" s="136"/>
      <c r="I145" s="136"/>
      <c r="J145" s="136"/>
      <c r="K145" s="136"/>
      <c r="L145" s="136"/>
      <c r="M145" s="102"/>
      <c r="N145" s="102"/>
      <c r="O145" s="99"/>
      <c r="P145" s="75"/>
      <c r="Q145" s="75"/>
      <c r="R145" s="75"/>
      <c r="S145" s="75"/>
      <c r="T145" s="75"/>
      <c r="U145" s="75"/>
      <c r="V145" s="75"/>
      <c r="W145" s="75"/>
      <c r="X145" s="75"/>
      <c r="Y145" s="75"/>
      <c r="Z145" s="75"/>
      <c r="AA145" s="75"/>
      <c r="AB145" s="114"/>
      <c r="AC145" s="129"/>
      <c r="AD145" s="75"/>
      <c r="AE145" s="75"/>
      <c r="AF145" s="75"/>
      <c r="AG145" s="75"/>
      <c r="AH145" s="75"/>
      <c r="AI145" s="75"/>
      <c r="AJ145" s="75"/>
      <c r="AK145" s="100"/>
      <c r="AL145" s="129"/>
      <c r="AM145" s="75"/>
      <c r="AN145" s="75"/>
      <c r="AO145" s="75"/>
      <c r="AP145" s="69"/>
      <c r="AQ145" s="69"/>
      <c r="AR145" s="69"/>
      <c r="AS145" s="69"/>
      <c r="AT145" s="69"/>
      <c r="AU145" s="69"/>
      <c r="AV145" s="69">
        <f>AU145+AV144</f>
        <v>400000</v>
      </c>
      <c r="AW145" s="197">
        <f>AV145+AW144</f>
        <v>398080.67</v>
      </c>
      <c r="AX145" s="100">
        <f>AW145</f>
        <v>398080.67</v>
      </c>
      <c r="AY145" s="115">
        <f>AW145+AY144</f>
        <v>396158.26999999996</v>
      </c>
      <c r="AZ145" s="69">
        <f>AY145+AZ144</f>
        <v>396158.26999999996</v>
      </c>
      <c r="BA145" s="69">
        <f t="shared" ref="BA145:BH145" si="223">AZ145+BA144</f>
        <v>392304.23</v>
      </c>
      <c r="BB145" s="69">
        <f t="shared" si="223"/>
        <v>390372.58999999997</v>
      </c>
      <c r="BC145" s="69">
        <f t="shared" si="223"/>
        <v>388437.86</v>
      </c>
      <c r="BD145" s="69">
        <f t="shared" si="223"/>
        <v>386500.02999999997</v>
      </c>
      <c r="BE145" s="69">
        <f t="shared" si="223"/>
        <v>384559.1</v>
      </c>
      <c r="BF145" s="69">
        <f t="shared" si="223"/>
        <v>384559.1</v>
      </c>
      <c r="BG145" s="69">
        <f t="shared" si="223"/>
        <v>380667.91</v>
      </c>
      <c r="BH145" s="72">
        <f t="shared" si="223"/>
        <v>378717.64999999997</v>
      </c>
      <c r="BI145" s="69">
        <f>BH145+BI144</f>
        <v>378717.64999999997</v>
      </c>
      <c r="BJ145" s="197">
        <f>BI145+BJ144</f>
        <v>374807.75999999995</v>
      </c>
      <c r="BK145" s="100">
        <f>BJ145</f>
        <v>374807.75999999995</v>
      </c>
      <c r="BL145" s="115">
        <f>BJ145+BL144</f>
        <v>372848.11999999994</v>
      </c>
      <c r="BM145" s="69">
        <f>BL145+BM144</f>
        <v>370885.34999999992</v>
      </c>
      <c r="BN145" s="69">
        <f t="shared" ref="BN145:BZ145" si="224">BM145+BN144</f>
        <v>368919.43999999994</v>
      </c>
      <c r="BO145" s="69">
        <f t="shared" si="224"/>
        <v>368919.43999999994</v>
      </c>
      <c r="BP145" s="69">
        <f t="shared" si="224"/>
        <v>364978.16999999993</v>
      </c>
      <c r="BQ145" s="69">
        <f t="shared" si="224"/>
        <v>363002.80999999994</v>
      </c>
      <c r="BR145" s="69">
        <f>BQ145+BR144</f>
        <v>361024.27999999991</v>
      </c>
      <c r="BS145" s="69">
        <f>BR145+BS144</f>
        <v>361024.27999999991</v>
      </c>
      <c r="BT145" s="69">
        <f t="shared" ref="BT145:BV145" si="225">BS145+BT144</f>
        <v>357057.72999999992</v>
      </c>
      <c r="BU145" s="69">
        <f>BT145+BU144</f>
        <v>355069.68999999994</v>
      </c>
      <c r="BV145" s="69">
        <f t="shared" si="225"/>
        <v>353078.47</v>
      </c>
      <c r="BW145" s="69">
        <f>BV145+BW144</f>
        <v>351084.06999999995</v>
      </c>
      <c r="BX145" s="111">
        <f>BW145</f>
        <v>351084.06999999995</v>
      </c>
      <c r="BY145" s="69">
        <f>BX145+BY144</f>
        <v>351084.06999999995</v>
      </c>
      <c r="BZ145" s="112">
        <f t="shared" si="224"/>
        <v>347085.67999999993</v>
      </c>
      <c r="CA145" s="112">
        <f t="shared" ref="CA145" si="226">BZ145+CA144</f>
        <v>345081.68999999994</v>
      </c>
      <c r="CB145" s="112">
        <f t="shared" ref="CB145" si="227">CA145+CB144</f>
        <v>345081.68999999994</v>
      </c>
      <c r="CC145" s="112">
        <f t="shared" ref="CC145" si="228">CB145+CC144</f>
        <v>341064.07999999996</v>
      </c>
      <c r="CD145" s="228">
        <f t="shared" ref="CD145" si="229">CC145+CD144</f>
        <v>339050.44999999995</v>
      </c>
      <c r="CE145" s="113">
        <f t="shared" ref="CE145" si="230">CD145+CE144</f>
        <v>337033.6</v>
      </c>
      <c r="CF145" s="113">
        <f t="shared" ref="CF145" si="231">CE145+CF144</f>
        <v>335013.51999999996</v>
      </c>
      <c r="CG145" s="113">
        <f t="shared" ref="CG145" si="232">CF145+CG144</f>
        <v>332990.20999999996</v>
      </c>
      <c r="CH145" s="113">
        <f t="shared" ref="CH145" si="233">CG145+CH144</f>
        <v>330963.65999999997</v>
      </c>
      <c r="CI145" s="113">
        <f t="shared" ref="CI145" si="234">CH145+CI144</f>
        <v>328933.87</v>
      </c>
      <c r="CJ145" s="113">
        <f t="shared" ref="CJ145" si="235">CI145+CJ144</f>
        <v>326900.83</v>
      </c>
      <c r="CK145" s="100">
        <f>CJ145</f>
        <v>326900.83</v>
      </c>
      <c r="CL145" s="130"/>
      <c r="CM145" s="113">
        <f>CK145+CM144</f>
        <v>324864.79000000004</v>
      </c>
      <c r="CN145" s="113">
        <f>CM145+CN144</f>
        <v>322825.75000000006</v>
      </c>
      <c r="CO145" s="113">
        <f t="shared" ref="CO145:CX145" si="236">CN145+CO144</f>
        <v>320783.71000000008</v>
      </c>
      <c r="CP145" s="113">
        <f t="shared" si="236"/>
        <v>318738.6700000001</v>
      </c>
      <c r="CQ145" s="113">
        <f t="shared" si="236"/>
        <v>316690.63000000012</v>
      </c>
      <c r="CR145" s="113">
        <f t="shared" si="236"/>
        <v>314639.59000000014</v>
      </c>
      <c r="CS145" s="113">
        <f t="shared" si="236"/>
        <v>312585.55000000016</v>
      </c>
      <c r="CT145" s="113">
        <f t="shared" si="236"/>
        <v>310528.51000000018</v>
      </c>
      <c r="CU145" s="113">
        <f t="shared" si="236"/>
        <v>308468.4700000002</v>
      </c>
      <c r="CV145" s="113">
        <f t="shared" si="236"/>
        <v>306405.43000000023</v>
      </c>
      <c r="CW145" s="113">
        <f t="shared" si="236"/>
        <v>304339.39000000025</v>
      </c>
      <c r="CX145" s="113">
        <f t="shared" si="236"/>
        <v>302270.35000000027</v>
      </c>
      <c r="CY145" s="100">
        <f>CX145</f>
        <v>302270.35000000027</v>
      </c>
      <c r="DL145" s="100">
        <f>DK145</f>
        <v>0</v>
      </c>
    </row>
    <row r="146" spans="1:116" s="196" customFormat="1">
      <c r="A146" s="1"/>
      <c r="B146" s="9" t="s">
        <v>442</v>
      </c>
      <c r="C146" s="4"/>
      <c r="D146" s="4"/>
      <c r="E146" s="4"/>
      <c r="F146" s="4"/>
      <c r="G146" s="4"/>
      <c r="H146" s="4"/>
      <c r="I146" s="4"/>
      <c r="J146" s="4"/>
      <c r="K146" s="4"/>
      <c r="L146" s="4"/>
      <c r="M146" s="139"/>
      <c r="N146" s="139"/>
      <c r="O146" s="99"/>
      <c r="P146" s="193"/>
      <c r="Q146" s="194"/>
      <c r="R146" s="194"/>
      <c r="S146" s="194"/>
      <c r="T146" s="194"/>
      <c r="U146" s="194"/>
      <c r="V146" s="194"/>
      <c r="W146" s="194"/>
      <c r="X146" s="194"/>
      <c r="Y146" s="194"/>
      <c r="Z146" s="194"/>
      <c r="AA146" s="194"/>
      <c r="AB146" s="292"/>
      <c r="AC146" s="193"/>
      <c r="AD146" s="194"/>
      <c r="AE146" s="194"/>
      <c r="AF146" s="194"/>
      <c r="AG146" s="194"/>
      <c r="AH146" s="194"/>
      <c r="AI146" s="194"/>
      <c r="AJ146" s="194"/>
      <c r="AK146" s="88"/>
      <c r="AL146" s="193"/>
      <c r="AM146" s="194"/>
      <c r="AN146" s="194"/>
      <c r="AO146" s="194"/>
      <c r="AP146" s="195"/>
      <c r="AQ146" s="195"/>
      <c r="AR146" s="195"/>
      <c r="AS146" s="195"/>
      <c r="AT146" s="195"/>
      <c r="AU146" s="195"/>
      <c r="AV146" s="195"/>
      <c r="AW146" s="199"/>
      <c r="AX146" s="88"/>
      <c r="AY146" s="201"/>
      <c r="AZ146" s="195"/>
      <c r="BA146" s="195"/>
      <c r="BB146" s="195"/>
      <c r="BC146" s="195"/>
      <c r="BD146" s="195"/>
      <c r="BE146" s="195"/>
      <c r="BF146" s="195"/>
      <c r="BG146" s="195"/>
      <c r="BH146" s="227"/>
      <c r="BI146" s="195"/>
      <c r="BJ146" s="199"/>
      <c r="BK146" s="88"/>
      <c r="BL146" s="201"/>
      <c r="BM146" s="195"/>
      <c r="BN146" s="195"/>
      <c r="BO146" s="195"/>
      <c r="BP146" s="195"/>
      <c r="BQ146" s="195"/>
      <c r="BR146" s="195"/>
      <c r="BS146" s="195"/>
      <c r="BT146" s="195"/>
      <c r="BU146" s="195"/>
      <c r="BV146" s="195"/>
      <c r="BW146" s="199"/>
      <c r="BX146" s="100"/>
      <c r="BY146" s="444"/>
      <c r="BZ146" s="74"/>
      <c r="CA146" s="444"/>
      <c r="CB146" s="444"/>
      <c r="CC146" s="444"/>
      <c r="CD146" s="477"/>
      <c r="CK146" s="88"/>
      <c r="CL146" s="348"/>
      <c r="CY146" s="88"/>
      <c r="DL146" s="88"/>
    </row>
    <row r="147" spans="1:116">
      <c r="B147" s="1" t="s">
        <v>226</v>
      </c>
      <c r="C147" s="4"/>
      <c r="D147" s="4"/>
      <c r="E147" s="4"/>
      <c r="F147" s="4"/>
      <c r="G147" s="4"/>
      <c r="H147" s="4"/>
      <c r="I147" s="4"/>
      <c r="J147" s="4"/>
      <c r="K147" s="4"/>
      <c r="L147" s="4"/>
      <c r="M147" s="139"/>
      <c r="N147" s="139"/>
      <c r="O147" s="99"/>
      <c r="P147" s="98"/>
      <c r="Q147" s="98"/>
      <c r="R147" s="98"/>
      <c r="S147" s="98"/>
      <c r="T147" s="98"/>
      <c r="U147" s="98"/>
      <c r="V147" s="98"/>
      <c r="W147" s="98"/>
      <c r="X147" s="98"/>
      <c r="Y147" s="98"/>
      <c r="Z147" s="98"/>
      <c r="AA147" s="98"/>
      <c r="AB147" s="114"/>
      <c r="AC147" s="129"/>
      <c r="AD147" s="98"/>
      <c r="AE147" s="98"/>
      <c r="AF147" s="101">
        <v>99000</v>
      </c>
      <c r="AG147" s="98"/>
      <c r="AH147" s="98"/>
      <c r="AI147" s="98"/>
      <c r="AJ147" s="98"/>
      <c r="AK147" s="100"/>
      <c r="AL147" s="129"/>
      <c r="AM147" s="75"/>
      <c r="AN147" s="75"/>
      <c r="AO147" s="75"/>
      <c r="AP147" s="69"/>
      <c r="AQ147" s="69"/>
      <c r="AR147" s="69"/>
      <c r="AS147" s="69"/>
      <c r="AT147" s="69"/>
      <c r="AU147" s="69"/>
      <c r="AV147" s="69"/>
      <c r="AW147" s="197"/>
      <c r="AX147" s="100"/>
      <c r="AY147" s="115"/>
      <c r="AZ147" s="69"/>
      <c r="BA147" s="69"/>
      <c r="BB147" s="69"/>
      <c r="BC147" s="69"/>
      <c r="BD147" s="69"/>
      <c r="BE147" s="69"/>
      <c r="BF147" s="74"/>
      <c r="BG147" s="67">
        <v>-1314.91</v>
      </c>
      <c r="BH147" s="68">
        <v>-1316.55</v>
      </c>
      <c r="BI147" s="67">
        <v>-1318.2</v>
      </c>
      <c r="BJ147" s="67">
        <v>-1319.85</v>
      </c>
      <c r="BK147" s="100"/>
      <c r="BL147" s="67">
        <v>-1321.5</v>
      </c>
      <c r="BM147" s="67">
        <v>-1323.15</v>
      </c>
      <c r="BN147" s="67">
        <v>-1324.8</v>
      </c>
      <c r="BO147" s="67">
        <v>-1326.46</v>
      </c>
      <c r="BP147" s="67">
        <v>-1328.12</v>
      </c>
      <c r="BQ147" s="67">
        <v>-1329.78</v>
      </c>
      <c r="BR147" s="67">
        <v>-1331.44</v>
      </c>
      <c r="BS147" s="67">
        <v>-1333.1</v>
      </c>
      <c r="BT147" s="67">
        <v>-1334.77</v>
      </c>
      <c r="BU147" s="67">
        <v>-1336.44</v>
      </c>
      <c r="BV147" s="67">
        <v>-1338.11</v>
      </c>
      <c r="BW147" s="67">
        <v>-1339.78</v>
      </c>
      <c r="BX147" s="100"/>
      <c r="BY147" s="67">
        <v>-1341.46</v>
      </c>
      <c r="BZ147" s="67">
        <v>-1343.13</v>
      </c>
      <c r="CA147" s="81">
        <v>-1344.81</v>
      </c>
      <c r="CB147" s="81">
        <v>-1346.49</v>
      </c>
      <c r="CC147" s="81">
        <v>-1348.18</v>
      </c>
      <c r="CD147" s="81">
        <v>-1349.86</v>
      </c>
      <c r="CE147" s="1">
        <v>-1351.55</v>
      </c>
      <c r="CF147" s="1">
        <v>-1353.24</v>
      </c>
      <c r="CG147" s="1">
        <v>-1354.93</v>
      </c>
      <c r="CH147" s="1">
        <v>-1356.62</v>
      </c>
      <c r="CI147" s="1">
        <v>-1358.32</v>
      </c>
      <c r="CJ147" s="1">
        <v>-1360.02</v>
      </c>
      <c r="CK147" s="100">
        <f>SUM(BY147:CJ147)</f>
        <v>-16208.61</v>
      </c>
      <c r="CL147" s="130"/>
      <c r="CM147" s="171">
        <f>CJ147-2</f>
        <v>-1362.02</v>
      </c>
      <c r="CN147" s="171">
        <f>CM147-2</f>
        <v>-1364.02</v>
      </c>
      <c r="CO147" s="171">
        <f t="shared" ref="CO147:CX147" si="237">CN147-2</f>
        <v>-1366.02</v>
      </c>
      <c r="CP147" s="171">
        <f t="shared" si="237"/>
        <v>-1368.02</v>
      </c>
      <c r="CQ147" s="171">
        <f t="shared" si="237"/>
        <v>-1370.02</v>
      </c>
      <c r="CR147" s="171">
        <f t="shared" si="237"/>
        <v>-1372.02</v>
      </c>
      <c r="CS147" s="171">
        <f t="shared" si="237"/>
        <v>-1374.02</v>
      </c>
      <c r="CT147" s="171">
        <f t="shared" si="237"/>
        <v>-1376.02</v>
      </c>
      <c r="CU147" s="171">
        <f t="shared" si="237"/>
        <v>-1378.02</v>
      </c>
      <c r="CV147" s="171">
        <f t="shared" si="237"/>
        <v>-1380.02</v>
      </c>
      <c r="CW147" s="171">
        <f t="shared" si="237"/>
        <v>-1382.02</v>
      </c>
      <c r="CX147" s="171">
        <f t="shared" si="237"/>
        <v>-1384.02</v>
      </c>
      <c r="CY147" s="100">
        <f t="shared" ref="CY147" si="238">SUM(CM147:CX147)</f>
        <v>-16476.240000000002</v>
      </c>
      <c r="DL147" s="100">
        <f t="shared" ref="DL147" si="239">SUM(CZ147:DK147)</f>
        <v>0</v>
      </c>
    </row>
    <row r="148" spans="1:116" s="13" customFormat="1">
      <c r="A148" s="1"/>
      <c r="B148" s="13" t="s">
        <v>227</v>
      </c>
      <c r="C148" s="32"/>
      <c r="D148" s="32"/>
      <c r="E148" s="32"/>
      <c r="F148" s="32"/>
      <c r="G148" s="32"/>
      <c r="H148" s="32"/>
      <c r="I148" s="32"/>
      <c r="J148" s="32"/>
      <c r="K148" s="32"/>
      <c r="L148" s="32"/>
      <c r="M148" s="103"/>
      <c r="N148" s="103"/>
      <c r="O148" s="169"/>
      <c r="P148" s="78"/>
      <c r="Q148" s="78"/>
      <c r="R148" s="78"/>
      <c r="S148" s="78"/>
      <c r="T148" s="78"/>
      <c r="U148" s="78"/>
      <c r="V148" s="78"/>
      <c r="W148" s="78"/>
      <c r="X148" s="78"/>
      <c r="Y148" s="78"/>
      <c r="Z148" s="78"/>
      <c r="AA148" s="78"/>
      <c r="AB148" s="184">
        <f>AA148</f>
        <v>0</v>
      </c>
      <c r="AC148" s="131"/>
      <c r="AD148" s="78"/>
      <c r="AE148" s="78"/>
      <c r="AF148" s="78">
        <f>AF147</f>
        <v>99000</v>
      </c>
      <c r="AG148" s="78">
        <f>AF148+AG147</f>
        <v>99000</v>
      </c>
      <c r="AH148" s="78">
        <f>AG148+AH147</f>
        <v>99000</v>
      </c>
      <c r="AI148" s="78">
        <f>AH148+AI147</f>
        <v>99000</v>
      </c>
      <c r="AJ148" s="78">
        <f>AI148+AJ147</f>
        <v>99000</v>
      </c>
      <c r="AK148" s="111">
        <f>AJ148</f>
        <v>99000</v>
      </c>
      <c r="AL148" s="131">
        <f>AJ148+AL147</f>
        <v>99000</v>
      </c>
      <c r="AM148" s="78">
        <f>AL148+AM147</f>
        <v>99000</v>
      </c>
      <c r="AN148" s="78">
        <f>AM148+AN147</f>
        <v>99000</v>
      </c>
      <c r="AO148" s="78">
        <f t="shared" ref="AO148:AW148" si="240">AN148+AO147</f>
        <v>99000</v>
      </c>
      <c r="AP148" s="78">
        <f t="shared" si="240"/>
        <v>99000</v>
      </c>
      <c r="AQ148" s="78">
        <f t="shared" si="240"/>
        <v>99000</v>
      </c>
      <c r="AR148" s="78">
        <f t="shared" si="240"/>
        <v>99000</v>
      </c>
      <c r="AS148" s="78">
        <f t="shared" si="240"/>
        <v>99000</v>
      </c>
      <c r="AT148" s="78">
        <f t="shared" si="240"/>
        <v>99000</v>
      </c>
      <c r="AU148" s="78">
        <f t="shared" si="240"/>
        <v>99000</v>
      </c>
      <c r="AV148" s="78">
        <f t="shared" si="240"/>
        <v>99000</v>
      </c>
      <c r="AW148" s="78">
        <f t="shared" si="240"/>
        <v>99000</v>
      </c>
      <c r="AX148" s="111">
        <f>AW148</f>
        <v>99000</v>
      </c>
      <c r="AY148" s="204">
        <f>AW148+AY147</f>
        <v>99000</v>
      </c>
      <c r="AZ148" s="78">
        <f t="shared" ref="AZ148" si="241">AY148+AZ147</f>
        <v>99000</v>
      </c>
      <c r="BA148" s="78">
        <f t="shared" ref="BA148" si="242">AZ148+BA147</f>
        <v>99000</v>
      </c>
      <c r="BB148" s="78">
        <f t="shared" ref="BB148" si="243">BA148+BB147</f>
        <v>99000</v>
      </c>
      <c r="BC148" s="78">
        <f t="shared" ref="BC148" si="244">BB148+BC147</f>
        <v>99000</v>
      </c>
      <c r="BD148" s="78">
        <f t="shared" ref="BD148" si="245">BC148+BD147</f>
        <v>99000</v>
      </c>
      <c r="BE148" s="78">
        <f t="shared" ref="BE148" si="246">BD148+BE147</f>
        <v>99000</v>
      </c>
      <c r="BF148" s="78">
        <f t="shared" ref="BF148" si="247">BE148+BF147</f>
        <v>99000</v>
      </c>
      <c r="BG148" s="78">
        <f>BF148+BG147</f>
        <v>97685.09</v>
      </c>
      <c r="BH148" s="78">
        <f t="shared" ref="BH148" si="248">BG148+BH147</f>
        <v>96368.54</v>
      </c>
      <c r="BI148" s="78">
        <f t="shared" ref="BI148" si="249">BH148+BI147</f>
        <v>95050.34</v>
      </c>
      <c r="BJ148" s="78">
        <f t="shared" ref="BJ148:BL148" si="250">BI148+BJ147</f>
        <v>93730.489999999991</v>
      </c>
      <c r="BK148" s="111">
        <f>BJ148</f>
        <v>93730.489999999991</v>
      </c>
      <c r="BL148" s="78">
        <f t="shared" si="250"/>
        <v>92408.989999999991</v>
      </c>
      <c r="BM148" s="78">
        <f t="shared" ref="BM148" si="251">BL148+BM147</f>
        <v>91085.84</v>
      </c>
      <c r="BN148" s="78">
        <f t="shared" ref="BN148" si="252">BM148+BN147</f>
        <v>89761.04</v>
      </c>
      <c r="BO148" s="78">
        <f t="shared" ref="BO148" si="253">BN148+BO147</f>
        <v>88434.579999999987</v>
      </c>
      <c r="BP148" s="78">
        <f t="shared" ref="BP148" si="254">BO148+BP147</f>
        <v>87106.459999999992</v>
      </c>
      <c r="BQ148" s="78">
        <f t="shared" ref="BQ148" si="255">BP148+BQ147</f>
        <v>85776.68</v>
      </c>
      <c r="BR148" s="78">
        <f t="shared" ref="BR148" si="256">BQ148+BR147</f>
        <v>84445.239999999991</v>
      </c>
      <c r="BS148" s="78">
        <f t="shared" ref="BS148" si="257">BR148+BS147</f>
        <v>83112.139999999985</v>
      </c>
      <c r="BT148" s="78">
        <f t="shared" ref="BT148" si="258">BS148+BT147</f>
        <v>81777.369999999981</v>
      </c>
      <c r="BU148" s="78">
        <f t="shared" ref="BU148" si="259">BT148+BU147</f>
        <v>80440.929999999978</v>
      </c>
      <c r="BV148" s="78">
        <f t="shared" ref="BV148" si="260">BU148+BV147</f>
        <v>79102.819999999978</v>
      </c>
      <c r="BW148" s="78">
        <f>BV148+BW147</f>
        <v>77763.039999999979</v>
      </c>
      <c r="BX148" s="111">
        <f>BW148</f>
        <v>77763.039999999979</v>
      </c>
      <c r="BY148" s="78">
        <f>BX148+BY147</f>
        <v>76421.579999999973</v>
      </c>
      <c r="BZ148" s="78">
        <f t="shared" ref="BZ148:CJ148" si="261">BY148+BZ147</f>
        <v>75078.449999999968</v>
      </c>
      <c r="CA148" s="78">
        <f t="shared" si="261"/>
        <v>73733.63999999997</v>
      </c>
      <c r="CB148" s="78">
        <f t="shared" si="261"/>
        <v>72387.149999999965</v>
      </c>
      <c r="CC148" s="78">
        <f t="shared" si="261"/>
        <v>71038.969999999972</v>
      </c>
      <c r="CD148" s="78">
        <f t="shared" si="261"/>
        <v>69689.109999999971</v>
      </c>
      <c r="CE148" s="266">
        <f t="shared" si="261"/>
        <v>68337.559999999969</v>
      </c>
      <c r="CF148" s="266">
        <f t="shared" si="261"/>
        <v>66984.319999999963</v>
      </c>
      <c r="CG148" s="266">
        <f t="shared" si="261"/>
        <v>65629.38999999997</v>
      </c>
      <c r="CH148" s="266">
        <f t="shared" si="261"/>
        <v>64272.769999999968</v>
      </c>
      <c r="CI148" s="266">
        <f t="shared" si="261"/>
        <v>62914.449999999968</v>
      </c>
      <c r="CJ148" s="266">
        <f t="shared" si="261"/>
        <v>61554.429999999971</v>
      </c>
      <c r="CK148" s="111">
        <f>CJ148</f>
        <v>61554.429999999971</v>
      </c>
      <c r="CL148" s="132"/>
      <c r="CM148" s="113">
        <f>CK148+CM147</f>
        <v>60192.409999999974</v>
      </c>
      <c r="CN148" s="113">
        <f>CM148+CN147</f>
        <v>58828.389999999978</v>
      </c>
      <c r="CO148" s="113">
        <f t="shared" ref="CO148:CX148" si="262">CN148+CO147</f>
        <v>57462.369999999981</v>
      </c>
      <c r="CP148" s="113">
        <f t="shared" si="262"/>
        <v>56094.349999999984</v>
      </c>
      <c r="CQ148" s="113">
        <f t="shared" si="262"/>
        <v>54724.329999999987</v>
      </c>
      <c r="CR148" s="113">
        <f t="shared" si="262"/>
        <v>53352.30999999999</v>
      </c>
      <c r="CS148" s="113">
        <f t="shared" si="262"/>
        <v>51978.289999999994</v>
      </c>
      <c r="CT148" s="113">
        <f t="shared" si="262"/>
        <v>50602.27</v>
      </c>
      <c r="CU148" s="113">
        <f t="shared" si="262"/>
        <v>49224.25</v>
      </c>
      <c r="CV148" s="113">
        <f t="shared" si="262"/>
        <v>47844.23</v>
      </c>
      <c r="CW148" s="113">
        <f t="shared" si="262"/>
        <v>46462.210000000006</v>
      </c>
      <c r="CX148" s="113">
        <f t="shared" si="262"/>
        <v>45078.19000000001</v>
      </c>
      <c r="CY148" s="111">
        <f>CX148</f>
        <v>45078.19000000001</v>
      </c>
      <c r="DL148" s="111">
        <f>DK148</f>
        <v>0</v>
      </c>
    </row>
    <row r="149" spans="1:116">
      <c r="B149" s="9" t="s">
        <v>353</v>
      </c>
      <c r="C149" s="136"/>
      <c r="D149" s="136"/>
      <c r="E149" s="136"/>
      <c r="F149" s="136"/>
      <c r="G149" s="136"/>
      <c r="H149" s="136"/>
      <c r="I149" s="136"/>
      <c r="J149" s="136"/>
      <c r="K149" s="136"/>
      <c r="L149" s="136"/>
      <c r="M149" s="102"/>
      <c r="N149" s="102"/>
      <c r="O149" s="99"/>
      <c r="P149" s="75"/>
      <c r="Q149" s="75"/>
      <c r="R149" s="75"/>
      <c r="S149" s="75"/>
      <c r="T149" s="75"/>
      <c r="U149" s="75"/>
      <c r="V149" s="75"/>
      <c r="W149" s="75"/>
      <c r="X149" s="75"/>
      <c r="Y149" s="75"/>
      <c r="Z149" s="75"/>
      <c r="AA149" s="75"/>
      <c r="AB149" s="114"/>
      <c r="AC149" s="129"/>
      <c r="AD149" s="75"/>
      <c r="AE149" s="75"/>
      <c r="AF149" s="75"/>
      <c r="AG149" s="75"/>
      <c r="AH149" s="75"/>
      <c r="AI149" s="75"/>
      <c r="AJ149" s="75"/>
      <c r="AK149" s="100"/>
      <c r="AL149" s="129"/>
      <c r="AM149" s="75"/>
      <c r="AN149" s="75"/>
      <c r="AO149" s="75"/>
      <c r="AP149" s="75"/>
      <c r="AQ149" s="75"/>
      <c r="AR149" s="75"/>
      <c r="AS149" s="75"/>
      <c r="AT149" s="75"/>
      <c r="AU149" s="75"/>
      <c r="AV149" s="75"/>
      <c r="AW149" s="75"/>
      <c r="AX149" s="100"/>
      <c r="AY149" s="115"/>
      <c r="AZ149" s="75"/>
      <c r="BA149" s="75"/>
      <c r="BB149" s="75"/>
      <c r="BC149" s="75"/>
      <c r="BD149" s="75"/>
      <c r="BE149" s="75"/>
      <c r="BF149" s="75"/>
      <c r="BG149" s="75"/>
      <c r="BH149" s="75"/>
      <c r="BI149" s="75"/>
      <c r="BJ149" s="75"/>
      <c r="BK149" s="100"/>
      <c r="BL149" s="75"/>
      <c r="BM149" s="75"/>
      <c r="BN149" s="75"/>
      <c r="BO149" s="75"/>
      <c r="BP149" s="75"/>
      <c r="BQ149" s="75"/>
      <c r="BR149" s="75"/>
      <c r="BS149" s="75"/>
      <c r="BT149" s="75"/>
      <c r="BU149" s="75"/>
      <c r="BV149" s="75"/>
      <c r="BW149" s="75"/>
      <c r="BX149" s="100"/>
      <c r="BY149" s="75"/>
      <c r="BZ149" s="75"/>
      <c r="CA149" s="75"/>
      <c r="CB149" s="75"/>
      <c r="CC149" s="75"/>
      <c r="CD149" s="75"/>
      <c r="CE149" s="291"/>
      <c r="CF149" s="291"/>
      <c r="CG149" s="291"/>
      <c r="CH149" s="291"/>
      <c r="CI149" s="291"/>
      <c r="CJ149" s="291"/>
      <c r="CK149" s="100"/>
      <c r="CL149" s="130"/>
      <c r="CY149" s="100"/>
      <c r="DL149" s="100"/>
    </row>
    <row r="150" spans="1:116">
      <c r="B150" s="1" t="s">
        <v>226</v>
      </c>
      <c r="C150" s="136"/>
      <c r="D150" s="136"/>
      <c r="E150" s="136"/>
      <c r="F150" s="136"/>
      <c r="G150" s="136"/>
      <c r="H150" s="136"/>
      <c r="I150" s="136"/>
      <c r="J150" s="136"/>
      <c r="K150" s="136"/>
      <c r="L150" s="136"/>
      <c r="M150" s="102"/>
      <c r="N150" s="102"/>
      <c r="O150" s="99"/>
      <c r="P150" s="75"/>
      <c r="Q150" s="75"/>
      <c r="R150" s="75"/>
      <c r="S150" s="75"/>
      <c r="T150" s="75"/>
      <c r="U150" s="75"/>
      <c r="V150" s="75"/>
      <c r="W150" s="75"/>
      <c r="X150" s="75"/>
      <c r="Y150" s="75"/>
      <c r="Z150" s="75"/>
      <c r="AA150" s="75"/>
      <c r="AB150" s="114"/>
      <c r="AC150" s="129"/>
      <c r="AD150" s="75"/>
      <c r="AE150" s="75"/>
      <c r="AF150" s="75"/>
      <c r="AG150" s="75"/>
      <c r="AH150" s="75"/>
      <c r="AI150" s="75"/>
      <c r="AJ150" s="75"/>
      <c r="AK150" s="100"/>
      <c r="AL150" s="129"/>
      <c r="AM150" s="75"/>
      <c r="AN150" s="75"/>
      <c r="AO150" s="75"/>
      <c r="AP150" s="75"/>
      <c r="AQ150" s="75"/>
      <c r="AR150" s="75"/>
      <c r="AS150" s="75"/>
      <c r="AT150" s="75"/>
      <c r="AU150" s="75"/>
      <c r="AV150" s="75"/>
      <c r="AW150" s="75"/>
      <c r="AX150" s="100"/>
      <c r="AY150" s="115"/>
      <c r="AZ150" s="75"/>
      <c r="BA150" s="75"/>
      <c r="BB150" s="75"/>
      <c r="BC150" s="75"/>
      <c r="BD150" s="75"/>
      <c r="BE150" s="75"/>
      <c r="BF150" s="75"/>
      <c r="BG150" s="75"/>
      <c r="BH150" s="75"/>
      <c r="BI150" s="75"/>
      <c r="BJ150" s="75"/>
      <c r="BK150" s="100"/>
      <c r="BL150" s="75"/>
      <c r="BM150" s="75"/>
      <c r="BN150" s="75"/>
      <c r="BO150" s="75"/>
      <c r="BP150" s="75"/>
      <c r="BQ150" s="75"/>
      <c r="BR150" s="73"/>
      <c r="BS150" s="75"/>
      <c r="BT150" s="75"/>
      <c r="BU150" s="232"/>
      <c r="BV150" s="232"/>
      <c r="BW150" s="75"/>
      <c r="BX150" s="100"/>
      <c r="BY150" s="69"/>
      <c r="BZ150" s="75"/>
      <c r="CA150" s="75"/>
      <c r="CB150" s="75"/>
      <c r="CC150" s="75"/>
      <c r="CD150" s="75"/>
      <c r="CE150" s="434">
        <f>-75000</f>
        <v>-75000</v>
      </c>
      <c r="CF150" s="291"/>
      <c r="CG150" s="291"/>
      <c r="CH150" s="291"/>
      <c r="CI150" s="291"/>
      <c r="CJ150" s="291"/>
      <c r="CK150" s="100">
        <f>SUM(BY150:CJ150)</f>
        <v>-75000</v>
      </c>
      <c r="CL150" s="130"/>
      <c r="CY150" s="100">
        <f t="shared" ref="CY150" si="263">SUM(CM150:CX150)</f>
        <v>0</v>
      </c>
      <c r="DL150" s="100">
        <f t="shared" ref="DL150" si="264">SUM(CZ150:DK150)</f>
        <v>0</v>
      </c>
    </row>
    <row r="151" spans="1:116" s="13" customFormat="1">
      <c r="B151" s="13" t="s">
        <v>227</v>
      </c>
      <c r="C151" s="32"/>
      <c r="D151" s="32"/>
      <c r="E151" s="32"/>
      <c r="F151" s="32"/>
      <c r="G151" s="32"/>
      <c r="H151" s="32"/>
      <c r="I151" s="32"/>
      <c r="J151" s="32"/>
      <c r="K151" s="32"/>
      <c r="L151" s="32"/>
      <c r="M151" s="103"/>
      <c r="N151" s="103"/>
      <c r="O151" s="169"/>
      <c r="P151" s="78"/>
      <c r="Q151" s="78"/>
      <c r="R151" s="78"/>
      <c r="S151" s="78"/>
      <c r="T151" s="78"/>
      <c r="U151" s="78"/>
      <c r="V151" s="78"/>
      <c r="W151" s="78"/>
      <c r="X151" s="78"/>
      <c r="Y151" s="78"/>
      <c r="Z151" s="78"/>
      <c r="AA151" s="78"/>
      <c r="AB151" s="184"/>
      <c r="AC151" s="131"/>
      <c r="AD151" s="78"/>
      <c r="AE151" s="78"/>
      <c r="AF151" s="78"/>
      <c r="AG151" s="78"/>
      <c r="AH151" s="78"/>
      <c r="AI151" s="78"/>
      <c r="AJ151" s="78"/>
      <c r="AK151" s="111"/>
      <c r="AL151" s="131"/>
      <c r="AM151" s="78"/>
      <c r="AN151" s="78"/>
      <c r="AO151" s="78"/>
      <c r="AP151" s="78"/>
      <c r="AQ151" s="78"/>
      <c r="AR151" s="78"/>
      <c r="AS151" s="78"/>
      <c r="AT151" s="78"/>
      <c r="AU151" s="78"/>
      <c r="AV151" s="78"/>
      <c r="AW151" s="78"/>
      <c r="AX151" s="111"/>
      <c r="AY151" s="204"/>
      <c r="AZ151" s="78"/>
      <c r="BA151" s="78"/>
      <c r="BB151" s="78"/>
      <c r="BC151" s="78"/>
      <c r="BD151" s="78"/>
      <c r="BE151" s="78"/>
      <c r="BF151" s="78"/>
      <c r="BG151" s="78"/>
      <c r="BH151" s="78"/>
      <c r="BI151" s="78"/>
      <c r="BJ151" s="78"/>
      <c r="BK151" s="111"/>
      <c r="BL151" s="78"/>
      <c r="BM151" s="78"/>
      <c r="BN151" s="78"/>
      <c r="BO151" s="78"/>
      <c r="BP151" s="78"/>
      <c r="BQ151" s="78"/>
      <c r="BR151" s="78">
        <f t="shared" ref="BR151" si="265">BQ151+BR150</f>
        <v>0</v>
      </c>
      <c r="BS151" s="78">
        <f>BR151+BS150</f>
        <v>0</v>
      </c>
      <c r="BT151" s="78">
        <f t="shared" ref="BT151" si="266">BS151+BT150</f>
        <v>0</v>
      </c>
      <c r="BU151" s="78">
        <f>BT151+BU150</f>
        <v>0</v>
      </c>
      <c r="BV151" s="78">
        <f>BU151+BV150</f>
        <v>0</v>
      </c>
      <c r="BW151" s="78">
        <f>BV151+BW150</f>
        <v>0</v>
      </c>
      <c r="BX151" s="111">
        <f>BW151</f>
        <v>0</v>
      </c>
      <c r="BY151" s="78">
        <f>BX151+BY150</f>
        <v>0</v>
      </c>
      <c r="BZ151" s="78">
        <f>BY151+BZ150</f>
        <v>0</v>
      </c>
      <c r="CA151" s="78">
        <f t="shared" ref="CA151:CJ151" si="267">BZ151+CA150</f>
        <v>0</v>
      </c>
      <c r="CB151" s="78">
        <f t="shared" si="267"/>
        <v>0</v>
      </c>
      <c r="CC151" s="78">
        <f t="shared" si="267"/>
        <v>0</v>
      </c>
      <c r="CD151" s="78">
        <f t="shared" si="267"/>
        <v>0</v>
      </c>
      <c r="CE151" s="266">
        <f t="shared" si="267"/>
        <v>-75000</v>
      </c>
      <c r="CF151" s="266">
        <f t="shared" si="267"/>
        <v>-75000</v>
      </c>
      <c r="CG151" s="266">
        <f>CF151+CG150</f>
        <v>-75000</v>
      </c>
      <c r="CH151" s="266">
        <f t="shared" si="267"/>
        <v>-75000</v>
      </c>
      <c r="CI151" s="266">
        <f t="shared" si="267"/>
        <v>-75000</v>
      </c>
      <c r="CJ151" s="266">
        <f t="shared" si="267"/>
        <v>-75000</v>
      </c>
      <c r="CK151" s="111">
        <f>CJ151</f>
        <v>-75000</v>
      </c>
      <c r="CL151" s="132"/>
      <c r="CM151" s="113">
        <f>CJ151+CM150</f>
        <v>-75000</v>
      </c>
      <c r="CN151" s="113">
        <f>CM151+CN150</f>
        <v>-75000</v>
      </c>
      <c r="CO151" s="113">
        <f t="shared" ref="CO151:CX151" si="268">CN151+CO150</f>
        <v>-75000</v>
      </c>
      <c r="CP151" s="113">
        <f t="shared" si="268"/>
        <v>-75000</v>
      </c>
      <c r="CQ151" s="113">
        <f t="shared" si="268"/>
        <v>-75000</v>
      </c>
      <c r="CR151" s="113">
        <f t="shared" si="268"/>
        <v>-75000</v>
      </c>
      <c r="CS151" s="113">
        <f t="shared" si="268"/>
        <v>-75000</v>
      </c>
      <c r="CT151" s="113">
        <f t="shared" si="268"/>
        <v>-75000</v>
      </c>
      <c r="CU151" s="113">
        <f t="shared" si="268"/>
        <v>-75000</v>
      </c>
      <c r="CV151" s="113">
        <f t="shared" si="268"/>
        <v>-75000</v>
      </c>
      <c r="CW151" s="113">
        <f t="shared" si="268"/>
        <v>-75000</v>
      </c>
      <c r="CX151" s="113">
        <f t="shared" si="268"/>
        <v>-75000</v>
      </c>
      <c r="CY151" s="111">
        <f>CX151</f>
        <v>-75000</v>
      </c>
      <c r="DL151" s="111">
        <f>DK151</f>
        <v>0</v>
      </c>
    </row>
    <row r="152" spans="1:116">
      <c r="B152" s="9" t="s">
        <v>440</v>
      </c>
      <c r="C152" s="136"/>
      <c r="D152" s="136"/>
      <c r="E152" s="136"/>
      <c r="F152" s="136"/>
      <c r="G152" s="136"/>
      <c r="H152" s="136"/>
      <c r="I152" s="136"/>
      <c r="J152" s="136"/>
      <c r="K152" s="136"/>
      <c r="L152" s="136"/>
      <c r="M152" s="102"/>
      <c r="N152" s="102"/>
      <c r="O152" s="99"/>
      <c r="P152" s="75"/>
      <c r="Q152" s="75"/>
      <c r="R152" s="75"/>
      <c r="S152" s="75"/>
      <c r="T152" s="75"/>
      <c r="U152" s="75"/>
      <c r="V152" s="75"/>
      <c r="W152" s="75"/>
      <c r="X152" s="75"/>
      <c r="Y152" s="75"/>
      <c r="Z152" s="75"/>
      <c r="AA152" s="75"/>
      <c r="AB152" s="114"/>
      <c r="AC152" s="129"/>
      <c r="AD152" s="75"/>
      <c r="AE152" s="75"/>
      <c r="AF152" s="75"/>
      <c r="AG152" s="75"/>
      <c r="AH152" s="75"/>
      <c r="AI152" s="75"/>
      <c r="AJ152" s="75"/>
      <c r="AK152" s="100"/>
      <c r="AL152" s="129"/>
      <c r="AM152" s="75"/>
      <c r="AN152" s="75"/>
      <c r="AO152" s="75"/>
      <c r="AP152" s="75"/>
      <c r="AQ152" s="75"/>
      <c r="AR152" s="75"/>
      <c r="AS152" s="75"/>
      <c r="AT152" s="75"/>
      <c r="AU152" s="75"/>
      <c r="AV152" s="75"/>
      <c r="AW152" s="75"/>
      <c r="AX152" s="100"/>
      <c r="AY152" s="115"/>
      <c r="AZ152" s="75"/>
      <c r="BA152" s="75"/>
      <c r="BB152" s="75"/>
      <c r="BC152" s="75"/>
      <c r="BD152" s="75"/>
      <c r="BE152" s="75"/>
      <c r="BF152" s="75"/>
      <c r="BG152" s="75"/>
      <c r="BH152" s="75"/>
      <c r="BI152" s="75"/>
      <c r="BJ152" s="75"/>
      <c r="BK152" s="100"/>
      <c r="BL152" s="75"/>
      <c r="BM152" s="75"/>
      <c r="BN152" s="75"/>
      <c r="BO152" s="75"/>
      <c r="BP152" s="75"/>
      <c r="BQ152" s="75"/>
      <c r="BR152" s="75"/>
      <c r="BS152" s="75"/>
      <c r="BT152" s="75"/>
      <c r="BU152" s="75"/>
      <c r="BV152" s="75"/>
      <c r="BW152" s="75"/>
      <c r="BX152" s="100"/>
      <c r="BY152" s="75"/>
      <c r="BZ152" s="75"/>
      <c r="CA152" s="75"/>
      <c r="CB152" s="75"/>
      <c r="CC152" s="75"/>
      <c r="CD152" s="75"/>
      <c r="CE152" s="291"/>
      <c r="CF152" s="291"/>
      <c r="CG152" s="291"/>
      <c r="CH152" s="291"/>
      <c r="CI152" s="291"/>
      <c r="CJ152" s="291"/>
      <c r="CK152" s="100"/>
      <c r="CL152" s="130"/>
      <c r="CY152" s="100"/>
      <c r="DL152" s="100"/>
    </row>
    <row r="153" spans="1:116">
      <c r="B153" s="1" t="s">
        <v>226</v>
      </c>
      <c r="C153" s="136"/>
      <c r="D153" s="136"/>
      <c r="E153" s="136"/>
      <c r="F153" s="136"/>
      <c r="G153" s="136"/>
      <c r="H153" s="136"/>
      <c r="I153" s="136"/>
      <c r="J153" s="136"/>
      <c r="K153" s="136"/>
      <c r="L153" s="136"/>
      <c r="M153" s="102"/>
      <c r="N153" s="102"/>
      <c r="O153" s="99"/>
      <c r="P153" s="75"/>
      <c r="Q153" s="75"/>
      <c r="R153" s="75"/>
      <c r="S153" s="75"/>
      <c r="T153" s="75"/>
      <c r="U153" s="75"/>
      <c r="V153" s="75"/>
      <c r="W153" s="75"/>
      <c r="X153" s="75"/>
      <c r="Y153" s="75"/>
      <c r="Z153" s="75"/>
      <c r="AA153" s="75"/>
      <c r="AB153" s="114"/>
      <c r="AC153" s="129"/>
      <c r="AD153" s="75"/>
      <c r="AE153" s="75"/>
      <c r="AF153" s="75"/>
      <c r="AG153" s="75"/>
      <c r="AH153" s="75"/>
      <c r="AI153" s="75"/>
      <c r="AJ153" s="75"/>
      <c r="AK153" s="100"/>
      <c r="AL153" s="129"/>
      <c r="AM153" s="75"/>
      <c r="AN153" s="75"/>
      <c r="AO153" s="75"/>
      <c r="AP153" s="75"/>
      <c r="AQ153" s="75"/>
      <c r="AR153" s="75"/>
      <c r="AS153" s="75"/>
      <c r="AT153" s="75"/>
      <c r="AU153" s="75"/>
      <c r="AV153" s="75"/>
      <c r="AW153" s="75"/>
      <c r="AX153" s="100"/>
      <c r="AY153" s="115"/>
      <c r="AZ153" s="75"/>
      <c r="BA153" s="75"/>
      <c r="BB153" s="75"/>
      <c r="BC153" s="75"/>
      <c r="BD153" s="75"/>
      <c r="BE153" s="75"/>
      <c r="BF153" s="75"/>
      <c r="BG153" s="75"/>
      <c r="BH153" s="75"/>
      <c r="BI153" s="75"/>
      <c r="BJ153" s="75"/>
      <c r="BK153" s="100"/>
      <c r="BL153" s="75"/>
      <c r="BM153" s="75"/>
      <c r="BN153" s="75"/>
      <c r="BO153" s="75"/>
      <c r="BP153" s="75"/>
      <c r="BQ153" s="75"/>
      <c r="BR153" s="73"/>
      <c r="BS153" s="75"/>
      <c r="BT153" s="75"/>
      <c r="BU153" s="232"/>
      <c r="BV153" s="232"/>
      <c r="BW153" s="75"/>
      <c r="BX153" s="100"/>
      <c r="BY153" s="69"/>
      <c r="BZ153" s="75">
        <v>75000</v>
      </c>
      <c r="CA153" s="95">
        <v>-583.49</v>
      </c>
      <c r="CB153" s="95">
        <v>-613.37</v>
      </c>
      <c r="CC153" s="95">
        <v>-621.85</v>
      </c>
      <c r="CD153" s="95">
        <v>-623.58000000000004</v>
      </c>
      <c r="CE153" s="95">
        <v>-624.08000000000004</v>
      </c>
      <c r="CF153" s="295">
        <v>-1031.1600000000001</v>
      </c>
      <c r="CG153" s="295">
        <v>-1031.1600000000001</v>
      </c>
      <c r="CH153" s="295">
        <v>-1031.1600000000001</v>
      </c>
      <c r="CI153" s="295">
        <v>-1031.1600000000001</v>
      </c>
      <c r="CJ153" s="295">
        <v>-1031.1600000000001</v>
      </c>
      <c r="CK153" s="100">
        <f>SUM(BY153:CJ153)</f>
        <v>66777.829999999973</v>
      </c>
      <c r="CL153" s="130"/>
      <c r="CM153" s="295">
        <v>-1031.1600000000001</v>
      </c>
      <c r="CN153" s="295">
        <v>-1031.1600000000001</v>
      </c>
      <c r="CO153" s="295">
        <v>-1031.1600000000001</v>
      </c>
      <c r="CP153" s="295">
        <v>-1031.1600000000001</v>
      </c>
      <c r="CQ153" s="295">
        <v>-1031.1600000000001</v>
      </c>
      <c r="CR153" s="295">
        <v>-1031.1600000000001</v>
      </c>
      <c r="CS153" s="295">
        <v>-1031.1600000000001</v>
      </c>
      <c r="CT153" s="295">
        <v>-1031.1600000000001</v>
      </c>
      <c r="CU153" s="295">
        <v>-1031.1600000000001</v>
      </c>
      <c r="CV153" s="295">
        <v>-1031.1600000000001</v>
      </c>
      <c r="CW153" s="295">
        <v>-1031.1600000000001</v>
      </c>
      <c r="CX153" s="295">
        <v>-1031.1600000000001</v>
      </c>
      <c r="CY153" s="100">
        <f t="shared" ref="CY153" si="269">SUM(CM153:CX153)</f>
        <v>-12373.92</v>
      </c>
      <c r="DL153" s="100">
        <f t="shared" ref="DL153" si="270">SUM(CZ153:DK153)</f>
        <v>0</v>
      </c>
    </row>
    <row r="154" spans="1:116" s="13" customFormat="1">
      <c r="B154" s="13" t="s">
        <v>227</v>
      </c>
      <c r="C154" s="32"/>
      <c r="D154" s="32"/>
      <c r="E154" s="32"/>
      <c r="F154" s="32"/>
      <c r="G154" s="32"/>
      <c r="H154" s="32"/>
      <c r="I154" s="32"/>
      <c r="J154" s="32"/>
      <c r="K154" s="32"/>
      <c r="L154" s="32"/>
      <c r="M154" s="103"/>
      <c r="N154" s="103"/>
      <c r="O154" s="169"/>
      <c r="P154" s="78"/>
      <c r="Q154" s="78"/>
      <c r="R154" s="78"/>
      <c r="S154" s="78"/>
      <c r="T154" s="78"/>
      <c r="U154" s="78"/>
      <c r="V154" s="78"/>
      <c r="W154" s="78"/>
      <c r="X154" s="78"/>
      <c r="Y154" s="78"/>
      <c r="Z154" s="78"/>
      <c r="AA154" s="78"/>
      <c r="AB154" s="184"/>
      <c r="AC154" s="131"/>
      <c r="AD154" s="78"/>
      <c r="AE154" s="78"/>
      <c r="AF154" s="78"/>
      <c r="AG154" s="78"/>
      <c r="AH154" s="78"/>
      <c r="AI154" s="78"/>
      <c r="AJ154" s="78"/>
      <c r="AK154" s="111"/>
      <c r="AL154" s="131"/>
      <c r="AM154" s="78"/>
      <c r="AN154" s="78"/>
      <c r="AO154" s="78"/>
      <c r="AP154" s="78"/>
      <c r="AQ154" s="78"/>
      <c r="AR154" s="78"/>
      <c r="AS154" s="78"/>
      <c r="AT154" s="78"/>
      <c r="AU154" s="78"/>
      <c r="AV154" s="78"/>
      <c r="AW154" s="78"/>
      <c r="AX154" s="111"/>
      <c r="AY154" s="204"/>
      <c r="AZ154" s="78"/>
      <c r="BA154" s="78"/>
      <c r="BB154" s="78"/>
      <c r="BC154" s="78"/>
      <c r="BD154" s="78"/>
      <c r="BE154" s="78"/>
      <c r="BF154" s="78"/>
      <c r="BG154" s="78"/>
      <c r="BH154" s="78"/>
      <c r="BI154" s="78"/>
      <c r="BJ154" s="78"/>
      <c r="BK154" s="111"/>
      <c r="BL154" s="78"/>
      <c r="BM154" s="78"/>
      <c r="BN154" s="78"/>
      <c r="BO154" s="78"/>
      <c r="BP154" s="78"/>
      <c r="BQ154" s="78"/>
      <c r="BR154" s="78"/>
      <c r="BS154" s="78"/>
      <c r="BT154" s="78"/>
      <c r="BU154" s="78"/>
      <c r="BV154" s="78"/>
      <c r="BW154" s="78"/>
      <c r="BX154" s="111"/>
      <c r="BY154" s="78">
        <f>BY153</f>
        <v>0</v>
      </c>
      <c r="BZ154" s="78">
        <f>BY154+BZ153</f>
        <v>75000</v>
      </c>
      <c r="CA154" s="78">
        <f t="shared" ref="CA154:CJ154" si="271">BZ154+CA153</f>
        <v>74416.509999999995</v>
      </c>
      <c r="CB154" s="78">
        <f t="shared" si="271"/>
        <v>73803.14</v>
      </c>
      <c r="CC154" s="78">
        <f t="shared" si="271"/>
        <v>73181.289999999994</v>
      </c>
      <c r="CD154" s="78">
        <f t="shared" si="271"/>
        <v>72557.709999999992</v>
      </c>
      <c r="CE154" s="266">
        <f t="shared" si="271"/>
        <v>71933.62999999999</v>
      </c>
      <c r="CF154" s="266">
        <f t="shared" si="271"/>
        <v>70902.469999999987</v>
      </c>
      <c r="CG154" s="266">
        <f t="shared" si="271"/>
        <v>69871.309999999983</v>
      </c>
      <c r="CH154" s="266">
        <f t="shared" si="271"/>
        <v>68840.14999999998</v>
      </c>
      <c r="CI154" s="266">
        <f t="shared" si="271"/>
        <v>67808.989999999976</v>
      </c>
      <c r="CJ154" s="266">
        <f t="shared" si="271"/>
        <v>66777.829999999973</v>
      </c>
      <c r="CK154" s="111">
        <f>CJ154</f>
        <v>66777.829999999973</v>
      </c>
      <c r="CL154" s="132"/>
      <c r="CM154" s="113">
        <f>CJ154+CM153</f>
        <v>65746.669999999969</v>
      </c>
      <c r="CN154" s="113">
        <f>CM154+CN153</f>
        <v>64715.509999999966</v>
      </c>
      <c r="CO154" s="113">
        <f t="shared" ref="CO154:CX154" si="272">CN154+CO153</f>
        <v>63684.349999999962</v>
      </c>
      <c r="CP154" s="113">
        <f t="shared" si="272"/>
        <v>62653.189999999959</v>
      </c>
      <c r="CQ154" s="113">
        <f t="shared" si="272"/>
        <v>61622.029999999955</v>
      </c>
      <c r="CR154" s="113">
        <f t="shared" si="272"/>
        <v>60590.869999999952</v>
      </c>
      <c r="CS154" s="113">
        <f t="shared" si="272"/>
        <v>59559.709999999948</v>
      </c>
      <c r="CT154" s="113">
        <f t="shared" si="272"/>
        <v>58528.549999999945</v>
      </c>
      <c r="CU154" s="113">
        <f t="shared" si="272"/>
        <v>57497.389999999941</v>
      </c>
      <c r="CV154" s="113">
        <f t="shared" si="272"/>
        <v>56466.229999999938</v>
      </c>
      <c r="CW154" s="113">
        <f t="shared" si="272"/>
        <v>55435.069999999934</v>
      </c>
      <c r="CX154" s="113">
        <f t="shared" si="272"/>
        <v>54403.909999999931</v>
      </c>
      <c r="CY154" s="111"/>
      <c r="DL154" s="111"/>
    </row>
    <row r="155" spans="1:116">
      <c r="B155" s="9" t="s">
        <v>441</v>
      </c>
      <c r="C155" s="136"/>
      <c r="D155" s="136"/>
      <c r="E155" s="136"/>
      <c r="F155" s="136"/>
      <c r="G155" s="136"/>
      <c r="H155" s="136"/>
      <c r="I155" s="136"/>
      <c r="J155" s="136"/>
      <c r="K155" s="136"/>
      <c r="L155" s="136"/>
      <c r="M155" s="102"/>
      <c r="N155" s="102"/>
      <c r="O155" s="99"/>
      <c r="P155" s="75"/>
      <c r="Q155" s="75"/>
      <c r="R155" s="75"/>
      <c r="S155" s="75"/>
      <c r="T155" s="75"/>
      <c r="U155" s="75"/>
      <c r="V155" s="75"/>
      <c r="W155" s="75"/>
      <c r="X155" s="75"/>
      <c r="Y155" s="75"/>
      <c r="Z155" s="75"/>
      <c r="AA155" s="75"/>
      <c r="AB155" s="114"/>
      <c r="AC155" s="129"/>
      <c r="AD155" s="75"/>
      <c r="AE155" s="75"/>
      <c r="AF155" s="75"/>
      <c r="AG155" s="75"/>
      <c r="AH155" s="75"/>
      <c r="AI155" s="75"/>
      <c r="AJ155" s="75"/>
      <c r="AK155" s="100"/>
      <c r="AL155" s="129"/>
      <c r="AM155" s="75"/>
      <c r="AN155" s="75"/>
      <c r="AO155" s="75"/>
      <c r="AP155" s="75"/>
      <c r="AQ155" s="75"/>
      <c r="AR155" s="75"/>
      <c r="AS155" s="75"/>
      <c r="AT155" s="75"/>
      <c r="AU155" s="75"/>
      <c r="AV155" s="75"/>
      <c r="AW155" s="75"/>
      <c r="AX155" s="100"/>
      <c r="AY155" s="115"/>
      <c r="AZ155" s="75"/>
      <c r="BA155" s="75"/>
      <c r="BB155" s="75"/>
      <c r="BC155" s="75"/>
      <c r="BD155" s="75"/>
      <c r="BE155" s="75"/>
      <c r="BF155" s="75"/>
      <c r="BG155" s="75"/>
      <c r="BH155" s="75"/>
      <c r="BI155" s="75"/>
      <c r="BJ155" s="75"/>
      <c r="BK155" s="100"/>
      <c r="BL155" s="75"/>
      <c r="BM155" s="75"/>
      <c r="BN155" s="75"/>
      <c r="BO155" s="75"/>
      <c r="BP155" s="75"/>
      <c r="BQ155" s="75"/>
      <c r="BR155" s="75"/>
      <c r="BS155" s="75"/>
      <c r="BT155" s="75"/>
      <c r="BU155" s="75"/>
      <c r="BV155" s="75"/>
      <c r="BW155" s="75"/>
      <c r="BX155" s="100"/>
      <c r="BY155" s="75"/>
      <c r="BZ155" s="75"/>
      <c r="CA155" s="75"/>
      <c r="CB155" s="75"/>
      <c r="CC155" s="75"/>
      <c r="CD155" s="75"/>
      <c r="CE155" s="291"/>
      <c r="CF155" s="291"/>
      <c r="CG155" s="291"/>
      <c r="CH155" s="291"/>
      <c r="CI155" s="291"/>
      <c r="CJ155" s="291"/>
      <c r="CK155" s="100"/>
      <c r="CL155" s="130"/>
      <c r="CY155" s="100"/>
      <c r="DL155" s="100"/>
    </row>
    <row r="156" spans="1:116">
      <c r="B156" s="1" t="s">
        <v>226</v>
      </c>
      <c r="C156" s="136"/>
      <c r="D156" s="136"/>
      <c r="E156" s="136"/>
      <c r="F156" s="136"/>
      <c r="G156" s="136"/>
      <c r="H156" s="136"/>
      <c r="I156" s="136"/>
      <c r="J156" s="136"/>
      <c r="K156" s="136"/>
      <c r="L156" s="136"/>
      <c r="M156" s="102"/>
      <c r="N156" s="102"/>
      <c r="O156" s="99"/>
      <c r="P156" s="75"/>
      <c r="Q156" s="75"/>
      <c r="R156" s="75"/>
      <c r="S156" s="75"/>
      <c r="T156" s="75"/>
      <c r="U156" s="75"/>
      <c r="V156" s="75"/>
      <c r="W156" s="75"/>
      <c r="X156" s="75"/>
      <c r="Y156" s="75"/>
      <c r="Z156" s="75"/>
      <c r="AA156" s="75"/>
      <c r="AB156" s="114"/>
      <c r="AC156" s="129"/>
      <c r="AD156" s="75"/>
      <c r="AE156" s="75"/>
      <c r="AF156" s="75"/>
      <c r="AG156" s="75"/>
      <c r="AH156" s="75"/>
      <c r="AI156" s="75"/>
      <c r="AJ156" s="75"/>
      <c r="AK156" s="100"/>
      <c r="AL156" s="129"/>
      <c r="AM156" s="75"/>
      <c r="AN156" s="75"/>
      <c r="AO156" s="75"/>
      <c r="AP156" s="75"/>
      <c r="AQ156" s="75"/>
      <c r="AR156" s="75"/>
      <c r="AS156" s="75"/>
      <c r="AT156" s="75"/>
      <c r="AU156" s="75"/>
      <c r="AV156" s="75"/>
      <c r="AW156" s="75"/>
      <c r="AX156" s="100"/>
      <c r="AY156" s="115"/>
      <c r="AZ156" s="75"/>
      <c r="BA156" s="75"/>
      <c r="BB156" s="75"/>
      <c r="BC156" s="75"/>
      <c r="BD156" s="75"/>
      <c r="BE156" s="75"/>
      <c r="BF156" s="75"/>
      <c r="BG156" s="75"/>
      <c r="BH156" s="75"/>
      <c r="BI156" s="75"/>
      <c r="BJ156" s="75"/>
      <c r="BK156" s="100"/>
      <c r="BL156" s="75"/>
      <c r="BM156" s="75"/>
      <c r="BN156" s="75"/>
      <c r="BO156" s="75"/>
      <c r="BP156" s="75"/>
      <c r="BQ156" s="75"/>
      <c r="BR156" s="73"/>
      <c r="BS156" s="75"/>
      <c r="BT156" s="75"/>
      <c r="BU156" s="232"/>
      <c r="BV156" s="232"/>
      <c r="BW156" s="75"/>
      <c r="BX156" s="100"/>
      <c r="BY156" s="69"/>
      <c r="BZ156" s="75"/>
      <c r="CA156" s="75"/>
      <c r="CB156" s="75"/>
      <c r="CC156" s="75"/>
      <c r="CD156" s="75"/>
      <c r="CE156" s="295">
        <v>100000</v>
      </c>
      <c r="CF156" s="291"/>
      <c r="CG156" s="291"/>
      <c r="CH156" s="291"/>
      <c r="CI156" s="291"/>
      <c r="CJ156" s="291"/>
      <c r="CK156" s="100">
        <f>SUM(BY156:CJ156)</f>
        <v>100000</v>
      </c>
      <c r="CL156" s="130"/>
      <c r="CM156" s="449"/>
      <c r="CN156" s="434">
        <v>-100000</v>
      </c>
      <c r="CY156" s="100">
        <f t="shared" ref="CY156" si="273">SUM(CM156:CX156)</f>
        <v>-100000</v>
      </c>
      <c r="DL156" s="100">
        <f t="shared" ref="DL156" si="274">SUM(CZ156:DK156)</f>
        <v>0</v>
      </c>
    </row>
    <row r="157" spans="1:116" s="13" customFormat="1">
      <c r="B157" s="13" t="s">
        <v>227</v>
      </c>
      <c r="C157" s="32"/>
      <c r="D157" s="32"/>
      <c r="E157" s="32"/>
      <c r="F157" s="32"/>
      <c r="G157" s="32"/>
      <c r="H157" s="32"/>
      <c r="I157" s="32"/>
      <c r="J157" s="32"/>
      <c r="K157" s="32"/>
      <c r="L157" s="32"/>
      <c r="M157" s="103"/>
      <c r="N157" s="103"/>
      <c r="O157" s="169"/>
      <c r="P157" s="78"/>
      <c r="Q157" s="78"/>
      <c r="R157" s="78"/>
      <c r="S157" s="78"/>
      <c r="T157" s="78"/>
      <c r="U157" s="78"/>
      <c r="V157" s="78"/>
      <c r="W157" s="78"/>
      <c r="X157" s="78"/>
      <c r="Y157" s="78"/>
      <c r="Z157" s="78"/>
      <c r="AA157" s="78"/>
      <c r="AB157" s="184"/>
      <c r="AC157" s="131"/>
      <c r="AD157" s="78"/>
      <c r="AE157" s="78"/>
      <c r="AF157" s="78"/>
      <c r="AG157" s="78"/>
      <c r="AH157" s="78"/>
      <c r="AI157" s="78"/>
      <c r="AJ157" s="78"/>
      <c r="AK157" s="111"/>
      <c r="AL157" s="131"/>
      <c r="AM157" s="78"/>
      <c r="AN157" s="78"/>
      <c r="AO157" s="78"/>
      <c r="AP157" s="78"/>
      <c r="AQ157" s="78"/>
      <c r="AR157" s="78"/>
      <c r="AS157" s="78"/>
      <c r="AT157" s="78"/>
      <c r="AU157" s="78"/>
      <c r="AV157" s="78"/>
      <c r="AW157" s="78"/>
      <c r="AX157" s="111"/>
      <c r="AY157" s="204"/>
      <c r="AZ157" s="78"/>
      <c r="BA157" s="78"/>
      <c r="BB157" s="78"/>
      <c r="BC157" s="78"/>
      <c r="BD157" s="78"/>
      <c r="BE157" s="78"/>
      <c r="BF157" s="78"/>
      <c r="BG157" s="78"/>
      <c r="BH157" s="78"/>
      <c r="BI157" s="78"/>
      <c r="BJ157" s="78"/>
      <c r="BK157" s="111"/>
      <c r="BL157" s="78"/>
      <c r="BM157" s="78"/>
      <c r="BN157" s="78"/>
      <c r="BO157" s="78"/>
      <c r="BP157" s="78"/>
      <c r="BQ157" s="78"/>
      <c r="BR157" s="78"/>
      <c r="BS157" s="78"/>
      <c r="BT157" s="78"/>
      <c r="BU157" s="78"/>
      <c r="BV157" s="78"/>
      <c r="BW157" s="78"/>
      <c r="BX157" s="111"/>
      <c r="BY157" s="78">
        <v>0</v>
      </c>
      <c r="BZ157" s="78">
        <f>BY157+BZ156</f>
        <v>0</v>
      </c>
      <c r="CA157" s="78">
        <f t="shared" ref="CA157:CJ157" si="275">BZ157+CA156</f>
        <v>0</v>
      </c>
      <c r="CB157" s="78">
        <f t="shared" si="275"/>
        <v>0</v>
      </c>
      <c r="CC157" s="78">
        <f t="shared" si="275"/>
        <v>0</v>
      </c>
      <c r="CD157" s="78">
        <f t="shared" si="275"/>
        <v>0</v>
      </c>
      <c r="CE157" s="266">
        <f t="shared" si="275"/>
        <v>100000</v>
      </c>
      <c r="CF157" s="266">
        <f t="shared" si="275"/>
        <v>100000</v>
      </c>
      <c r="CG157" s="266">
        <f t="shared" si="275"/>
        <v>100000</v>
      </c>
      <c r="CH157" s="266">
        <f t="shared" si="275"/>
        <v>100000</v>
      </c>
      <c r="CI157" s="266">
        <f t="shared" si="275"/>
        <v>100000</v>
      </c>
      <c r="CJ157" s="266">
        <f t="shared" si="275"/>
        <v>100000</v>
      </c>
      <c r="CK157" s="111">
        <f>CJ157</f>
        <v>100000</v>
      </c>
      <c r="CL157" s="132"/>
      <c r="CM157" s="113">
        <f>CJ157+CM156</f>
        <v>100000</v>
      </c>
      <c r="CN157" s="113">
        <f>CM157+CN156</f>
        <v>0</v>
      </c>
      <c r="CO157" s="113">
        <f t="shared" ref="CO157:CX157" si="276">CN157+CO156</f>
        <v>0</v>
      </c>
      <c r="CP157" s="113">
        <f t="shared" si="276"/>
        <v>0</v>
      </c>
      <c r="CQ157" s="113">
        <f t="shared" si="276"/>
        <v>0</v>
      </c>
      <c r="CR157" s="113">
        <f t="shared" si="276"/>
        <v>0</v>
      </c>
      <c r="CS157" s="113">
        <f t="shared" si="276"/>
        <v>0</v>
      </c>
      <c r="CT157" s="113">
        <f t="shared" si="276"/>
        <v>0</v>
      </c>
      <c r="CU157" s="113">
        <f t="shared" si="276"/>
        <v>0</v>
      </c>
      <c r="CV157" s="113">
        <f t="shared" si="276"/>
        <v>0</v>
      </c>
      <c r="CW157" s="113">
        <f t="shared" si="276"/>
        <v>0</v>
      </c>
      <c r="CX157" s="113">
        <f t="shared" si="276"/>
        <v>0</v>
      </c>
      <c r="CY157" s="111"/>
      <c r="DL157" s="111"/>
    </row>
    <row r="158" spans="1:116" ht="15.75" customHeight="1">
      <c r="B158" s="9" t="s">
        <v>228</v>
      </c>
      <c r="C158" s="4"/>
      <c r="D158" s="4"/>
      <c r="E158" s="4"/>
      <c r="F158" s="4"/>
      <c r="G158" s="4"/>
      <c r="H158" s="4"/>
      <c r="I158" s="4"/>
      <c r="J158" s="4"/>
      <c r="K158" s="4"/>
      <c r="L158" s="4"/>
      <c r="M158" s="139"/>
      <c r="N158" s="139"/>
      <c r="O158" s="99"/>
      <c r="P158" s="98"/>
      <c r="Q158" s="98"/>
      <c r="R158" s="98"/>
      <c r="S158" s="98"/>
      <c r="T158" s="98"/>
      <c r="U158" s="98"/>
      <c r="V158" s="98"/>
      <c r="W158" s="98"/>
      <c r="X158" s="98"/>
      <c r="Y158" s="98"/>
      <c r="Z158" s="98"/>
      <c r="AA158" s="98"/>
      <c r="AB158" s="114"/>
      <c r="AC158" s="129"/>
      <c r="AD158" s="98"/>
      <c r="AE158" s="98"/>
      <c r="AF158" s="98"/>
      <c r="AG158" s="98"/>
      <c r="AH158" s="98"/>
      <c r="AI158" s="98"/>
      <c r="AJ158" s="98"/>
      <c r="AK158" s="100"/>
      <c r="AL158" s="129"/>
      <c r="AM158" s="75"/>
      <c r="AN158" s="75"/>
      <c r="AO158" s="75"/>
      <c r="AP158" s="69"/>
      <c r="AQ158" s="69"/>
      <c r="AR158" s="69"/>
      <c r="AS158" s="69"/>
      <c r="AT158" s="69"/>
      <c r="AU158" s="69"/>
      <c r="AV158" s="69"/>
      <c r="AW158" s="197"/>
      <c r="AX158" s="100"/>
      <c r="AY158" s="115"/>
      <c r="AZ158" s="69"/>
      <c r="BA158" s="69"/>
      <c r="BB158" s="69"/>
      <c r="BC158" s="69"/>
      <c r="BD158" s="69"/>
      <c r="BE158" s="69"/>
      <c r="BF158" s="69"/>
      <c r="BG158" s="69"/>
      <c r="BH158" s="69"/>
      <c r="BI158" s="69"/>
      <c r="BJ158" s="197"/>
      <c r="BK158" s="100"/>
      <c r="BL158" s="115"/>
      <c r="BM158" s="69"/>
      <c r="BN158" s="69"/>
      <c r="BO158" s="69"/>
      <c r="BP158" s="69"/>
      <c r="BQ158" s="69"/>
      <c r="BR158" s="69"/>
      <c r="BS158" s="69"/>
      <c r="BT158" s="69"/>
      <c r="BU158" s="69"/>
      <c r="BV158" s="69"/>
      <c r="BW158" s="197"/>
      <c r="BX158" s="100">
        <f t="shared" ref="BX158:BX191" si="277">SUM(BL158:BW158)</f>
        <v>0</v>
      </c>
      <c r="BY158" s="74"/>
      <c r="BZ158" s="74"/>
      <c r="CA158" s="74"/>
      <c r="CB158" s="74"/>
      <c r="CC158" s="74"/>
      <c r="CD158" s="74"/>
      <c r="CK158" s="100"/>
      <c r="CL158" s="130"/>
      <c r="CY158" s="100"/>
      <c r="DL158" s="100"/>
    </row>
    <row r="159" spans="1:116">
      <c r="B159" s="1" t="s">
        <v>226</v>
      </c>
      <c r="C159" s="4"/>
      <c r="D159" s="4"/>
      <c r="E159" s="4"/>
      <c r="F159" s="4"/>
      <c r="G159" s="4"/>
      <c r="H159" s="4"/>
      <c r="I159" s="4"/>
      <c r="J159" s="4"/>
      <c r="K159" s="4"/>
      <c r="L159" s="4"/>
      <c r="M159" s="139"/>
      <c r="N159" s="139"/>
      <c r="O159" s="99"/>
      <c r="P159" s="98"/>
      <c r="Q159" s="98"/>
      <c r="R159" s="98"/>
      <c r="S159" s="98"/>
      <c r="T159" s="98"/>
      <c r="U159" s="98"/>
      <c r="V159" s="98"/>
      <c r="W159" s="98"/>
      <c r="X159" s="98"/>
      <c r="Y159" s="98"/>
      <c r="Z159" s="98"/>
      <c r="AA159" s="98"/>
      <c r="AB159" s="114"/>
      <c r="AC159" s="129"/>
      <c r="AD159" s="98"/>
      <c r="AE159" s="98"/>
      <c r="AF159" s="98"/>
      <c r="AG159" s="98"/>
      <c r="AH159" s="98"/>
      <c r="AI159" s="98"/>
      <c r="AJ159" s="101">
        <v>-36271.25</v>
      </c>
      <c r="AK159" s="100"/>
      <c r="AL159" s="73">
        <v>-137070.45000000001</v>
      </c>
      <c r="AM159" s="73">
        <v>75569.109999999986</v>
      </c>
      <c r="AN159" s="73">
        <v>-23292.170000000002</v>
      </c>
      <c r="AO159" s="73">
        <v>138172.93536</v>
      </c>
      <c r="AP159" s="73">
        <v>-58987.974040000001</v>
      </c>
      <c r="AQ159" s="73">
        <v>-3729.7896000000001</v>
      </c>
      <c r="AR159" s="67">
        <v>75397.86</v>
      </c>
      <c r="AS159" s="67">
        <v>-7312.9649999999965</v>
      </c>
      <c r="AT159" s="67">
        <v>-44865.394099999998</v>
      </c>
      <c r="AU159" s="67">
        <v>-40908.382856399985</v>
      </c>
      <c r="AV159" s="67">
        <v>95321.565913899991</v>
      </c>
      <c r="AW159" s="200">
        <v>-44294.350099999996</v>
      </c>
      <c r="AX159" s="100"/>
      <c r="AY159" s="120">
        <v>28437.317270999996</v>
      </c>
      <c r="AZ159" s="67">
        <v>57025.223639999997</v>
      </c>
      <c r="BA159" s="67">
        <v>0</v>
      </c>
      <c r="BB159" s="67">
        <v>0</v>
      </c>
      <c r="BC159" s="67">
        <v>0</v>
      </c>
      <c r="BD159" s="67">
        <v>0</v>
      </c>
      <c r="BE159" s="67">
        <v>0</v>
      </c>
      <c r="BF159" s="67">
        <v>-159846.57</v>
      </c>
      <c r="BG159" s="67">
        <v>-1660.77</v>
      </c>
      <c r="BH159" s="67">
        <v>275893.68</v>
      </c>
      <c r="BI159" s="67">
        <v>60884.78</v>
      </c>
      <c r="BJ159" s="67">
        <v>-141479.12</v>
      </c>
      <c r="BK159" s="100"/>
      <c r="BL159" s="69">
        <f>SUM([1]Hoja1!AAD165:ABG165)-SUM([1]Hoja1!AAD96:ABG96)</f>
        <v>0</v>
      </c>
      <c r="BM159" s="69">
        <f>SUM([1]Hoja1!ABH165:ACL165)-SUM([1]Hoja1!ABH96:ACL96)</f>
        <v>0</v>
      </c>
      <c r="BN159" s="69">
        <f>SUM([1]Hoja1!ACM165:ADP165)-SUM([1]Hoja1!ACM96:ADP96)</f>
        <v>0</v>
      </c>
      <c r="BO159" s="69">
        <f>SUM([1]Hoja1!ADQ165:AEU165)-SUM([1]Hoja1!ADQ96:AEU96)</f>
        <v>0</v>
      </c>
      <c r="BP159" s="69">
        <f>SUM([1]Hoja1!AEV165:AFZ165)-SUM([1]Hoja1!AEV96:AFZ96)</f>
        <v>0</v>
      </c>
      <c r="BQ159" s="69">
        <f>SUM([1]Hoja1!AGA165:AHB165)-SUM([1]Hoja1!AGA96:AHB96)</f>
        <v>0</v>
      </c>
      <c r="BR159" s="69">
        <f>SUM([1]Hoja1!AEX165:AGB165)-SUM([1]Hoja1!AEX96:AGB96)</f>
        <v>0</v>
      </c>
      <c r="BS159" s="69">
        <f>SUM([1]Hoja1!AEY165:AGC165)-SUM([1]Hoja1!AEY96:AGC96)</f>
        <v>0</v>
      </c>
      <c r="BT159" s="69">
        <f>-SUM([1]Hoja1!AJK$183:AKO$183)</f>
        <v>0</v>
      </c>
      <c r="BU159" s="69">
        <f>-SUM([1]Hoja1!AKP$183:ALS$183)</f>
        <v>0</v>
      </c>
      <c r="BV159" s="69">
        <f>-SUM([1]Hoja1!AMX$183:ATL$183)</f>
        <v>0</v>
      </c>
      <c r="BW159" s="197">
        <f>-SUM([1]Hoja1!AMY$183:AOC$183)</f>
        <v>0</v>
      </c>
      <c r="BX159" s="100">
        <f t="shared" si="277"/>
        <v>0</v>
      </c>
      <c r="BY159" s="69">
        <f>-SUM([1]Hoja1!ANA$183:AOE$183)</f>
        <v>0</v>
      </c>
      <c r="BZ159" s="69">
        <f>-SUM([1]Hoja1!ANB$183:AOF$183)</f>
        <v>0</v>
      </c>
      <c r="CA159" s="69">
        <f>-SUM([1]Hoja1!ANC$183:AOG$183)</f>
        <v>0</v>
      </c>
      <c r="CB159" s="69">
        <f>-SUM([1]Hoja1!AND$183:AOH$183)</f>
        <v>0</v>
      </c>
      <c r="CC159" s="69">
        <f>-SUM([1]Hoja1!ANE$183:AOI$183)</f>
        <v>0</v>
      </c>
      <c r="CD159" s="69">
        <f>-SUM([1]Hoja1!ANF$183:AOJ$183)</f>
        <v>0</v>
      </c>
      <c r="CE159" s="83">
        <f>-SUM([1]Hoja1!ANG$183:AOK$183)</f>
        <v>0</v>
      </c>
      <c r="CF159" s="83">
        <f>-SUM([1]Hoja1!ANH$183:AOL$183)</f>
        <v>0</v>
      </c>
      <c r="CG159" s="83">
        <f>-SUM([1]Hoja1!ANI$183:AOM$183)</f>
        <v>0</v>
      </c>
      <c r="CH159" s="83">
        <f>-SUM([1]Hoja1!ANJ$183:AON$183)</f>
        <v>0</v>
      </c>
      <c r="CI159" s="83">
        <f>-SUM([1]Hoja1!ANK$183:AOO$183)</f>
        <v>0</v>
      </c>
      <c r="CJ159" s="83">
        <f>-SUM([1]Hoja1!ANL$183:AOP$183)</f>
        <v>0</v>
      </c>
      <c r="CK159" s="100">
        <f>SUM(BY159:CJ159)</f>
        <v>0</v>
      </c>
      <c r="CL159" s="130"/>
      <c r="CM159" s="387">
        <v>0</v>
      </c>
      <c r="CN159" s="387">
        <v>0</v>
      </c>
      <c r="CO159" s="387">
        <v>0</v>
      </c>
      <c r="CP159" s="387">
        <v>0</v>
      </c>
      <c r="CQ159" s="387">
        <v>0</v>
      </c>
      <c r="CR159" s="387">
        <v>0</v>
      </c>
      <c r="CS159" s="387">
        <v>0</v>
      </c>
      <c r="CT159" s="387">
        <v>0</v>
      </c>
      <c r="CU159" s="387">
        <v>0</v>
      </c>
      <c r="CV159" s="387">
        <v>0</v>
      </c>
      <c r="CW159" s="387">
        <v>0</v>
      </c>
      <c r="CX159" s="387">
        <v>0</v>
      </c>
      <c r="CY159" s="100">
        <f t="shared" ref="CY159" si="278">SUM(CM159:CX159)</f>
        <v>0</v>
      </c>
      <c r="DL159" s="100">
        <f t="shared" ref="DL159" si="279">SUM(CZ159:DK159)</f>
        <v>0</v>
      </c>
    </row>
    <row r="160" spans="1:116" s="13" customFormat="1">
      <c r="A160" s="1"/>
      <c r="B160" s="13" t="s">
        <v>227</v>
      </c>
      <c r="C160" s="32"/>
      <c r="D160" s="32"/>
      <c r="E160" s="32"/>
      <c r="F160" s="32"/>
      <c r="G160" s="32"/>
      <c r="H160" s="32"/>
      <c r="I160" s="32"/>
      <c r="J160" s="32"/>
      <c r="K160" s="32"/>
      <c r="L160" s="32"/>
      <c r="M160" s="103"/>
      <c r="N160" s="103"/>
      <c r="O160" s="169"/>
      <c r="P160" s="78"/>
      <c r="Q160" s="78"/>
      <c r="R160" s="78"/>
      <c r="S160" s="78"/>
      <c r="T160" s="78"/>
      <c r="U160" s="78"/>
      <c r="V160" s="78"/>
      <c r="W160" s="78"/>
      <c r="X160" s="78"/>
      <c r="Y160" s="78"/>
      <c r="Z160" s="78"/>
      <c r="AA160" s="78"/>
      <c r="AB160" s="184">
        <f>AA160</f>
        <v>0</v>
      </c>
      <c r="AC160" s="131"/>
      <c r="AD160" s="78"/>
      <c r="AE160" s="78"/>
      <c r="AF160" s="78"/>
      <c r="AG160" s="78"/>
      <c r="AH160" s="78"/>
      <c r="AI160" s="78"/>
      <c r="AJ160" s="78">
        <f>AJ159</f>
        <v>-36271.25</v>
      </c>
      <c r="AK160" s="111">
        <f>AJ160</f>
        <v>-36271.25</v>
      </c>
      <c r="AL160" s="131">
        <f>AJ160+AL159</f>
        <v>-173341.7</v>
      </c>
      <c r="AM160" s="78">
        <f>AL160+AM159</f>
        <v>-97772.590000000026</v>
      </c>
      <c r="AN160" s="78">
        <f>AM160+AN159</f>
        <v>-121064.76000000002</v>
      </c>
      <c r="AO160" s="78">
        <f t="shared" ref="AO160:AV160" si="280">AN160+AO159</f>
        <v>17108.175359999979</v>
      </c>
      <c r="AP160" s="78">
        <f t="shared" si="280"/>
        <v>-41879.798680000022</v>
      </c>
      <c r="AQ160" s="78">
        <f t="shared" si="280"/>
        <v>-45609.588280000025</v>
      </c>
      <c r="AR160" s="78">
        <f t="shared" si="280"/>
        <v>29788.271719999975</v>
      </c>
      <c r="AS160" s="78">
        <f t="shared" si="280"/>
        <v>22475.306719999979</v>
      </c>
      <c r="AT160" s="78">
        <f t="shared" si="280"/>
        <v>-22390.087380000019</v>
      </c>
      <c r="AU160" s="78">
        <f t="shared" si="280"/>
        <v>-63298.470236400004</v>
      </c>
      <c r="AV160" s="78">
        <f t="shared" si="280"/>
        <v>32023.095677499987</v>
      </c>
      <c r="AW160" s="78">
        <f>AV160+AW159</f>
        <v>-12271.254422500009</v>
      </c>
      <c r="AX160" s="111">
        <f>AW160</f>
        <v>-12271.254422500009</v>
      </c>
      <c r="AY160" s="204">
        <f t="shared" ref="AY160" si="281">AX160+AY159</f>
        <v>16166.062848499987</v>
      </c>
      <c r="AZ160" s="112">
        <f t="shared" ref="AZ160" si="282">AY160+AZ159</f>
        <v>73191.286488499987</v>
      </c>
      <c r="BA160" s="112">
        <f t="shared" ref="BA160" si="283">AZ160+BA159</f>
        <v>73191.286488499987</v>
      </c>
      <c r="BB160" s="112">
        <f t="shared" ref="BB160" si="284">BA160+BB159</f>
        <v>73191.286488499987</v>
      </c>
      <c r="BC160" s="112">
        <f t="shared" ref="BC160" si="285">BB160+BC159</f>
        <v>73191.286488499987</v>
      </c>
      <c r="BD160" s="112">
        <f t="shared" ref="BD160" si="286">BC160+BD159</f>
        <v>73191.286488499987</v>
      </c>
      <c r="BE160" s="112">
        <f t="shared" ref="BE160" si="287">BD160+BE159</f>
        <v>73191.286488499987</v>
      </c>
      <c r="BF160" s="112">
        <f t="shared" ref="BF160" si="288">BE160+BF159</f>
        <v>-86655.28351150002</v>
      </c>
      <c r="BG160" s="112">
        <f t="shared" ref="BG160" si="289">BF160+BG159</f>
        <v>-88316.053511500024</v>
      </c>
      <c r="BH160" s="112">
        <f t="shared" ref="BH160" si="290">BG160+BH159</f>
        <v>187577.62648849998</v>
      </c>
      <c r="BI160" s="112">
        <f t="shared" ref="BI160" si="291">BH160+BI159</f>
        <v>248462.40648849998</v>
      </c>
      <c r="BJ160" s="198">
        <f t="shared" ref="BJ160" si="292">BI160+BJ159</f>
        <v>106983.28648849999</v>
      </c>
      <c r="BK160" s="111">
        <f>BJ160</f>
        <v>106983.28648849999</v>
      </c>
      <c r="BL160" s="204">
        <f t="shared" ref="BL160" si="293">BK160+BL159</f>
        <v>106983.28648849999</v>
      </c>
      <c r="BM160" s="112">
        <f t="shared" ref="BM160" si="294">BL160+BM159</f>
        <v>106983.28648849999</v>
      </c>
      <c r="BN160" s="112">
        <f t="shared" ref="BN160" si="295">BM160+BN159</f>
        <v>106983.28648849999</v>
      </c>
      <c r="BO160" s="112">
        <f t="shared" ref="BO160" si="296">BN160+BO159</f>
        <v>106983.28648849999</v>
      </c>
      <c r="BP160" s="112">
        <f t="shared" ref="BP160" si="297">BO160+BP159</f>
        <v>106983.28648849999</v>
      </c>
      <c r="BQ160" s="112">
        <f t="shared" ref="BQ160" si="298">BP160+BQ159</f>
        <v>106983.28648849999</v>
      </c>
      <c r="BR160" s="112">
        <f t="shared" ref="BR160" si="299">BQ160+BR159</f>
        <v>106983.28648849999</v>
      </c>
      <c r="BS160" s="112">
        <f t="shared" ref="BS160" si="300">BR160+BS159</f>
        <v>106983.28648849999</v>
      </c>
      <c r="BT160" s="112">
        <f t="shared" ref="BT160" si="301">BS160+BT159</f>
        <v>106983.28648849999</v>
      </c>
      <c r="BU160" s="112">
        <f t="shared" ref="BU160" si="302">BT160+BU159</f>
        <v>106983.28648849999</v>
      </c>
      <c r="BV160" s="112">
        <f t="shared" ref="BV160" si="303">BU160+BV159</f>
        <v>106983.28648849999</v>
      </c>
      <c r="BW160" s="198">
        <f t="shared" ref="BW160" si="304">BV160+BW159</f>
        <v>106983.28648849999</v>
      </c>
      <c r="BX160" s="111">
        <f>BW160</f>
        <v>106983.28648849999</v>
      </c>
      <c r="BY160" s="112">
        <f t="shared" ref="BY160:BZ160" si="305">BX160+BY159</f>
        <v>106983.28648849999</v>
      </c>
      <c r="BZ160" s="112">
        <f t="shared" si="305"/>
        <v>106983.28648849999</v>
      </c>
      <c r="CA160" s="112">
        <f t="shared" ref="CA160" si="306">BZ160+CA159</f>
        <v>106983.28648849999</v>
      </c>
      <c r="CB160" s="112">
        <f t="shared" ref="CB160" si="307">CA160+CB159</f>
        <v>106983.28648849999</v>
      </c>
      <c r="CC160" s="112">
        <f t="shared" ref="CC160" si="308">CB160+CC159</f>
        <v>106983.28648849999</v>
      </c>
      <c r="CD160" s="112">
        <f t="shared" ref="CD160" si="309">CC160+CD159</f>
        <v>106983.28648849999</v>
      </c>
      <c r="CE160" s="113">
        <f t="shared" ref="CE160" si="310">CD160+CE159</f>
        <v>106983.28648849999</v>
      </c>
      <c r="CF160" s="113">
        <f t="shared" ref="CF160" si="311">CE160+CF159</f>
        <v>106983.28648849999</v>
      </c>
      <c r="CG160" s="113">
        <f t="shared" ref="CG160" si="312">CF160+CG159</f>
        <v>106983.28648849999</v>
      </c>
      <c r="CH160" s="113">
        <f t="shared" ref="CH160" si="313">CG160+CH159</f>
        <v>106983.28648849999</v>
      </c>
      <c r="CI160" s="113">
        <f>CH160+CI159</f>
        <v>106983.28648849999</v>
      </c>
      <c r="CJ160" s="113">
        <f t="shared" ref="CJ160" si="314">CI160+CJ159</f>
        <v>106983.28648849999</v>
      </c>
      <c r="CK160" s="111">
        <f>CJ160</f>
        <v>106983.28648849999</v>
      </c>
      <c r="CL160" s="132"/>
      <c r="CM160" s="113">
        <f>CJ160+CM159</f>
        <v>106983.28648849999</v>
      </c>
      <c r="CN160" s="113">
        <f t="shared" ref="CN160:CX160" si="315">CM160+CN159</f>
        <v>106983.28648849999</v>
      </c>
      <c r="CO160" s="113">
        <f t="shared" si="315"/>
        <v>106983.28648849999</v>
      </c>
      <c r="CP160" s="113">
        <f t="shared" si="315"/>
        <v>106983.28648849999</v>
      </c>
      <c r="CQ160" s="113">
        <f t="shared" si="315"/>
        <v>106983.28648849999</v>
      </c>
      <c r="CR160" s="113">
        <f t="shared" si="315"/>
        <v>106983.28648849999</v>
      </c>
      <c r="CS160" s="113">
        <f t="shared" si="315"/>
        <v>106983.28648849999</v>
      </c>
      <c r="CT160" s="113">
        <f t="shared" si="315"/>
        <v>106983.28648849999</v>
      </c>
      <c r="CU160" s="113">
        <f t="shared" si="315"/>
        <v>106983.28648849999</v>
      </c>
      <c r="CV160" s="113">
        <f t="shared" si="315"/>
        <v>106983.28648849999</v>
      </c>
      <c r="CW160" s="113">
        <f t="shared" si="315"/>
        <v>106983.28648849999</v>
      </c>
      <c r="CX160" s="113">
        <f t="shared" si="315"/>
        <v>106983.28648849999</v>
      </c>
      <c r="CY160" s="111">
        <f>CX160</f>
        <v>106983.28648849999</v>
      </c>
      <c r="DL160" s="111">
        <f>DK160</f>
        <v>0</v>
      </c>
    </row>
    <row r="161" spans="2:116">
      <c r="B161" s="9" t="s">
        <v>229</v>
      </c>
      <c r="C161" s="4"/>
      <c r="D161" s="4"/>
      <c r="E161" s="4"/>
      <c r="F161" s="4"/>
      <c r="G161" s="4"/>
      <c r="H161" s="4"/>
      <c r="I161" s="4"/>
      <c r="J161" s="4"/>
      <c r="K161" s="4"/>
      <c r="L161" s="4"/>
      <c r="M161" s="139"/>
      <c r="N161" s="139"/>
      <c r="O161" s="99"/>
      <c r="P161" s="98"/>
      <c r="Q161" s="98"/>
      <c r="R161" s="98"/>
      <c r="S161" s="98"/>
      <c r="T161" s="98"/>
      <c r="U161" s="98"/>
      <c r="V161" s="98"/>
      <c r="W161" s="98"/>
      <c r="X161" s="98"/>
      <c r="Y161" s="98"/>
      <c r="Z161" s="98"/>
      <c r="AA161" s="98"/>
      <c r="AB161" s="114"/>
      <c r="AC161" s="129"/>
      <c r="AD161" s="98"/>
      <c r="AE161" s="98"/>
      <c r="AF161" s="98"/>
      <c r="AG161" s="98"/>
      <c r="AH161" s="98"/>
      <c r="AI161" s="98"/>
      <c r="AJ161" s="98"/>
      <c r="AK161" s="100"/>
      <c r="AL161" s="129"/>
      <c r="AM161" s="75"/>
      <c r="AN161" s="75"/>
      <c r="AO161" s="75"/>
      <c r="AP161" s="69"/>
      <c r="AQ161" s="69"/>
      <c r="AR161" s="69"/>
      <c r="AS161" s="69"/>
      <c r="AT161" s="69"/>
      <c r="AU161" s="69"/>
      <c r="AV161" s="69"/>
      <c r="AW161" s="197"/>
      <c r="AX161" s="100"/>
      <c r="AY161" s="115"/>
      <c r="AZ161" s="69"/>
      <c r="BA161" s="69"/>
      <c r="BB161" s="69"/>
      <c r="BC161" s="69"/>
      <c r="BD161" s="69"/>
      <c r="BE161" s="69"/>
      <c r="BF161" s="69"/>
      <c r="BG161" s="69"/>
      <c r="BH161" s="69"/>
      <c r="BI161" s="69"/>
      <c r="BJ161" s="197"/>
      <c r="BK161" s="100"/>
      <c r="BL161" s="115"/>
      <c r="BM161" s="69"/>
      <c r="BN161" s="69"/>
      <c r="BO161" s="69"/>
      <c r="BP161" s="69"/>
      <c r="BQ161" s="69"/>
      <c r="BR161" s="69"/>
      <c r="BS161" s="69"/>
      <c r="BT161" s="69"/>
      <c r="BU161" s="69"/>
      <c r="BV161" s="69"/>
      <c r="BW161" s="197"/>
      <c r="BX161" s="100"/>
      <c r="BY161" s="74"/>
      <c r="BZ161" s="74"/>
      <c r="CA161" s="74"/>
      <c r="CB161" s="74"/>
      <c r="CC161" s="74"/>
      <c r="CD161" s="74"/>
      <c r="CK161" s="100"/>
      <c r="CL161" s="130"/>
      <c r="CY161" s="100"/>
      <c r="DL161" s="100"/>
    </row>
    <row r="162" spans="2:116">
      <c r="B162" s="1" t="s">
        <v>226</v>
      </c>
      <c r="C162" s="4"/>
      <c r="D162" s="4"/>
      <c r="E162" s="4"/>
      <c r="F162" s="4"/>
      <c r="G162" s="4"/>
      <c r="H162" s="4"/>
      <c r="I162" s="4"/>
      <c r="J162" s="4"/>
      <c r="K162" s="4"/>
      <c r="L162" s="4"/>
      <c r="M162" s="139"/>
      <c r="N162" s="139"/>
      <c r="O162" s="99"/>
      <c r="P162" s="98"/>
      <c r="Q162" s="98"/>
      <c r="R162" s="98"/>
      <c r="S162" s="98"/>
      <c r="T162" s="98"/>
      <c r="U162" s="98"/>
      <c r="V162" s="101">
        <f>-(1265.25*2+582.75)</f>
        <v>-3113.25</v>
      </c>
      <c r="W162" s="101">
        <f>-(1265.25+582.75)</f>
        <v>-1848</v>
      </c>
      <c r="X162" s="101">
        <f>-6000-6600-1848</f>
        <v>-14448</v>
      </c>
      <c r="Y162" s="101">
        <f>-3680.82-2500-1848</f>
        <v>-8028.82</v>
      </c>
      <c r="Z162" s="101">
        <f>-10000-5500-1848</f>
        <v>-17348</v>
      </c>
      <c r="AA162" s="101">
        <f>-7000-1848</f>
        <v>-8848</v>
      </c>
      <c r="AB162" s="114"/>
      <c r="AC162" s="150">
        <f>-7000-1848</f>
        <v>-8848</v>
      </c>
      <c r="AD162" s="101">
        <f>-10000-10000-1848</f>
        <v>-21848</v>
      </c>
      <c r="AE162" s="101">
        <v>-1848</v>
      </c>
      <c r="AF162" s="101">
        <f>-2000-1848</f>
        <v>-3848</v>
      </c>
      <c r="AG162" s="101">
        <v>-1848</v>
      </c>
      <c r="AH162" s="101">
        <v>-1848</v>
      </c>
      <c r="AI162" s="101">
        <v>-1848</v>
      </c>
      <c r="AJ162" s="101">
        <v>-1848</v>
      </c>
      <c r="AK162" s="100"/>
      <c r="AL162" s="150">
        <v>2124.54</v>
      </c>
      <c r="AM162" s="73">
        <v>-1987.5</v>
      </c>
      <c r="AN162" s="73">
        <v>-31582.75</v>
      </c>
      <c r="AO162" s="73">
        <v>-11082.75</v>
      </c>
      <c r="AP162" s="73">
        <v>-23500</v>
      </c>
      <c r="AQ162" s="73">
        <v>0</v>
      </c>
      <c r="AR162" s="73">
        <v>0</v>
      </c>
      <c r="AS162" s="73">
        <v>0</v>
      </c>
      <c r="AT162" s="73">
        <v>-5000</v>
      </c>
      <c r="AU162" s="73">
        <v>-10400</v>
      </c>
      <c r="AV162" s="73">
        <v>-6000</v>
      </c>
      <c r="AW162" s="73">
        <v>-14500</v>
      </c>
      <c r="AX162" s="100"/>
      <c r="AY162" s="120">
        <v>-52300</v>
      </c>
      <c r="AZ162" s="67">
        <v>-25155.879999999997</v>
      </c>
      <c r="BA162" s="67">
        <v>-36300</v>
      </c>
      <c r="BB162" s="67">
        <v>0</v>
      </c>
      <c r="BC162" s="67">
        <v>-11500</v>
      </c>
      <c r="BD162" s="67">
        <v>-27000</v>
      </c>
      <c r="BE162" s="67">
        <v>-4000</v>
      </c>
      <c r="BF162" s="67">
        <f>-8000</f>
        <v>-8000</v>
      </c>
      <c r="BG162" s="67">
        <f>-2000-2500-3000-8930-15129.86-10000</f>
        <v>-41559.86</v>
      </c>
      <c r="BH162" s="68">
        <f>-3000-2000-20000-23000-6500</f>
        <v>-54500</v>
      </c>
      <c r="BI162" s="67">
        <f>-'[2]Ing y gtos'!$AQ$185</f>
        <v>-47500</v>
      </c>
      <c r="BJ162" s="68">
        <f>-(7000+46000+3000+2000+16000+8930)</f>
        <v>-82930</v>
      </c>
      <c r="BK162" s="114"/>
      <c r="BL162" s="241">
        <f>-(17000+92000+7000+20000)-1400</f>
        <v>-137400</v>
      </c>
      <c r="BM162" s="68">
        <f>-(2000+4000+8700+10000+11000+2000+13000)</f>
        <v>-50700</v>
      </c>
      <c r="BN162" s="68">
        <f>-3000-23000-19000-22000-8930-6000</f>
        <v>-81930</v>
      </c>
      <c r="BO162" s="68">
        <f>-27000-78000-1500</f>
        <v>-106500</v>
      </c>
      <c r="BP162" s="68">
        <f>-2000-2000-8000-28000-5000-68000</f>
        <v>-113000</v>
      </c>
      <c r="BQ162" s="68">
        <f>-5000-3000-12000-8930-2000</f>
        <v>-30930</v>
      </c>
      <c r="BR162" s="68">
        <f>-'[3]Ing y gtos'!BA216</f>
        <v>-44000</v>
      </c>
      <c r="BS162" s="68">
        <f>-'[4]Ing y gtos'!BB218</f>
        <v>-19820</v>
      </c>
      <c r="BT162" s="68">
        <f>-'[4]Ing y gtos'!BC218</f>
        <v>-56355</v>
      </c>
      <c r="BU162" s="68">
        <f>-'[4]Ing y gtos'!$BD$218</f>
        <v>-18580</v>
      </c>
      <c r="BV162" s="68">
        <f>-'[4]Ing y gtos'!$BE$218</f>
        <v>-19024</v>
      </c>
      <c r="BW162" s="68">
        <f>-'[4]Ing y gtos'!$BF$218</f>
        <v>-9464.5400000000009</v>
      </c>
      <c r="BX162" s="100"/>
      <c r="BY162" s="69"/>
      <c r="BZ162" s="69"/>
      <c r="CA162" s="69"/>
      <c r="CB162" s="69"/>
      <c r="CC162" s="69"/>
      <c r="CD162" s="69"/>
      <c r="CE162" s="83"/>
      <c r="CF162" s="83"/>
      <c r="CG162" s="83"/>
      <c r="CH162" s="83"/>
      <c r="CI162" s="83"/>
      <c r="CJ162" s="83"/>
      <c r="CK162" s="100">
        <f>SUM(BY162:CJ162)</f>
        <v>0</v>
      </c>
      <c r="CL162" s="130"/>
      <c r="CY162" s="100">
        <f t="shared" ref="CY162" si="316">SUM(CM162:CX162)</f>
        <v>0</v>
      </c>
      <c r="DL162" s="100">
        <f t="shared" ref="DL162" si="317">SUM(CZ162:DK162)</f>
        <v>0</v>
      </c>
    </row>
    <row r="163" spans="2:116" s="13" customFormat="1">
      <c r="B163" s="13" t="s">
        <v>227</v>
      </c>
      <c r="C163" s="32"/>
      <c r="D163" s="32"/>
      <c r="E163" s="32"/>
      <c r="F163" s="32"/>
      <c r="G163" s="32"/>
      <c r="H163" s="32"/>
      <c r="I163" s="32"/>
      <c r="J163" s="32"/>
      <c r="K163" s="32"/>
      <c r="L163" s="32"/>
      <c r="M163" s="103"/>
      <c r="N163" s="103"/>
      <c r="O163" s="210"/>
      <c r="P163" s="78"/>
      <c r="Q163" s="78"/>
      <c r="R163" s="78"/>
      <c r="S163" s="78"/>
      <c r="T163" s="78"/>
      <c r="U163" s="78"/>
      <c r="V163" s="78">
        <f>V162</f>
        <v>-3113.25</v>
      </c>
      <c r="W163" s="78">
        <f>V163+W162</f>
        <v>-4961.25</v>
      </c>
      <c r="X163" s="78">
        <f>W163+X162</f>
        <v>-19409.25</v>
      </c>
      <c r="Y163" s="78">
        <f>X163+Y162</f>
        <v>-27438.07</v>
      </c>
      <c r="Z163" s="78">
        <f>Y163+Z162</f>
        <v>-44786.07</v>
      </c>
      <c r="AA163" s="78">
        <f>Z163+AA162</f>
        <v>-53634.07</v>
      </c>
      <c r="AB163" s="184">
        <f>AA163</f>
        <v>-53634.07</v>
      </c>
      <c r="AC163" s="131">
        <f>AA163+AC162</f>
        <v>-62482.07</v>
      </c>
      <c r="AD163" s="78">
        <f t="shared" ref="AD163:AJ163" si="318">AC163+AD162</f>
        <v>-84330.07</v>
      </c>
      <c r="AE163" s="78">
        <f t="shared" si="318"/>
        <v>-86178.07</v>
      </c>
      <c r="AF163" s="78">
        <f t="shared" si="318"/>
        <v>-90026.07</v>
      </c>
      <c r="AG163" s="78">
        <f t="shared" si="318"/>
        <v>-91874.07</v>
      </c>
      <c r="AH163" s="78">
        <f t="shared" si="318"/>
        <v>-93722.07</v>
      </c>
      <c r="AI163" s="78">
        <f t="shared" si="318"/>
        <v>-95570.07</v>
      </c>
      <c r="AJ163" s="78">
        <f t="shared" si="318"/>
        <v>-97418.07</v>
      </c>
      <c r="AK163" s="111">
        <f>AJ163</f>
        <v>-97418.07</v>
      </c>
      <c r="AL163" s="131">
        <f>AJ163+AL162</f>
        <v>-95293.530000000013</v>
      </c>
      <c r="AM163" s="78">
        <f>AL163+AM162</f>
        <v>-97281.030000000013</v>
      </c>
      <c r="AN163" s="78">
        <f>AM163+AN162</f>
        <v>-128863.78000000001</v>
      </c>
      <c r="AO163" s="78">
        <f t="shared" ref="AO163:AT163" si="319">AN163+AO162</f>
        <v>-139946.53000000003</v>
      </c>
      <c r="AP163" s="78">
        <f t="shared" si="319"/>
        <v>-163446.53000000003</v>
      </c>
      <c r="AQ163" s="78">
        <f t="shared" si="319"/>
        <v>-163446.53000000003</v>
      </c>
      <c r="AR163" s="78">
        <f t="shared" si="319"/>
        <v>-163446.53000000003</v>
      </c>
      <c r="AS163" s="78">
        <f t="shared" si="319"/>
        <v>-163446.53000000003</v>
      </c>
      <c r="AT163" s="78">
        <f t="shared" si="319"/>
        <v>-168446.53000000003</v>
      </c>
      <c r="AU163" s="78">
        <f>AT163+AU162</f>
        <v>-178846.53000000003</v>
      </c>
      <c r="AV163" s="78">
        <f>AU163+AV162</f>
        <v>-184846.53000000003</v>
      </c>
      <c r="AW163" s="78">
        <f>AV163+AW162</f>
        <v>-199346.53000000003</v>
      </c>
      <c r="AX163" s="184">
        <f>AW163</f>
        <v>-199346.53000000003</v>
      </c>
      <c r="AY163" s="127">
        <f t="shared" ref="AY163" si="320">AX163+AY162</f>
        <v>-251646.53000000003</v>
      </c>
      <c r="AZ163" s="69">
        <f t="shared" ref="AZ163" si="321">AY163+AZ162</f>
        <v>-276802.41000000003</v>
      </c>
      <c r="BA163" s="69">
        <f t="shared" ref="BA163" si="322">AZ163+BA162</f>
        <v>-313102.41000000003</v>
      </c>
      <c r="BB163" s="112">
        <f t="shared" ref="BB163" si="323">BA163+BB162</f>
        <v>-313102.41000000003</v>
      </c>
      <c r="BC163" s="112">
        <f t="shared" ref="BC163" si="324">BB163+BC162</f>
        <v>-324602.41000000003</v>
      </c>
      <c r="BD163" s="112">
        <f t="shared" ref="BD163" si="325">BC163+BD162</f>
        <v>-351602.41000000003</v>
      </c>
      <c r="BE163" s="112">
        <f t="shared" ref="BE163" si="326">BD163+BE162</f>
        <v>-355602.41000000003</v>
      </c>
      <c r="BF163" s="112">
        <f t="shared" ref="BF163" si="327">BE163+BF162</f>
        <v>-363602.41000000003</v>
      </c>
      <c r="BG163" s="112">
        <f t="shared" ref="BG163" si="328">BF163+BG162</f>
        <v>-405162.27</v>
      </c>
      <c r="BH163" s="228">
        <f t="shared" ref="BH163" si="329">BG163+BH162</f>
        <v>-459662.27</v>
      </c>
      <c r="BI163" s="112">
        <f t="shared" ref="BI163" si="330">BH163+BI162</f>
        <v>-507162.27</v>
      </c>
      <c r="BJ163" s="112">
        <f t="shared" ref="BJ163" si="331">BI163+BJ162</f>
        <v>-590092.27</v>
      </c>
      <c r="BK163" s="111">
        <f>BJ163</f>
        <v>-590092.27</v>
      </c>
      <c r="BL163" s="112">
        <f t="shared" ref="BL163" si="332">BK163+BL162</f>
        <v>-727492.27</v>
      </c>
      <c r="BM163" s="112">
        <f t="shared" ref="BM163" si="333">BL163+BM162</f>
        <v>-778192.27</v>
      </c>
      <c r="BN163" s="246">
        <f t="shared" ref="BN163" si="334">BM163+BN162</f>
        <v>-860122.27</v>
      </c>
      <c r="BO163" s="112">
        <f t="shared" ref="BO163" si="335">BN163+BO162</f>
        <v>-966622.27</v>
      </c>
      <c r="BP163" s="112">
        <f t="shared" ref="BP163" si="336">BO163+BP162</f>
        <v>-1079622.27</v>
      </c>
      <c r="BQ163" s="112">
        <f t="shared" ref="BQ163" si="337">BP163+BQ162</f>
        <v>-1110552.27</v>
      </c>
      <c r="BR163" s="112">
        <f t="shared" ref="BR163" si="338">BQ163+BR162</f>
        <v>-1154552.27</v>
      </c>
      <c r="BS163" s="112">
        <f t="shared" ref="BS163" si="339">BR163+BS162</f>
        <v>-1174372.27</v>
      </c>
      <c r="BT163" s="112">
        <f t="shared" ref="BT163" si="340">BS163+BT162</f>
        <v>-1230727.27</v>
      </c>
      <c r="BU163" s="112">
        <f t="shared" ref="BU163" si="341">BT163+BU162</f>
        <v>-1249307.27</v>
      </c>
      <c r="BV163" s="112">
        <f t="shared" ref="BV163" si="342">BU163+BV162</f>
        <v>-1268331.27</v>
      </c>
      <c r="BW163" s="112">
        <f t="shared" ref="BW163" si="343">BV163+BW162</f>
        <v>-1277795.81</v>
      </c>
      <c r="BX163" s="111">
        <f>BW163</f>
        <v>-1277795.81</v>
      </c>
      <c r="BY163" s="112">
        <f t="shared" ref="BY163" si="344">BX163+BY162</f>
        <v>-1277795.81</v>
      </c>
      <c r="BZ163" s="112">
        <f t="shared" ref="BZ163" si="345">BY163+BZ162</f>
        <v>-1277795.81</v>
      </c>
      <c r="CA163" s="112">
        <f t="shared" ref="CA163" si="346">BZ163+CA162</f>
        <v>-1277795.81</v>
      </c>
      <c r="CB163" s="112">
        <f t="shared" ref="CB163" si="347">CA163+CB162</f>
        <v>-1277795.81</v>
      </c>
      <c r="CC163" s="112">
        <f t="shared" ref="CC163" si="348">CB163+CC162</f>
        <v>-1277795.81</v>
      </c>
      <c r="CD163" s="112">
        <f t="shared" ref="CD163" si="349">CC163+CD162</f>
        <v>-1277795.81</v>
      </c>
      <c r="CE163" s="113">
        <f t="shared" ref="CE163" si="350">CD163+CE162</f>
        <v>-1277795.81</v>
      </c>
      <c r="CF163" s="113">
        <f t="shared" ref="CF163" si="351">CE163+CF162</f>
        <v>-1277795.81</v>
      </c>
      <c r="CG163" s="113">
        <f t="shared" ref="CG163" si="352">CF163+CG162</f>
        <v>-1277795.81</v>
      </c>
      <c r="CH163" s="113">
        <f t="shared" ref="CH163" si="353">CG163+CH162</f>
        <v>-1277795.81</v>
      </c>
      <c r="CI163" s="113">
        <f t="shared" ref="CI163" si="354">CH163+CI162</f>
        <v>-1277795.81</v>
      </c>
      <c r="CJ163" s="113">
        <f t="shared" ref="CJ163" si="355">CI163+CJ162</f>
        <v>-1277795.81</v>
      </c>
      <c r="CK163" s="111">
        <f>CJ163</f>
        <v>-1277795.81</v>
      </c>
      <c r="CL163" s="132"/>
      <c r="CM163" s="113">
        <f>CJ163+CM162</f>
        <v>-1277795.81</v>
      </c>
      <c r="CN163" s="113">
        <f t="shared" ref="CN163" si="356">CM163+CN162</f>
        <v>-1277795.81</v>
      </c>
      <c r="CO163" s="113">
        <f t="shared" ref="CO163" si="357">CN163+CO162</f>
        <v>-1277795.81</v>
      </c>
      <c r="CP163" s="113">
        <f t="shared" ref="CP163" si="358">CO163+CP162</f>
        <v>-1277795.81</v>
      </c>
      <c r="CQ163" s="113">
        <f t="shared" ref="CQ163" si="359">CP163+CQ162</f>
        <v>-1277795.81</v>
      </c>
      <c r="CR163" s="113">
        <f t="shared" ref="CR163" si="360">CQ163+CR162</f>
        <v>-1277795.81</v>
      </c>
      <c r="CS163" s="113">
        <f t="shared" ref="CS163" si="361">CR163+CS162</f>
        <v>-1277795.81</v>
      </c>
      <c r="CT163" s="113">
        <f t="shared" ref="CT163" si="362">CS163+CT162</f>
        <v>-1277795.81</v>
      </c>
      <c r="CU163" s="113">
        <f t="shared" ref="CU163" si="363">CT163+CU162</f>
        <v>-1277795.81</v>
      </c>
      <c r="CV163" s="113">
        <f t="shared" ref="CV163" si="364">CU163+CV162</f>
        <v>-1277795.81</v>
      </c>
      <c r="CW163" s="113">
        <f t="shared" ref="CW163" si="365">CV163+CW162</f>
        <v>-1277795.81</v>
      </c>
      <c r="CX163" s="113">
        <f t="shared" ref="CX163" si="366">CW163+CX162</f>
        <v>-1277795.81</v>
      </c>
      <c r="CY163" s="111">
        <f>CX163</f>
        <v>-1277795.81</v>
      </c>
      <c r="DL163" s="111">
        <f>DK163</f>
        <v>0</v>
      </c>
    </row>
    <row r="164" spans="2:116">
      <c r="B164" s="11" t="s">
        <v>230</v>
      </c>
      <c r="C164" s="136"/>
      <c r="D164" s="136"/>
      <c r="E164" s="136"/>
      <c r="F164" s="136"/>
      <c r="G164" s="136"/>
      <c r="H164" s="136"/>
      <c r="I164" s="136"/>
      <c r="J164" s="136"/>
      <c r="K164" s="136"/>
      <c r="L164" s="136"/>
      <c r="M164" s="102"/>
      <c r="N164" s="102"/>
      <c r="O164" s="66"/>
      <c r="P164" s="75"/>
      <c r="Q164" s="75"/>
      <c r="R164" s="75"/>
      <c r="S164" s="75"/>
      <c r="T164" s="75"/>
      <c r="U164" s="75"/>
      <c r="V164" s="75"/>
      <c r="W164" s="75"/>
      <c r="X164" s="75"/>
      <c r="Y164" s="75"/>
      <c r="Z164" s="75"/>
      <c r="AA164" s="75"/>
      <c r="AB164" s="114"/>
      <c r="AC164" s="129"/>
      <c r="AD164" s="75"/>
      <c r="AE164" s="75"/>
      <c r="AF164" s="75"/>
      <c r="AG164" s="75"/>
      <c r="AH164" s="75"/>
      <c r="AI164" s="75"/>
      <c r="AJ164" s="75"/>
      <c r="AK164" s="100"/>
      <c r="AL164" s="193"/>
      <c r="AM164" s="75"/>
      <c r="AN164" s="75"/>
      <c r="AO164" s="75"/>
      <c r="AP164" s="75"/>
      <c r="AQ164" s="75"/>
      <c r="AR164" s="75"/>
      <c r="AS164" s="75"/>
      <c r="AT164" s="75"/>
      <c r="AU164" s="75"/>
      <c r="AV164" s="75"/>
      <c r="AW164" s="75"/>
      <c r="AX164" s="114"/>
      <c r="AY164" s="120"/>
      <c r="AZ164" s="195"/>
      <c r="BA164" s="242">
        <v>28437.317270999996</v>
      </c>
      <c r="BB164" s="67">
        <v>57025.223639999997</v>
      </c>
      <c r="BC164" s="67">
        <v>0</v>
      </c>
      <c r="BD164" s="67">
        <v>0</v>
      </c>
      <c r="BE164" s="67">
        <v>0</v>
      </c>
      <c r="BF164" s="67">
        <v>0</v>
      </c>
      <c r="BG164" s="67">
        <v>0</v>
      </c>
      <c r="BH164" s="72"/>
      <c r="BI164" s="69"/>
      <c r="BJ164" s="69"/>
      <c r="BK164" s="100"/>
      <c r="BL164" s="69"/>
      <c r="BM164" s="69"/>
      <c r="BN164" s="213"/>
      <c r="BO164" s="69"/>
      <c r="BP164" s="69"/>
      <c r="BQ164" s="69"/>
      <c r="BR164" s="69"/>
      <c r="BS164" s="69"/>
      <c r="BT164" s="69"/>
      <c r="BU164" s="69"/>
      <c r="BV164" s="69"/>
      <c r="BW164" s="69"/>
      <c r="BX164" s="88"/>
      <c r="BY164" s="74"/>
      <c r="BZ164" s="74"/>
      <c r="CA164" s="74"/>
      <c r="CB164" s="74"/>
      <c r="CC164" s="74"/>
      <c r="CD164" s="74"/>
      <c r="CK164" s="100"/>
      <c r="CL164" s="130"/>
      <c r="CY164" s="100"/>
      <c r="DL164" s="100"/>
    </row>
    <row r="165" spans="2:116">
      <c r="B165" s="1" t="s">
        <v>226</v>
      </c>
      <c r="C165" s="136"/>
      <c r="D165" s="136"/>
      <c r="E165" s="136"/>
      <c r="F165" s="136"/>
      <c r="G165" s="136"/>
      <c r="H165" s="136"/>
      <c r="I165" s="136"/>
      <c r="J165" s="136"/>
      <c r="K165" s="136"/>
      <c r="L165" s="136"/>
      <c r="M165" s="102"/>
      <c r="N165" s="102"/>
      <c r="O165" s="66"/>
      <c r="P165" s="75"/>
      <c r="Q165" s="75"/>
      <c r="R165" s="75"/>
      <c r="S165" s="75"/>
      <c r="T165" s="75"/>
      <c r="U165" s="75"/>
      <c r="V165" s="75"/>
      <c r="W165" s="75"/>
      <c r="X165" s="75"/>
      <c r="Y165" s="75"/>
      <c r="Z165" s="75"/>
      <c r="AA165" s="75"/>
      <c r="AB165" s="114"/>
      <c r="AC165" s="129"/>
      <c r="AD165" s="75"/>
      <c r="AE165" s="75"/>
      <c r="AF165" s="75"/>
      <c r="AG165" s="75"/>
      <c r="AH165" s="75"/>
      <c r="AI165" s="75"/>
      <c r="AJ165" s="75"/>
      <c r="AK165" s="100"/>
      <c r="AL165" s="129"/>
      <c r="AM165" s="75"/>
      <c r="AN165" s="75"/>
      <c r="AO165" s="75"/>
      <c r="AP165" s="75"/>
      <c r="AQ165" s="73">
        <v>-3000</v>
      </c>
      <c r="AR165" s="75"/>
      <c r="AS165" s="75"/>
      <c r="AT165" s="75"/>
      <c r="AU165" s="75"/>
      <c r="AV165" s="75"/>
      <c r="AW165" s="75"/>
      <c r="AX165" s="114"/>
      <c r="AY165" s="120"/>
      <c r="AZ165" s="67">
        <v>-500</v>
      </c>
      <c r="BA165" s="67">
        <f>-'[5]Ing y gtos'!E172</f>
        <v>0</v>
      </c>
      <c r="BB165" s="67">
        <f>-'[5]Ing y gtos'!F172</f>
        <v>0</v>
      </c>
      <c r="BC165" s="67">
        <f>-'[5]Ing y gtos'!G172</f>
        <v>0</v>
      </c>
      <c r="BD165" s="67">
        <f>-'[5]Ing y gtos'!H172</f>
        <v>0</v>
      </c>
      <c r="BE165" s="67">
        <f>-'[5]Ing y gtos'!I172</f>
        <v>0</v>
      </c>
      <c r="BF165" s="67">
        <f>-'[5]Ing y gtos'!J172</f>
        <v>0</v>
      </c>
      <c r="BG165" s="67">
        <f>-'[5]Ing y gtos'!K172</f>
        <v>0</v>
      </c>
      <c r="BH165" s="67">
        <f>-'[5]Ing y gtos'!L172</f>
        <v>0</v>
      </c>
      <c r="BI165" s="67">
        <f>-'[5]Ing y gtos'!M172</f>
        <v>0</v>
      </c>
      <c r="BJ165" s="67">
        <f>-'[5]Ing y gtos'!N172</f>
        <v>0</v>
      </c>
      <c r="BK165" s="100"/>
      <c r="BL165" s="67">
        <f>-'[5]Ing y gtos'!P172</f>
        <v>0</v>
      </c>
      <c r="BM165" s="67">
        <f>-'[5]Ing y gtos'!Q172</f>
        <v>0</v>
      </c>
      <c r="BN165" s="67">
        <f>-'[5]Ing y gtos'!R172</f>
        <v>0</v>
      </c>
      <c r="BO165" s="67">
        <f>-'[5]Ing y gtos'!S172</f>
        <v>0</v>
      </c>
      <c r="BP165" s="67">
        <f>-'[5]Ing y gtos'!T172</f>
        <v>0</v>
      </c>
      <c r="BQ165" s="67">
        <f>-'[5]Ing y gtos'!U172</f>
        <v>0</v>
      </c>
      <c r="BR165" s="67">
        <f>-'[5]Ing y gtos'!V172</f>
        <v>0</v>
      </c>
      <c r="BS165" s="67">
        <f>-'[5]Ing y gtos'!W172</f>
        <v>0</v>
      </c>
      <c r="BT165" s="67">
        <f>-'[5]Ing y gtos'!X172</f>
        <v>0</v>
      </c>
      <c r="BU165" s="67">
        <f>-'[5]Ing y gtos'!Y172</f>
        <v>0</v>
      </c>
      <c r="BV165" s="67">
        <f>-'[5]Ing y gtos'!Z172</f>
        <v>0</v>
      </c>
      <c r="BW165" s="67">
        <v>-4000</v>
      </c>
      <c r="BX165" s="100"/>
      <c r="BY165" s="68">
        <f>-2000-3000</f>
        <v>-5000</v>
      </c>
      <c r="BZ165" s="68">
        <f>-3000-6000</f>
        <v>-9000</v>
      </c>
      <c r="CA165" s="68">
        <f>-'[6]Ing y gtos'!AG148</f>
        <v>0</v>
      </c>
      <c r="CB165" s="179">
        <f>-'[6]Ing y gtos'!AH148</f>
        <v>0</v>
      </c>
      <c r="CC165" s="179">
        <f>-'[6]Ing y gtos'!AI148</f>
        <v>0</v>
      </c>
      <c r="CD165" s="179">
        <f>-'[6]Ing y gtos'!AJ148</f>
        <v>0</v>
      </c>
      <c r="CE165" s="109">
        <f>(-'[6]Ing y gtos'!AK148)*0</f>
        <v>0</v>
      </c>
      <c r="CF165" s="109">
        <f>(-'[6]Ing y gtos'!AL148)*0</f>
        <v>0</v>
      </c>
      <c r="CG165" s="109">
        <f>-'[6]Ing y gtos'!AM148</f>
        <v>0</v>
      </c>
      <c r="CH165" s="109">
        <f>-'[6]Ing y gtos'!AN148</f>
        <v>0</v>
      </c>
      <c r="CI165" s="109">
        <f>-'[6]Ing y gtos'!AO148</f>
        <v>0</v>
      </c>
      <c r="CJ165" s="109">
        <f>-'[6]Ing y gtos'!AP148</f>
        <v>0</v>
      </c>
      <c r="CK165" s="100">
        <f>SUM(BY165:CJ165)</f>
        <v>-14000</v>
      </c>
      <c r="CL165" s="130"/>
      <c r="CM165" s="109">
        <f>-'[5]Ing y gtos'!AU145</f>
        <v>0</v>
      </c>
      <c r="CN165" s="109">
        <f>-'[5]Ing y gtos'!AV145</f>
        <v>0</v>
      </c>
      <c r="CO165" s="109">
        <f>-'[5]Ing y gtos'!AW145</f>
        <v>0</v>
      </c>
      <c r="CP165" s="109">
        <f>-'[5]Ing y gtos'!AX145</f>
        <v>0</v>
      </c>
      <c r="CQ165" s="109">
        <f>-'[5]Ing y gtos'!AY145</f>
        <v>0</v>
      </c>
      <c r="CR165" s="109">
        <f>-'[5]Ing y gtos'!AZ145</f>
        <v>0</v>
      </c>
      <c r="CS165" s="109">
        <f>-'[5]Ing y gtos'!BA145</f>
        <v>0</v>
      </c>
      <c r="CT165" s="109">
        <f>-'[5]Ing y gtos'!BB145</f>
        <v>0</v>
      </c>
      <c r="CU165" s="109">
        <f>-'[5]Ing y gtos'!BC145</f>
        <v>0</v>
      </c>
      <c r="CV165" s="109">
        <f>-'[5]Ing y gtos'!BD145</f>
        <v>0</v>
      </c>
      <c r="CW165" s="109">
        <f>-'[5]Ing y gtos'!BE145</f>
        <v>0</v>
      </c>
      <c r="CX165" s="109">
        <f>-'[5]Ing y gtos'!BF145</f>
        <v>0</v>
      </c>
      <c r="CY165" s="100">
        <f t="shared" ref="CY165" si="367">SUM(CM165:CX165)</f>
        <v>0</v>
      </c>
      <c r="DL165" s="100">
        <f t="shared" ref="DL165" si="368">SUM(CZ165:DK165)</f>
        <v>0</v>
      </c>
    </row>
    <row r="166" spans="2:116" s="13" customFormat="1">
      <c r="B166" s="13" t="s">
        <v>227</v>
      </c>
      <c r="C166" s="32"/>
      <c r="D166" s="32"/>
      <c r="E166" s="32"/>
      <c r="F166" s="32"/>
      <c r="G166" s="32"/>
      <c r="H166" s="32"/>
      <c r="I166" s="32"/>
      <c r="J166" s="32"/>
      <c r="K166" s="32"/>
      <c r="L166" s="32"/>
      <c r="M166" s="103"/>
      <c r="N166" s="103"/>
      <c r="O166" s="210"/>
      <c r="P166" s="78"/>
      <c r="Q166" s="78"/>
      <c r="R166" s="78"/>
      <c r="S166" s="78"/>
      <c r="T166" s="78"/>
      <c r="U166" s="78"/>
      <c r="V166" s="78"/>
      <c r="W166" s="78"/>
      <c r="X166" s="78"/>
      <c r="Y166" s="78"/>
      <c r="Z166" s="78"/>
      <c r="AA166" s="78"/>
      <c r="AB166" s="184"/>
      <c r="AC166" s="131"/>
      <c r="AD166" s="78"/>
      <c r="AE166" s="78"/>
      <c r="AF166" s="78"/>
      <c r="AG166" s="78"/>
      <c r="AH166" s="78"/>
      <c r="AI166" s="78"/>
      <c r="AJ166" s="78"/>
      <c r="AK166" s="113"/>
      <c r="AL166" s="78"/>
      <c r="AM166" s="78"/>
      <c r="AN166" s="78"/>
      <c r="AO166" s="78"/>
      <c r="AP166" s="78"/>
      <c r="AQ166" s="112">
        <f t="shared" ref="AQ166" si="369">AP166+AQ165</f>
        <v>-3000</v>
      </c>
      <c r="AR166" s="112">
        <f t="shared" ref="AR166" si="370">AQ166+AR165</f>
        <v>-3000</v>
      </c>
      <c r="AS166" s="112">
        <f t="shared" ref="AS166" si="371">AR166+AS165</f>
        <v>-3000</v>
      </c>
      <c r="AT166" s="112">
        <f t="shared" ref="AT166" si="372">AS166+AT165</f>
        <v>-3000</v>
      </c>
      <c r="AU166" s="112">
        <f t="shared" ref="AU166" si="373">AT166+AU165</f>
        <v>-3000</v>
      </c>
      <c r="AV166" s="112">
        <f t="shared" ref="AV166" si="374">AU166+AV165</f>
        <v>-3000</v>
      </c>
      <c r="AW166" s="112">
        <f t="shared" ref="AW166" si="375">AV166+AW165</f>
        <v>-3000</v>
      </c>
      <c r="AX166" s="113">
        <f>AW166</f>
        <v>-3000</v>
      </c>
      <c r="AY166" s="112">
        <f t="shared" ref="AY166:BJ166" si="376">AX166+AY165</f>
        <v>-3000</v>
      </c>
      <c r="AZ166" s="112">
        <f t="shared" si="376"/>
        <v>-3500</v>
      </c>
      <c r="BA166" s="112">
        <f t="shared" si="376"/>
        <v>-3500</v>
      </c>
      <c r="BB166" s="112">
        <f t="shared" si="376"/>
        <v>-3500</v>
      </c>
      <c r="BC166" s="112">
        <f t="shared" si="376"/>
        <v>-3500</v>
      </c>
      <c r="BD166" s="112">
        <f t="shared" si="376"/>
        <v>-3500</v>
      </c>
      <c r="BE166" s="112">
        <f t="shared" si="376"/>
        <v>-3500</v>
      </c>
      <c r="BF166" s="112">
        <f t="shared" si="376"/>
        <v>-3500</v>
      </c>
      <c r="BG166" s="112">
        <f t="shared" si="376"/>
        <v>-3500</v>
      </c>
      <c r="BH166" s="228">
        <f t="shared" si="376"/>
        <v>-3500</v>
      </c>
      <c r="BI166" s="112">
        <f t="shared" si="376"/>
        <v>-3500</v>
      </c>
      <c r="BJ166" s="112">
        <f t="shared" si="376"/>
        <v>-3500</v>
      </c>
      <c r="BK166" s="113">
        <f>BJ166</f>
        <v>-3500</v>
      </c>
      <c r="BL166" s="112">
        <f t="shared" ref="BL166:BU166" si="377">BK166+BL165</f>
        <v>-3500</v>
      </c>
      <c r="BM166" s="112">
        <f t="shared" si="377"/>
        <v>-3500</v>
      </c>
      <c r="BN166" s="246">
        <f t="shared" si="377"/>
        <v>-3500</v>
      </c>
      <c r="BO166" s="112">
        <f t="shared" si="377"/>
        <v>-3500</v>
      </c>
      <c r="BP166" s="112">
        <f t="shared" si="377"/>
        <v>-3500</v>
      </c>
      <c r="BQ166" s="112">
        <f t="shared" si="377"/>
        <v>-3500</v>
      </c>
      <c r="BR166" s="112">
        <f t="shared" si="377"/>
        <v>-3500</v>
      </c>
      <c r="BS166" s="112">
        <f t="shared" si="377"/>
        <v>-3500</v>
      </c>
      <c r="BT166" s="112">
        <f t="shared" si="377"/>
        <v>-3500</v>
      </c>
      <c r="BU166" s="112">
        <f t="shared" si="377"/>
        <v>-3500</v>
      </c>
      <c r="BV166" s="112">
        <f>BU166+BV165</f>
        <v>-3500</v>
      </c>
      <c r="BW166" s="112">
        <f>BV166+BW165</f>
        <v>-7500</v>
      </c>
      <c r="BX166" s="111">
        <f>BW166</f>
        <v>-7500</v>
      </c>
      <c r="BY166" s="112">
        <f>BX166+BY165</f>
        <v>-12500</v>
      </c>
      <c r="BZ166" s="112">
        <f t="shared" ref="BZ166:CJ166" si="378">BY166+BZ165</f>
        <v>-21500</v>
      </c>
      <c r="CA166" s="112">
        <f t="shared" si="378"/>
        <v>-21500</v>
      </c>
      <c r="CB166" s="112">
        <f t="shared" si="378"/>
        <v>-21500</v>
      </c>
      <c r="CC166" s="112">
        <f t="shared" si="378"/>
        <v>-21500</v>
      </c>
      <c r="CD166" s="112">
        <f t="shared" si="378"/>
        <v>-21500</v>
      </c>
      <c r="CE166" s="113">
        <f t="shared" si="378"/>
        <v>-21500</v>
      </c>
      <c r="CF166" s="113">
        <f t="shared" si="378"/>
        <v>-21500</v>
      </c>
      <c r="CG166" s="113">
        <f t="shared" si="378"/>
        <v>-21500</v>
      </c>
      <c r="CH166" s="113">
        <f t="shared" si="378"/>
        <v>-21500</v>
      </c>
      <c r="CI166" s="113">
        <f t="shared" si="378"/>
        <v>-21500</v>
      </c>
      <c r="CJ166" s="132">
        <f t="shared" si="378"/>
        <v>-21500</v>
      </c>
      <c r="CK166" s="132">
        <f>CJ166</f>
        <v>-21500</v>
      </c>
      <c r="CL166" s="132"/>
      <c r="CM166" s="113">
        <f>CJ166+CM165</f>
        <v>-21500</v>
      </c>
      <c r="CN166" s="113">
        <f t="shared" ref="CN166" si="379">CM166+CN165</f>
        <v>-21500</v>
      </c>
      <c r="CO166" s="113">
        <f t="shared" ref="CO166" si="380">CN166+CO165</f>
        <v>-21500</v>
      </c>
      <c r="CP166" s="113">
        <f t="shared" ref="CP166" si="381">CO166+CP165</f>
        <v>-21500</v>
      </c>
      <c r="CQ166" s="113">
        <f t="shared" ref="CQ166" si="382">CP166+CQ165</f>
        <v>-21500</v>
      </c>
      <c r="CR166" s="113">
        <f t="shared" ref="CR166" si="383">CQ166+CR165</f>
        <v>-21500</v>
      </c>
      <c r="CS166" s="113">
        <f t="shared" ref="CS166" si="384">CR166+CS165</f>
        <v>-21500</v>
      </c>
      <c r="CT166" s="113">
        <f t="shared" ref="CT166" si="385">CS166+CT165</f>
        <v>-21500</v>
      </c>
      <c r="CU166" s="113">
        <f t="shared" ref="CU166" si="386">CT166+CU165</f>
        <v>-21500</v>
      </c>
      <c r="CV166" s="113">
        <f t="shared" ref="CV166" si="387">CU166+CV165</f>
        <v>-21500</v>
      </c>
      <c r="CW166" s="113">
        <f t="shared" ref="CW166" si="388">CV166+CW165</f>
        <v>-21500</v>
      </c>
      <c r="CX166" s="113">
        <f t="shared" ref="CX166" si="389">CW166+CX165</f>
        <v>-21500</v>
      </c>
      <c r="CY166" s="100">
        <f>CX166</f>
        <v>-21500</v>
      </c>
      <c r="DL166" s="100">
        <f>DK166</f>
        <v>0</v>
      </c>
    </row>
    <row r="167" spans="2:116">
      <c r="B167" s="9" t="s">
        <v>215</v>
      </c>
      <c r="C167" s="136"/>
      <c r="D167" s="136"/>
      <c r="E167" s="136"/>
      <c r="F167" s="136"/>
      <c r="G167" s="136"/>
      <c r="H167" s="136"/>
      <c r="I167" s="136"/>
      <c r="J167" s="136"/>
      <c r="K167" s="136"/>
      <c r="L167" s="136"/>
      <c r="M167" s="102"/>
      <c r="N167" s="102"/>
      <c r="O167" s="66"/>
      <c r="P167" s="75"/>
      <c r="Q167" s="75"/>
      <c r="R167" s="75"/>
      <c r="S167" s="75"/>
      <c r="T167" s="75"/>
      <c r="U167" s="75"/>
      <c r="V167" s="75"/>
      <c r="W167" s="75"/>
      <c r="X167" s="75"/>
      <c r="Y167" s="75"/>
      <c r="Z167" s="75"/>
      <c r="AA167" s="75"/>
      <c r="AB167" s="114">
        <v>0</v>
      </c>
      <c r="AC167" s="129"/>
      <c r="AD167" s="75"/>
      <c r="AE167" s="75"/>
      <c r="AF167" s="75"/>
      <c r="AG167" s="75"/>
      <c r="AH167" s="75"/>
      <c r="AI167" s="75"/>
      <c r="AJ167" s="75"/>
      <c r="AK167" s="83"/>
      <c r="AL167" s="74"/>
      <c r="AM167" s="74"/>
      <c r="AN167" s="73"/>
      <c r="AO167" s="74"/>
      <c r="AP167" s="74"/>
      <c r="AQ167" s="74"/>
      <c r="AR167" s="74"/>
      <c r="AS167" s="74"/>
      <c r="AT167" s="74"/>
      <c r="AU167" s="74"/>
      <c r="AV167" s="74"/>
      <c r="AW167" s="74"/>
      <c r="AY167" s="67"/>
      <c r="AZ167" s="74"/>
      <c r="BA167" s="74"/>
      <c r="BB167" s="74"/>
      <c r="BC167" s="74"/>
      <c r="BD167" s="74"/>
      <c r="BE167" s="74"/>
      <c r="BF167" s="74"/>
      <c r="BG167" s="74"/>
      <c r="BH167" s="225"/>
      <c r="BI167" s="74"/>
      <c r="BJ167" s="74"/>
      <c r="BL167" s="74"/>
      <c r="BM167" s="74"/>
      <c r="BN167" s="216"/>
      <c r="BO167" s="74"/>
      <c r="BP167" s="74"/>
      <c r="BQ167" s="74"/>
      <c r="BR167" s="74"/>
      <c r="BS167" s="74"/>
      <c r="BT167" s="74"/>
      <c r="BU167" s="74"/>
      <c r="BV167" s="74"/>
      <c r="BW167" s="74"/>
      <c r="BX167" s="100"/>
      <c r="BY167" s="74"/>
      <c r="BZ167" s="74"/>
      <c r="CA167" s="74"/>
      <c r="CB167" s="74"/>
      <c r="CC167" s="74"/>
      <c r="CD167" s="74"/>
      <c r="CJ167" s="306"/>
      <c r="CL167" s="306"/>
      <c r="CY167" s="375"/>
      <c r="DL167" s="375"/>
    </row>
    <row r="168" spans="2:116">
      <c r="B168" s="1" t="s">
        <v>226</v>
      </c>
      <c r="C168" s="136"/>
      <c r="D168" s="136"/>
      <c r="E168" s="136"/>
      <c r="F168" s="136"/>
      <c r="G168" s="136"/>
      <c r="H168" s="136"/>
      <c r="I168" s="136"/>
      <c r="J168" s="136"/>
      <c r="K168" s="136"/>
      <c r="L168" s="136"/>
      <c r="M168" s="102"/>
      <c r="N168" s="102"/>
      <c r="O168" s="66"/>
      <c r="P168" s="75"/>
      <c r="Q168" s="75"/>
      <c r="R168" s="75"/>
      <c r="S168" s="75"/>
      <c r="T168" s="75"/>
      <c r="U168" s="75"/>
      <c r="V168" s="75"/>
      <c r="W168" s="75"/>
      <c r="X168" s="75"/>
      <c r="Y168" s="75"/>
      <c r="Z168" s="75"/>
      <c r="AA168" s="75"/>
      <c r="AB168" s="114"/>
      <c r="AC168" s="129"/>
      <c r="AD168" s="75"/>
      <c r="AE168" s="75"/>
      <c r="AF168" s="75"/>
      <c r="AG168" s="75"/>
      <c r="AH168" s="75"/>
      <c r="AI168" s="75"/>
      <c r="AJ168" s="75"/>
      <c r="AK168" s="114"/>
      <c r="AL168" s="150">
        <v>139.5</v>
      </c>
      <c r="AM168" s="73">
        <f>139.5</f>
        <v>139.5</v>
      </c>
      <c r="AN168" s="73"/>
      <c r="AO168" s="75"/>
      <c r="AP168" s="73">
        <f>65000+55000/1.225</f>
        <v>109897.95918367346</v>
      </c>
      <c r="AQ168" s="75"/>
      <c r="AR168" s="75"/>
      <c r="AS168" s="75"/>
      <c r="AT168" s="75"/>
      <c r="AU168" s="75"/>
      <c r="AV168" s="75"/>
      <c r="AW168" s="75"/>
      <c r="AX168" s="114"/>
      <c r="AY168" s="120">
        <f>60000+10000+58000</f>
        <v>128000</v>
      </c>
      <c r="AZ168" s="67"/>
      <c r="BA168" s="67"/>
      <c r="BB168" s="67"/>
      <c r="BC168" s="67"/>
      <c r="BD168" s="67"/>
      <c r="BE168" s="67"/>
      <c r="BF168" s="67"/>
      <c r="BG168" s="67"/>
      <c r="BH168" s="68">
        <f>-60000-15000</f>
        <v>-75000</v>
      </c>
      <c r="BI168" s="69"/>
      <c r="BJ168" s="69"/>
      <c r="BK168" s="114"/>
      <c r="BL168" s="115"/>
      <c r="BM168" s="69"/>
      <c r="BN168" s="213"/>
      <c r="BO168" s="67">
        <v>140000</v>
      </c>
      <c r="BP168" s="69"/>
      <c r="BQ168" s="69"/>
      <c r="BR168" s="69"/>
      <c r="BS168" s="69"/>
      <c r="BT168" s="69"/>
      <c r="BU168" s="69"/>
      <c r="BV168" s="69"/>
      <c r="BW168" s="69"/>
      <c r="BX168" s="100"/>
      <c r="BY168" s="68">
        <f>-2000</f>
        <v>-2000</v>
      </c>
      <c r="BZ168" s="68">
        <f>-3007.64</f>
        <v>-3007.64</v>
      </c>
      <c r="CA168" s="74"/>
      <c r="CB168" s="67">
        <f>140000-1051.96</f>
        <v>138948.04</v>
      </c>
      <c r="CC168" s="74"/>
      <c r="CD168" s="74"/>
      <c r="CF168" s="434">
        <v>-150000</v>
      </c>
      <c r="CJ168" s="306"/>
      <c r="CK168" s="100">
        <f>SUM(BY168:CJ168)</f>
        <v>-16059.599999999977</v>
      </c>
      <c r="CL168" s="130"/>
      <c r="CT168" s="434">
        <v>-140000</v>
      </c>
      <c r="CY168" s="100">
        <f t="shared" ref="CY168" si="390">SUM(CM168:CX168)</f>
        <v>-140000</v>
      </c>
      <c r="DL168" s="100">
        <f t="shared" ref="DL168" si="391">SUM(CZ168:DK168)</f>
        <v>0</v>
      </c>
    </row>
    <row r="169" spans="2:116" s="13" customFormat="1">
      <c r="B169" s="13" t="s">
        <v>227</v>
      </c>
      <c r="C169" s="32"/>
      <c r="D169" s="32"/>
      <c r="E169" s="32"/>
      <c r="F169" s="32"/>
      <c r="G169" s="32"/>
      <c r="H169" s="32"/>
      <c r="I169" s="32"/>
      <c r="J169" s="32"/>
      <c r="K169" s="32"/>
      <c r="L169" s="32"/>
      <c r="M169" s="103"/>
      <c r="N169" s="103"/>
      <c r="O169" s="210"/>
      <c r="P169" s="78"/>
      <c r="Q169" s="78"/>
      <c r="R169" s="78"/>
      <c r="S169" s="78"/>
      <c r="T169" s="78"/>
      <c r="U169" s="78"/>
      <c r="V169" s="78"/>
      <c r="W169" s="78"/>
      <c r="X169" s="78"/>
      <c r="Y169" s="78"/>
      <c r="Z169" s="78"/>
      <c r="AA169" s="78"/>
      <c r="AB169" s="184"/>
      <c r="AC169" s="131"/>
      <c r="AD169" s="78"/>
      <c r="AE169" s="78"/>
      <c r="AF169" s="78"/>
      <c r="AG169" s="78"/>
      <c r="AH169" s="78"/>
      <c r="AI169" s="78"/>
      <c r="AJ169" s="78"/>
      <c r="AK169" s="111">
        <v>0</v>
      </c>
      <c r="AL169" s="131">
        <f>AL168</f>
        <v>139.5</v>
      </c>
      <c r="AM169" s="78">
        <f t="shared" ref="AM169:AW169" si="392">AL169+AM168</f>
        <v>279</v>
      </c>
      <c r="AN169" s="78">
        <f t="shared" si="392"/>
        <v>279</v>
      </c>
      <c r="AO169" s="78">
        <f t="shared" si="392"/>
        <v>279</v>
      </c>
      <c r="AP169" s="78">
        <f t="shared" si="392"/>
        <v>110176.95918367346</v>
      </c>
      <c r="AQ169" s="78">
        <f t="shared" si="392"/>
        <v>110176.95918367346</v>
      </c>
      <c r="AR169" s="78">
        <f t="shared" si="392"/>
        <v>110176.95918367346</v>
      </c>
      <c r="AS169" s="78">
        <f t="shared" si="392"/>
        <v>110176.95918367346</v>
      </c>
      <c r="AT169" s="78">
        <f t="shared" si="392"/>
        <v>110176.95918367346</v>
      </c>
      <c r="AU169" s="78">
        <f t="shared" si="392"/>
        <v>110176.95918367346</v>
      </c>
      <c r="AV169" s="78">
        <f t="shared" si="392"/>
        <v>110176.95918367346</v>
      </c>
      <c r="AW169" s="78">
        <f t="shared" si="392"/>
        <v>110176.95918367346</v>
      </c>
      <c r="AX169" s="184">
        <f>AW169</f>
        <v>110176.95918367346</v>
      </c>
      <c r="AY169" s="204">
        <f t="shared" ref="AY169:BJ169" si="393">AX169+AY168</f>
        <v>238176.95918367346</v>
      </c>
      <c r="AZ169" s="112">
        <f t="shared" si="393"/>
        <v>238176.95918367346</v>
      </c>
      <c r="BA169" s="78">
        <f t="shared" si="393"/>
        <v>238176.95918367346</v>
      </c>
      <c r="BB169" s="78">
        <f t="shared" si="393"/>
        <v>238176.95918367346</v>
      </c>
      <c r="BC169" s="78">
        <f t="shared" si="393"/>
        <v>238176.95918367346</v>
      </c>
      <c r="BD169" s="78">
        <f t="shared" si="393"/>
        <v>238176.95918367346</v>
      </c>
      <c r="BE169" s="78">
        <f t="shared" si="393"/>
        <v>238176.95918367346</v>
      </c>
      <c r="BF169" s="78">
        <f t="shared" si="393"/>
        <v>238176.95918367346</v>
      </c>
      <c r="BG169" s="112">
        <f t="shared" si="393"/>
        <v>238176.95918367346</v>
      </c>
      <c r="BH169" s="79">
        <f t="shared" si="393"/>
        <v>163176.95918367346</v>
      </c>
      <c r="BI169" s="78">
        <f t="shared" si="393"/>
        <v>163176.95918367346</v>
      </c>
      <c r="BJ169" s="78">
        <f t="shared" si="393"/>
        <v>163176.95918367346</v>
      </c>
      <c r="BK169" s="111">
        <f>BJ169</f>
        <v>163176.95918367346</v>
      </c>
      <c r="BL169" s="112">
        <f t="shared" ref="BL169:BY169" si="394">BK169+BL168</f>
        <v>163176.95918367346</v>
      </c>
      <c r="BM169" s="78">
        <f t="shared" si="394"/>
        <v>163176.95918367346</v>
      </c>
      <c r="BN169" s="247">
        <f t="shared" si="394"/>
        <v>163176.95918367346</v>
      </c>
      <c r="BO169" s="78">
        <f t="shared" si="394"/>
        <v>303176.95918367349</v>
      </c>
      <c r="BP169" s="78">
        <f t="shared" si="394"/>
        <v>303176.95918367349</v>
      </c>
      <c r="BQ169" s="78">
        <f t="shared" si="394"/>
        <v>303176.95918367349</v>
      </c>
      <c r="BR169" s="78">
        <f t="shared" si="394"/>
        <v>303176.95918367349</v>
      </c>
      <c r="BS169" s="78">
        <f t="shared" si="394"/>
        <v>303176.95918367349</v>
      </c>
      <c r="BT169" s="78">
        <f t="shared" si="394"/>
        <v>303176.95918367349</v>
      </c>
      <c r="BU169" s="78">
        <f t="shared" si="394"/>
        <v>303176.95918367349</v>
      </c>
      <c r="BV169" s="78">
        <f t="shared" si="394"/>
        <v>303176.95918367349</v>
      </c>
      <c r="BW169" s="78">
        <f t="shared" si="394"/>
        <v>303176.95918367349</v>
      </c>
      <c r="BX169" s="111">
        <f>BW169</f>
        <v>303176.95918367349</v>
      </c>
      <c r="BY169" s="78">
        <f t="shared" si="394"/>
        <v>301176.95918367349</v>
      </c>
      <c r="BZ169" s="78">
        <f t="shared" ref="BZ169" si="395">BY169+BZ168</f>
        <v>298169.31918367348</v>
      </c>
      <c r="CA169" s="78">
        <f t="shared" ref="CA169" si="396">BZ169+CA168</f>
        <v>298169.31918367348</v>
      </c>
      <c r="CB169" s="78">
        <f t="shared" ref="CB169" si="397">CA169+CB168</f>
        <v>437117.35918367351</v>
      </c>
      <c r="CC169" s="78">
        <f t="shared" ref="CC169" si="398">CB169+CC168</f>
        <v>437117.35918367351</v>
      </c>
      <c r="CD169" s="78">
        <f t="shared" ref="CD169" si="399">CC169+CD168</f>
        <v>437117.35918367351</v>
      </c>
      <c r="CE169" s="222">
        <f t="shared" ref="CE169" si="400">CD169+CE168</f>
        <v>437117.35918367351</v>
      </c>
      <c r="CF169" s="222">
        <f t="shared" ref="CF169" si="401">CE169+CF168</f>
        <v>287117.35918367351</v>
      </c>
      <c r="CG169" s="222">
        <f t="shared" ref="CG169" si="402">CF169+CG168</f>
        <v>287117.35918367351</v>
      </c>
      <c r="CH169" s="222">
        <f t="shared" ref="CH169" si="403">CG169+CH168</f>
        <v>287117.35918367351</v>
      </c>
      <c r="CI169" s="222">
        <f t="shared" ref="CI169" si="404">CH169+CI168</f>
        <v>287117.35918367351</v>
      </c>
      <c r="CJ169" s="222">
        <f t="shared" ref="CJ169" si="405">CI169+CJ168</f>
        <v>287117.35918367351</v>
      </c>
      <c r="CK169" s="111">
        <f>CJ169</f>
        <v>287117.35918367351</v>
      </c>
      <c r="CL169" s="132"/>
      <c r="CM169" s="113">
        <f>CJ169+CM168</f>
        <v>287117.35918367351</v>
      </c>
      <c r="CN169" s="113">
        <f t="shared" ref="CN169" si="406">CM169+CN168</f>
        <v>287117.35918367351</v>
      </c>
      <c r="CO169" s="113">
        <f t="shared" ref="CO169" si="407">CN169+CO168</f>
        <v>287117.35918367351</v>
      </c>
      <c r="CP169" s="113">
        <f t="shared" ref="CP169" si="408">CO169+CP168</f>
        <v>287117.35918367351</v>
      </c>
      <c r="CQ169" s="113">
        <f t="shared" ref="CQ169" si="409">CP169+CQ168</f>
        <v>287117.35918367351</v>
      </c>
      <c r="CR169" s="113">
        <f t="shared" ref="CR169" si="410">CQ169+CR168</f>
        <v>287117.35918367351</v>
      </c>
      <c r="CS169" s="113">
        <f t="shared" ref="CS169" si="411">CR169+CS168</f>
        <v>287117.35918367351</v>
      </c>
      <c r="CT169" s="113">
        <f t="shared" ref="CT169" si="412">CS169+CT168</f>
        <v>147117.35918367351</v>
      </c>
      <c r="CU169" s="113">
        <f t="shared" ref="CU169" si="413">CT169+CU168</f>
        <v>147117.35918367351</v>
      </c>
      <c r="CV169" s="113">
        <f t="shared" ref="CV169" si="414">CU169+CV168</f>
        <v>147117.35918367351</v>
      </c>
      <c r="CW169" s="113">
        <f t="shared" ref="CW169" si="415">CV169+CW168</f>
        <v>147117.35918367351</v>
      </c>
      <c r="CX169" s="113">
        <f t="shared" ref="CX169" si="416">CW169+CX168</f>
        <v>147117.35918367351</v>
      </c>
      <c r="CY169" s="111">
        <f>CX169</f>
        <v>147117.35918367351</v>
      </c>
      <c r="DL169" s="111">
        <f>DK169</f>
        <v>0</v>
      </c>
    </row>
    <row r="170" spans="2:116">
      <c r="B170" s="11" t="s">
        <v>231</v>
      </c>
      <c r="C170" s="136"/>
      <c r="D170" s="136"/>
      <c r="E170" s="136"/>
      <c r="F170" s="136"/>
      <c r="G170" s="136"/>
      <c r="H170" s="136"/>
      <c r="I170" s="136"/>
      <c r="J170" s="136"/>
      <c r="K170" s="136"/>
      <c r="L170" s="136"/>
      <c r="M170" s="102"/>
      <c r="N170" s="102"/>
      <c r="O170" s="66"/>
      <c r="P170" s="75"/>
      <c r="Q170" s="75"/>
      <c r="R170" s="75"/>
      <c r="S170" s="75"/>
      <c r="T170" s="75"/>
      <c r="U170" s="75"/>
      <c r="V170" s="75"/>
      <c r="W170" s="75"/>
      <c r="X170" s="75"/>
      <c r="Y170" s="75"/>
      <c r="Z170" s="75"/>
      <c r="AA170" s="75"/>
      <c r="AB170" s="114"/>
      <c r="AC170" s="129"/>
      <c r="AD170" s="75"/>
      <c r="AE170" s="75"/>
      <c r="AF170" s="75"/>
      <c r="AG170" s="75"/>
      <c r="AH170" s="75"/>
      <c r="AI170" s="75"/>
      <c r="AJ170" s="75"/>
      <c r="AK170" s="100"/>
      <c r="AL170" s="129"/>
      <c r="AM170" s="75"/>
      <c r="AN170" s="75"/>
      <c r="AO170" s="75"/>
      <c r="AP170" s="75"/>
      <c r="AQ170" s="75"/>
      <c r="AR170" s="75"/>
      <c r="AS170" s="75"/>
      <c r="AT170" s="75"/>
      <c r="AU170" s="75"/>
      <c r="AV170" s="75"/>
      <c r="AW170" s="75"/>
      <c r="AX170" s="114"/>
      <c r="AY170" s="120"/>
      <c r="AZ170" s="69"/>
      <c r="BA170" s="69"/>
      <c r="BB170" s="69"/>
      <c r="BC170" s="69"/>
      <c r="BD170" s="69"/>
      <c r="BE170" s="69"/>
      <c r="BF170" s="69"/>
      <c r="BG170" s="69"/>
      <c r="BH170" s="69"/>
      <c r="BI170" s="69"/>
      <c r="BJ170" s="69"/>
      <c r="BK170" s="100"/>
      <c r="BL170" s="69"/>
      <c r="BM170" s="69"/>
      <c r="BN170" s="213"/>
      <c r="BO170" s="69"/>
      <c r="BP170" s="69"/>
      <c r="BQ170" s="69"/>
      <c r="BR170" s="69"/>
      <c r="BS170" s="69"/>
      <c r="BT170" s="69"/>
      <c r="BU170" s="69"/>
      <c r="BV170" s="69"/>
      <c r="BW170" s="69"/>
      <c r="BX170" s="100"/>
      <c r="BY170" s="74"/>
      <c r="BZ170" s="74"/>
      <c r="CA170" s="74"/>
      <c r="CB170" s="74"/>
      <c r="CC170" s="74"/>
      <c r="CD170" s="74"/>
      <c r="CK170" s="100"/>
      <c r="CL170" s="130"/>
      <c r="CY170" s="100"/>
      <c r="DL170" s="100"/>
    </row>
    <row r="171" spans="2:116">
      <c r="B171" s="1" t="s">
        <v>226</v>
      </c>
      <c r="C171" s="136"/>
      <c r="D171" s="136"/>
      <c r="E171" s="136"/>
      <c r="F171" s="136"/>
      <c r="G171" s="136"/>
      <c r="H171" s="136"/>
      <c r="I171" s="136"/>
      <c r="J171" s="136"/>
      <c r="K171" s="136"/>
      <c r="L171" s="136"/>
      <c r="M171" s="102"/>
      <c r="N171" s="102"/>
      <c r="O171" s="66"/>
      <c r="P171" s="75"/>
      <c r="Q171" s="75"/>
      <c r="R171" s="75"/>
      <c r="S171" s="75"/>
      <c r="T171" s="75"/>
      <c r="U171" s="75"/>
      <c r="V171" s="75"/>
      <c r="W171" s="75"/>
      <c r="X171" s="75"/>
      <c r="Y171" s="75"/>
      <c r="Z171" s="75"/>
      <c r="AA171" s="75"/>
      <c r="AB171" s="114"/>
      <c r="AC171" s="129"/>
      <c r="AD171" s="75"/>
      <c r="AE171" s="75"/>
      <c r="AF171" s="75"/>
      <c r="AG171" s="75"/>
      <c r="AH171" s="75"/>
      <c r="AI171" s="75"/>
      <c r="AJ171" s="75"/>
      <c r="AK171" s="100"/>
      <c r="AL171" s="129"/>
      <c r="AM171" s="75"/>
      <c r="AN171" s="75"/>
      <c r="AO171" s="75"/>
      <c r="AP171" s="75"/>
      <c r="AQ171" s="75"/>
      <c r="AR171" s="75"/>
      <c r="AS171" s="75"/>
      <c r="AT171" s="75"/>
      <c r="AU171" s="75"/>
      <c r="AV171" s="75"/>
      <c r="AW171" s="75"/>
      <c r="AX171" s="114"/>
      <c r="AY171" s="120"/>
      <c r="AZ171" s="67"/>
      <c r="BA171" s="67"/>
      <c r="BB171" s="67">
        <v>8000</v>
      </c>
      <c r="BC171" s="67"/>
      <c r="BD171" s="67"/>
      <c r="BE171" s="67"/>
      <c r="BF171" s="67"/>
      <c r="BG171" s="67"/>
      <c r="BH171" s="67"/>
      <c r="BI171" s="67"/>
      <c r="BJ171" s="67"/>
      <c r="BK171" s="100"/>
      <c r="BL171" s="69"/>
      <c r="BM171" s="69"/>
      <c r="BN171" s="213"/>
      <c r="BO171" s="69"/>
      <c r="BP171" s="69"/>
      <c r="BQ171" s="69"/>
      <c r="BR171" s="69"/>
      <c r="BS171" s="69"/>
      <c r="BT171" s="69"/>
      <c r="BU171" s="69"/>
      <c r="BV171" s="69"/>
      <c r="BW171" s="69"/>
      <c r="BX171" s="100"/>
      <c r="BY171" s="74"/>
      <c r="BZ171" s="74"/>
      <c r="CA171" s="74"/>
      <c r="CB171" s="74"/>
      <c r="CC171" s="74"/>
      <c r="CD171" s="74"/>
      <c r="CK171" s="100"/>
      <c r="CL171" s="130"/>
      <c r="CY171" s="100">
        <f t="shared" ref="CY171" si="417">SUM(CM171:CX171)</f>
        <v>0</v>
      </c>
      <c r="DL171" s="100">
        <f t="shared" ref="DL171" si="418">SUM(CZ171:DK171)</f>
        <v>0</v>
      </c>
    </row>
    <row r="172" spans="2:116" s="13" customFormat="1">
      <c r="B172" s="13" t="s">
        <v>227</v>
      </c>
      <c r="C172" s="32"/>
      <c r="D172" s="32"/>
      <c r="E172" s="32"/>
      <c r="F172" s="32"/>
      <c r="G172" s="32"/>
      <c r="H172" s="32"/>
      <c r="I172" s="32"/>
      <c r="J172" s="32"/>
      <c r="K172" s="32"/>
      <c r="L172" s="32"/>
      <c r="M172" s="103"/>
      <c r="N172" s="103"/>
      <c r="O172" s="210"/>
      <c r="P172" s="78"/>
      <c r="Q172" s="78"/>
      <c r="R172" s="78"/>
      <c r="S172" s="78"/>
      <c r="T172" s="78"/>
      <c r="U172" s="78"/>
      <c r="V172" s="78"/>
      <c r="W172" s="78"/>
      <c r="X172" s="78"/>
      <c r="Y172" s="78"/>
      <c r="Z172" s="78"/>
      <c r="AA172" s="78"/>
      <c r="AB172" s="184"/>
      <c r="AC172" s="131"/>
      <c r="AD172" s="78"/>
      <c r="AE172" s="78"/>
      <c r="AF172" s="78"/>
      <c r="AG172" s="78"/>
      <c r="AH172" s="78"/>
      <c r="AI172" s="78"/>
      <c r="AJ172" s="78"/>
      <c r="AK172" s="111"/>
      <c r="AL172" s="131"/>
      <c r="AM172" s="78"/>
      <c r="AN172" s="78"/>
      <c r="AO172" s="78"/>
      <c r="AP172" s="78"/>
      <c r="AQ172" s="78"/>
      <c r="AR172" s="78"/>
      <c r="AS172" s="78"/>
      <c r="AT172" s="78"/>
      <c r="AU172" s="78"/>
      <c r="AV172" s="78"/>
      <c r="AW172" s="78"/>
      <c r="AX172" s="184"/>
      <c r="AY172" s="127"/>
      <c r="AZ172" s="112"/>
      <c r="BA172" s="112"/>
      <c r="BB172" s="112">
        <f t="shared" ref="BB172" si="419">BA172+BB171</f>
        <v>8000</v>
      </c>
      <c r="BC172" s="112">
        <f t="shared" ref="BC172" si="420">BB172+BC171</f>
        <v>8000</v>
      </c>
      <c r="BD172" s="112">
        <f t="shared" ref="BD172" si="421">BC172+BD171</f>
        <v>8000</v>
      </c>
      <c r="BE172" s="112">
        <f t="shared" ref="BE172" si="422">BD172+BE171</f>
        <v>8000</v>
      </c>
      <c r="BF172" s="112">
        <f t="shared" ref="BF172" si="423">BE172+BF171</f>
        <v>8000</v>
      </c>
      <c r="BG172" s="112">
        <f t="shared" ref="BG172" si="424">BF172+BG171</f>
        <v>8000</v>
      </c>
      <c r="BH172" s="112">
        <f t="shared" ref="BH172" si="425">BG172+BH171</f>
        <v>8000</v>
      </c>
      <c r="BI172" s="112">
        <f t="shared" ref="BI172" si="426">BH172+BI171</f>
        <v>8000</v>
      </c>
      <c r="BJ172" s="112">
        <f t="shared" ref="BJ172" si="427">BI172+BJ171</f>
        <v>8000</v>
      </c>
      <c r="BK172" s="111">
        <f>BJ172</f>
        <v>8000</v>
      </c>
      <c r="BL172" s="112">
        <f t="shared" ref="BL172" si="428">BK172+BL171</f>
        <v>8000</v>
      </c>
      <c r="BM172" s="112">
        <f t="shared" ref="BM172" si="429">BL172+BM171</f>
        <v>8000</v>
      </c>
      <c r="BN172" s="246">
        <f t="shared" ref="BN172" si="430">BM172+BN171</f>
        <v>8000</v>
      </c>
      <c r="BO172" s="112">
        <f t="shared" ref="BO172" si="431">BN172+BO171</f>
        <v>8000</v>
      </c>
      <c r="BP172" s="112">
        <f t="shared" ref="BP172" si="432">BO172+BP171</f>
        <v>8000</v>
      </c>
      <c r="BQ172" s="112">
        <f t="shared" ref="BQ172" si="433">BP172+BQ171</f>
        <v>8000</v>
      </c>
      <c r="BR172" s="112">
        <f t="shared" ref="BR172" si="434">BQ172+BR171</f>
        <v>8000</v>
      </c>
      <c r="BS172" s="112">
        <f t="shared" ref="BS172" si="435">BR172+BS171</f>
        <v>8000</v>
      </c>
      <c r="BT172" s="112">
        <f t="shared" ref="BT172" si="436">BS172+BT171</f>
        <v>8000</v>
      </c>
      <c r="BU172" s="112">
        <f t="shared" ref="BU172" si="437">BT172+BU171</f>
        <v>8000</v>
      </c>
      <c r="BV172" s="112">
        <f t="shared" ref="BV172" si="438">BU172+BV171</f>
        <v>8000</v>
      </c>
      <c r="BW172" s="112">
        <f t="shared" ref="BW172" si="439">BV172+BW171</f>
        <v>8000</v>
      </c>
      <c r="BX172" s="111">
        <f>BW172</f>
        <v>8000</v>
      </c>
      <c r="BY172" s="112">
        <f t="shared" ref="BY172" si="440">BX172+BY171</f>
        <v>8000</v>
      </c>
      <c r="BZ172" s="112">
        <f t="shared" ref="BZ172" si="441">BY172+BZ171</f>
        <v>8000</v>
      </c>
      <c r="CA172" s="112">
        <f t="shared" ref="CA172" si="442">BZ172+CA171</f>
        <v>8000</v>
      </c>
      <c r="CB172" s="112">
        <f t="shared" ref="CB172" si="443">CA172+CB171</f>
        <v>8000</v>
      </c>
      <c r="CC172" s="112">
        <f t="shared" ref="CC172" si="444">CB172+CC171</f>
        <v>8000</v>
      </c>
      <c r="CD172" s="112">
        <f t="shared" ref="CD172" si="445">CC172+CD171</f>
        <v>8000</v>
      </c>
      <c r="CE172" s="113">
        <f t="shared" ref="CE172" si="446">CD172+CE171</f>
        <v>8000</v>
      </c>
      <c r="CF172" s="113">
        <f t="shared" ref="CF172" si="447">CE172+CF171</f>
        <v>8000</v>
      </c>
      <c r="CG172" s="113">
        <f t="shared" ref="CG172" si="448">CF172+CG171</f>
        <v>8000</v>
      </c>
      <c r="CH172" s="113">
        <f t="shared" ref="CH172" si="449">CG172+CH171</f>
        <v>8000</v>
      </c>
      <c r="CI172" s="113">
        <f t="shared" ref="CI172" si="450">CH172+CI171</f>
        <v>8000</v>
      </c>
      <c r="CJ172" s="113">
        <f t="shared" ref="CJ172" si="451">CI172+CJ171</f>
        <v>8000</v>
      </c>
      <c r="CK172" s="111">
        <f>CJ172+CK171</f>
        <v>8000</v>
      </c>
      <c r="CL172" s="132"/>
      <c r="CM172" s="113">
        <f>CJ172+CM171</f>
        <v>8000</v>
      </c>
      <c r="CN172" s="113">
        <f t="shared" ref="CN172" si="452">CM172+CN171</f>
        <v>8000</v>
      </c>
      <c r="CO172" s="113">
        <f t="shared" ref="CO172" si="453">CN172+CO171</f>
        <v>8000</v>
      </c>
      <c r="CP172" s="113">
        <f t="shared" ref="CP172" si="454">CO172+CP171</f>
        <v>8000</v>
      </c>
      <c r="CQ172" s="113">
        <f t="shared" ref="CQ172" si="455">CP172+CQ171</f>
        <v>8000</v>
      </c>
      <c r="CR172" s="113">
        <f t="shared" ref="CR172" si="456">CQ172+CR171</f>
        <v>8000</v>
      </c>
      <c r="CS172" s="113">
        <f t="shared" ref="CS172" si="457">CR172+CS171</f>
        <v>8000</v>
      </c>
      <c r="CT172" s="113">
        <f t="shared" ref="CT172" si="458">CS172+CT171</f>
        <v>8000</v>
      </c>
      <c r="CU172" s="113">
        <f t="shared" ref="CU172" si="459">CT172+CU171</f>
        <v>8000</v>
      </c>
      <c r="CV172" s="113">
        <f t="shared" ref="CV172" si="460">CU172+CV171</f>
        <v>8000</v>
      </c>
      <c r="CW172" s="113">
        <f t="shared" ref="CW172" si="461">CV172+CW171</f>
        <v>8000</v>
      </c>
      <c r="CX172" s="113">
        <f t="shared" ref="CX172" si="462">CW172+CX171</f>
        <v>8000</v>
      </c>
      <c r="CY172" s="111">
        <f>CX172+CY171</f>
        <v>8000</v>
      </c>
      <c r="DL172" s="111">
        <f>DK172+DL171</f>
        <v>0</v>
      </c>
    </row>
    <row r="173" spans="2:116">
      <c r="B173" s="11" t="s">
        <v>232</v>
      </c>
      <c r="C173" s="136"/>
      <c r="D173" s="136"/>
      <c r="E173" s="136"/>
      <c r="F173" s="136"/>
      <c r="G173" s="136"/>
      <c r="H173" s="136"/>
      <c r="I173" s="136"/>
      <c r="J173" s="136"/>
      <c r="K173" s="136"/>
      <c r="L173" s="136"/>
      <c r="M173" s="102"/>
      <c r="N173" s="102"/>
      <c r="O173" s="66"/>
      <c r="P173" s="75"/>
      <c r="Q173" s="75"/>
      <c r="R173" s="75"/>
      <c r="S173" s="75"/>
      <c r="T173" s="75"/>
      <c r="U173" s="75"/>
      <c r="V173" s="75"/>
      <c r="W173" s="75"/>
      <c r="X173" s="75"/>
      <c r="Y173" s="75"/>
      <c r="Z173" s="75"/>
      <c r="AA173" s="75"/>
      <c r="AB173" s="114"/>
      <c r="AC173" s="129"/>
      <c r="AD173" s="75"/>
      <c r="AE173" s="75"/>
      <c r="AF173" s="75"/>
      <c r="AG173" s="75"/>
      <c r="AH173" s="75"/>
      <c r="AI173" s="75"/>
      <c r="AJ173" s="75"/>
      <c r="AK173" s="100"/>
      <c r="AL173" s="193"/>
      <c r="AM173" s="75"/>
      <c r="AN173" s="75"/>
      <c r="AO173" s="75"/>
      <c r="AP173" s="75"/>
      <c r="AQ173" s="75"/>
      <c r="AR173" s="75"/>
      <c r="AS173" s="75"/>
      <c r="AT173" s="75"/>
      <c r="AU173" s="75"/>
      <c r="AV173" s="75"/>
      <c r="AW173" s="75"/>
      <c r="AX173" s="114"/>
      <c r="AY173" s="120"/>
      <c r="AZ173" s="69"/>
      <c r="BA173" s="69"/>
      <c r="BB173" s="69"/>
      <c r="BC173" s="69"/>
      <c r="BD173" s="69"/>
      <c r="BE173" s="69"/>
      <c r="BF173" s="69"/>
      <c r="BG173" s="69"/>
      <c r="BH173" s="69"/>
      <c r="BI173" s="69"/>
      <c r="BJ173" s="69"/>
      <c r="BK173" s="100"/>
      <c r="BL173" s="69"/>
      <c r="BM173" s="69"/>
      <c r="BN173" s="213"/>
      <c r="BO173" s="69"/>
      <c r="BP173" s="69"/>
      <c r="BQ173" s="69"/>
      <c r="BR173" s="69"/>
      <c r="BS173" s="69"/>
      <c r="BT173" s="69"/>
      <c r="BU173" s="69"/>
      <c r="BV173" s="69"/>
      <c r="BW173" s="69"/>
      <c r="BX173" s="100"/>
      <c r="BY173" s="74"/>
      <c r="BZ173" s="74"/>
      <c r="CA173" s="74"/>
      <c r="CB173" s="74"/>
      <c r="CC173" s="74"/>
      <c r="CD173" s="74"/>
      <c r="CK173" s="100"/>
      <c r="CL173" s="130"/>
      <c r="CY173" s="100"/>
      <c r="DL173" s="100"/>
    </row>
    <row r="174" spans="2:116">
      <c r="B174" s="1" t="s">
        <v>226</v>
      </c>
      <c r="C174" s="136"/>
      <c r="D174" s="136"/>
      <c r="E174" s="136"/>
      <c r="F174" s="136"/>
      <c r="G174" s="136"/>
      <c r="H174" s="136"/>
      <c r="I174" s="136"/>
      <c r="J174" s="136"/>
      <c r="K174" s="136"/>
      <c r="L174" s="136"/>
      <c r="M174" s="102"/>
      <c r="N174" s="102"/>
      <c r="O174" s="66"/>
      <c r="P174" s="75"/>
      <c r="Q174" s="75"/>
      <c r="R174" s="75"/>
      <c r="S174" s="75"/>
      <c r="T174" s="75"/>
      <c r="U174" s="75"/>
      <c r="V174" s="75"/>
      <c r="W174" s="75"/>
      <c r="X174" s="75"/>
      <c r="Y174" s="75"/>
      <c r="Z174" s="75"/>
      <c r="AA174" s="75"/>
      <c r="AB174" s="114"/>
      <c r="AC174" s="129"/>
      <c r="AD174" s="75"/>
      <c r="AE174" s="75"/>
      <c r="AF174" s="75"/>
      <c r="AG174" s="75"/>
      <c r="AH174" s="75"/>
      <c r="AI174" s="75"/>
      <c r="AJ174" s="75"/>
      <c r="AK174" s="100"/>
      <c r="AL174" s="129"/>
      <c r="AM174" s="75"/>
      <c r="AN174" s="75"/>
      <c r="AO174" s="75"/>
      <c r="AP174" s="75"/>
      <c r="AQ174" s="75"/>
      <c r="AR174" s="75"/>
      <c r="AS174" s="75"/>
      <c r="AT174" s="75"/>
      <c r="AU174" s="75"/>
      <c r="AV174" s="75"/>
      <c r="AW174" s="75"/>
      <c r="AX174" s="114"/>
      <c r="AY174" s="120"/>
      <c r="AZ174" s="67"/>
      <c r="BA174" s="67"/>
      <c r="BB174" s="67">
        <f>35000+10000</f>
        <v>45000</v>
      </c>
      <c r="BC174" s="67"/>
      <c r="BD174" s="67"/>
      <c r="BE174" s="67"/>
      <c r="BF174" s="67">
        <v>50000</v>
      </c>
      <c r="BG174" s="69"/>
      <c r="BH174" s="69"/>
      <c r="BI174" s="69"/>
      <c r="BJ174" s="69"/>
      <c r="BK174" s="100"/>
      <c r="BL174" s="69"/>
      <c r="BM174" s="69"/>
      <c r="BN174" s="213"/>
      <c r="BO174" s="69"/>
      <c r="BP174" s="69"/>
      <c r="BQ174" s="69"/>
      <c r="BR174" s="69"/>
      <c r="BS174" s="69"/>
      <c r="BT174" s="69"/>
      <c r="BU174" s="69"/>
      <c r="BV174" s="69"/>
      <c r="BW174" s="69"/>
      <c r="BX174" s="100"/>
      <c r="BY174" s="74"/>
      <c r="BZ174" s="74"/>
      <c r="CA174" s="74"/>
      <c r="CB174" s="74"/>
      <c r="CC174" s="74"/>
      <c r="CD174" s="74"/>
      <c r="CK174" s="100"/>
      <c r="CL174" s="130"/>
      <c r="CY174" s="100">
        <f t="shared" ref="CY174" si="463">SUM(CM174:CX174)</f>
        <v>0</v>
      </c>
      <c r="DL174" s="100">
        <f t="shared" ref="DL174" si="464">SUM(CZ174:DK174)</f>
        <v>0</v>
      </c>
    </row>
    <row r="175" spans="2:116" s="13" customFormat="1">
      <c r="B175" s="13" t="s">
        <v>227</v>
      </c>
      <c r="C175" s="32"/>
      <c r="D175" s="32"/>
      <c r="E175" s="32"/>
      <c r="F175" s="32"/>
      <c r="G175" s="32"/>
      <c r="H175" s="32"/>
      <c r="I175" s="32"/>
      <c r="J175" s="32"/>
      <c r="K175" s="32"/>
      <c r="L175" s="32"/>
      <c r="M175" s="103"/>
      <c r="N175" s="103"/>
      <c r="O175" s="210"/>
      <c r="P175" s="78"/>
      <c r="Q175" s="78"/>
      <c r="R175" s="78"/>
      <c r="S175" s="78"/>
      <c r="T175" s="78"/>
      <c r="U175" s="78"/>
      <c r="V175" s="78"/>
      <c r="W175" s="78"/>
      <c r="X175" s="78"/>
      <c r="Y175" s="78"/>
      <c r="Z175" s="78"/>
      <c r="AA175" s="78"/>
      <c r="AB175" s="184"/>
      <c r="AC175" s="131"/>
      <c r="AD175" s="78"/>
      <c r="AE175" s="78"/>
      <c r="AF175" s="78"/>
      <c r="AG175" s="78"/>
      <c r="AH175" s="78"/>
      <c r="AI175" s="78"/>
      <c r="AJ175" s="78"/>
      <c r="AK175" s="111"/>
      <c r="AL175" s="131"/>
      <c r="AM175" s="78"/>
      <c r="AN175" s="78"/>
      <c r="AO175" s="78"/>
      <c r="AP175" s="78"/>
      <c r="AQ175" s="78"/>
      <c r="AR175" s="78"/>
      <c r="AS175" s="78"/>
      <c r="AT175" s="78"/>
      <c r="AU175" s="78"/>
      <c r="AV175" s="78"/>
      <c r="AW175" s="78"/>
      <c r="AX175" s="184"/>
      <c r="AY175" s="127"/>
      <c r="AZ175" s="112"/>
      <c r="BA175" s="112"/>
      <c r="BB175" s="112">
        <f t="shared" ref="BB175" si="465">BA175+BB174</f>
        <v>45000</v>
      </c>
      <c r="BC175" s="112">
        <f t="shared" ref="BC175" si="466">BB175+BC174</f>
        <v>45000</v>
      </c>
      <c r="BD175" s="112">
        <f t="shared" ref="BD175" si="467">BC175+BD174</f>
        <v>45000</v>
      </c>
      <c r="BE175" s="112">
        <f t="shared" ref="BE175" si="468">BD175+BE174</f>
        <v>45000</v>
      </c>
      <c r="BF175" s="112">
        <f t="shared" ref="BF175" si="469">BE175+BF174</f>
        <v>95000</v>
      </c>
      <c r="BG175" s="112">
        <f t="shared" ref="BG175" si="470">BF175+BG174</f>
        <v>95000</v>
      </c>
      <c r="BH175" s="112">
        <f t="shared" ref="BH175" si="471">BG175+BH174</f>
        <v>95000</v>
      </c>
      <c r="BI175" s="112">
        <f t="shared" ref="BI175" si="472">BH175+BI174</f>
        <v>95000</v>
      </c>
      <c r="BJ175" s="112">
        <f t="shared" ref="BJ175" si="473">BI175+BJ174</f>
        <v>95000</v>
      </c>
      <c r="BK175" s="111">
        <f>BJ175</f>
        <v>95000</v>
      </c>
      <c r="BL175" s="112">
        <f t="shared" ref="BL175" si="474">BK175+BL174</f>
        <v>95000</v>
      </c>
      <c r="BM175" s="112">
        <f t="shared" ref="BM175" si="475">BL175+BM174</f>
        <v>95000</v>
      </c>
      <c r="BN175" s="246">
        <f t="shared" ref="BN175" si="476">BM175+BN174</f>
        <v>95000</v>
      </c>
      <c r="BO175" s="112">
        <f t="shared" ref="BO175" si="477">BN175+BO174</f>
        <v>95000</v>
      </c>
      <c r="BP175" s="112">
        <f t="shared" ref="BP175" si="478">BO175+BP174</f>
        <v>95000</v>
      </c>
      <c r="BQ175" s="112">
        <f t="shared" ref="BQ175" si="479">BP175+BQ174</f>
        <v>95000</v>
      </c>
      <c r="BR175" s="112">
        <f t="shared" ref="BR175" si="480">BQ175+BR174</f>
        <v>95000</v>
      </c>
      <c r="BS175" s="112">
        <f t="shared" ref="BS175" si="481">BR175+BS174</f>
        <v>95000</v>
      </c>
      <c r="BT175" s="112">
        <f t="shared" ref="BT175" si="482">BS175+BT174</f>
        <v>95000</v>
      </c>
      <c r="BU175" s="112">
        <f t="shared" ref="BU175" si="483">BT175+BU174</f>
        <v>95000</v>
      </c>
      <c r="BV175" s="112">
        <f t="shared" ref="BV175" si="484">BU175+BV174</f>
        <v>95000</v>
      </c>
      <c r="BW175" s="112">
        <f t="shared" ref="BW175" si="485">BV175+BW174</f>
        <v>95000</v>
      </c>
      <c r="BX175" s="111">
        <f>BW175</f>
        <v>95000</v>
      </c>
      <c r="BY175" s="112">
        <f t="shared" ref="BY175" si="486">BX175+BY174</f>
        <v>95000</v>
      </c>
      <c r="BZ175" s="112">
        <f t="shared" ref="BZ175" si="487">BY175+BZ174</f>
        <v>95000</v>
      </c>
      <c r="CA175" s="112">
        <f t="shared" ref="CA175" si="488">BZ175+CA174</f>
        <v>95000</v>
      </c>
      <c r="CB175" s="112">
        <f t="shared" ref="CB175" si="489">CA175+CB174</f>
        <v>95000</v>
      </c>
      <c r="CC175" s="112">
        <f t="shared" ref="CC175" si="490">CB175+CC174</f>
        <v>95000</v>
      </c>
      <c r="CD175" s="112">
        <f t="shared" ref="CD175" si="491">CC175+CD174</f>
        <v>95000</v>
      </c>
      <c r="CE175" s="113">
        <f t="shared" ref="CE175" si="492">CD175+CE174</f>
        <v>95000</v>
      </c>
      <c r="CF175" s="113">
        <f t="shared" ref="CF175" si="493">CE175+CF174</f>
        <v>95000</v>
      </c>
      <c r="CG175" s="113">
        <f t="shared" ref="CG175" si="494">CF175+CG174</f>
        <v>95000</v>
      </c>
      <c r="CH175" s="113">
        <f t="shared" ref="CH175" si="495">CG175+CH174</f>
        <v>95000</v>
      </c>
      <c r="CI175" s="113">
        <f t="shared" ref="CI175" si="496">CH175+CI174</f>
        <v>95000</v>
      </c>
      <c r="CJ175" s="113">
        <f t="shared" ref="CJ175" si="497">CI175+CJ174</f>
        <v>95000</v>
      </c>
      <c r="CK175" s="111">
        <f t="shared" ref="CK175" si="498">CJ175+CK174</f>
        <v>95000</v>
      </c>
      <c r="CL175" s="132"/>
      <c r="CM175" s="113">
        <f>CJ175+CM174</f>
        <v>95000</v>
      </c>
      <c r="CN175" s="113">
        <f t="shared" ref="CN175" si="499">CM175+CN174</f>
        <v>95000</v>
      </c>
      <c r="CO175" s="113">
        <f t="shared" ref="CO175" si="500">CN175+CO174</f>
        <v>95000</v>
      </c>
      <c r="CP175" s="113">
        <f t="shared" ref="CP175" si="501">CO175+CP174</f>
        <v>95000</v>
      </c>
      <c r="CQ175" s="113">
        <f t="shared" ref="CQ175" si="502">CP175+CQ174</f>
        <v>95000</v>
      </c>
      <c r="CR175" s="113">
        <f t="shared" ref="CR175" si="503">CQ175+CR174</f>
        <v>95000</v>
      </c>
      <c r="CS175" s="113">
        <f t="shared" ref="CS175" si="504">CR175+CS174</f>
        <v>95000</v>
      </c>
      <c r="CT175" s="113">
        <f t="shared" ref="CT175" si="505">CS175+CT174</f>
        <v>95000</v>
      </c>
      <c r="CU175" s="113">
        <f t="shared" ref="CU175" si="506">CT175+CU174</f>
        <v>95000</v>
      </c>
      <c r="CV175" s="113">
        <f t="shared" ref="CV175" si="507">CU175+CV174</f>
        <v>95000</v>
      </c>
      <c r="CW175" s="113">
        <f t="shared" ref="CW175" si="508">CV175+CW174</f>
        <v>95000</v>
      </c>
      <c r="CX175" s="113">
        <f t="shared" ref="CX175" si="509">CW175+CX174</f>
        <v>95000</v>
      </c>
      <c r="CY175" s="111">
        <f>CX175+CY174</f>
        <v>95000</v>
      </c>
      <c r="DL175" s="111">
        <f>DK175+DL174</f>
        <v>0</v>
      </c>
    </row>
    <row r="176" spans="2:116">
      <c r="B176" s="11" t="s">
        <v>332</v>
      </c>
      <c r="C176" s="4"/>
      <c r="D176" s="4"/>
      <c r="E176" s="4"/>
      <c r="F176" s="4"/>
      <c r="G176" s="4"/>
      <c r="H176" s="4"/>
      <c r="I176" s="4"/>
      <c r="J176" s="4"/>
      <c r="K176" s="4"/>
      <c r="L176" s="4"/>
      <c r="M176" s="139"/>
      <c r="N176" s="139"/>
      <c r="O176" s="66"/>
      <c r="P176" s="98"/>
      <c r="Q176" s="98"/>
      <c r="R176" s="98"/>
      <c r="S176" s="98"/>
      <c r="T176" s="98"/>
      <c r="U176" s="98"/>
      <c r="V176" s="98"/>
      <c r="W176" s="98"/>
      <c r="X176" s="98"/>
      <c r="Y176" s="98"/>
      <c r="Z176" s="98"/>
      <c r="AA176" s="98"/>
      <c r="AB176" s="114"/>
      <c r="AC176" s="129"/>
      <c r="AD176" s="98"/>
      <c r="AE176" s="98"/>
      <c r="AF176" s="98"/>
      <c r="AG176" s="98"/>
      <c r="AH176" s="98"/>
      <c r="AI176" s="98"/>
      <c r="AJ176" s="98"/>
      <c r="AK176" s="100"/>
      <c r="AL176" s="193"/>
      <c r="AM176" s="98"/>
      <c r="AN176" s="98"/>
      <c r="AO176" s="98"/>
      <c r="AP176" s="98"/>
      <c r="AQ176" s="98"/>
      <c r="AR176" s="98"/>
      <c r="AS176" s="98"/>
      <c r="AT176" s="98"/>
      <c r="AU176" s="98"/>
      <c r="AV176" s="98"/>
      <c r="AW176" s="98"/>
      <c r="AX176" s="114"/>
      <c r="AY176" s="120"/>
      <c r="AZ176" s="69"/>
      <c r="BA176" s="69"/>
      <c r="BB176" s="69"/>
      <c r="BC176" s="69"/>
      <c r="BD176" s="69"/>
      <c r="BE176" s="69"/>
      <c r="BF176" s="69"/>
      <c r="BG176" s="69"/>
      <c r="BH176" s="69"/>
      <c r="BI176" s="69"/>
      <c r="BJ176" s="69"/>
      <c r="BK176" s="100"/>
      <c r="BL176" s="69"/>
      <c r="BM176" s="69"/>
      <c r="BN176" s="213"/>
      <c r="BO176" s="69"/>
      <c r="BP176" s="69"/>
      <c r="BQ176" s="69"/>
      <c r="BR176" s="69"/>
      <c r="BS176" s="69"/>
      <c r="BT176" s="69"/>
      <c r="BU176" s="69"/>
      <c r="BV176" s="69"/>
      <c r="BW176" s="69"/>
      <c r="BX176" s="100"/>
      <c r="BY176" s="74"/>
      <c r="BZ176" s="74"/>
      <c r="CA176" s="74"/>
      <c r="CB176" s="74"/>
      <c r="CC176" s="74"/>
      <c r="CD176" s="74"/>
      <c r="CK176" s="100"/>
      <c r="CL176" s="130"/>
      <c r="CY176" s="100"/>
      <c r="DL176" s="100"/>
    </row>
    <row r="177" spans="2:116">
      <c r="B177" s="1" t="s">
        <v>226</v>
      </c>
      <c r="C177" s="4"/>
      <c r="D177" s="4"/>
      <c r="E177" s="4"/>
      <c r="F177" s="4"/>
      <c r="G177" s="4"/>
      <c r="H177" s="4"/>
      <c r="I177" s="4"/>
      <c r="J177" s="4"/>
      <c r="K177" s="4"/>
      <c r="L177" s="4"/>
      <c r="M177" s="139"/>
      <c r="N177" s="139"/>
      <c r="O177" s="66"/>
      <c r="P177" s="98"/>
      <c r="Q177" s="98"/>
      <c r="R177" s="98"/>
      <c r="S177" s="98"/>
      <c r="T177" s="98"/>
      <c r="U177" s="98"/>
      <c r="V177" s="98"/>
      <c r="W177" s="98"/>
      <c r="X177" s="98"/>
      <c r="Y177" s="98"/>
      <c r="Z177" s="98"/>
      <c r="AA177" s="98"/>
      <c r="AB177" s="114"/>
      <c r="AC177" s="129"/>
      <c r="AD177" s="98"/>
      <c r="AE177" s="98"/>
      <c r="AF177" s="98"/>
      <c r="AG177" s="98"/>
      <c r="AH177" s="98"/>
      <c r="AI177" s="98"/>
      <c r="AJ177" s="98"/>
      <c r="AK177" s="100"/>
      <c r="AL177" s="129"/>
      <c r="AM177" s="98"/>
      <c r="AN177" s="98"/>
      <c r="AO177" s="98"/>
      <c r="AP177" s="98"/>
      <c r="AQ177" s="98"/>
      <c r="AR177" s="98"/>
      <c r="AS177" s="98"/>
      <c r="AT177" s="98"/>
      <c r="AU177" s="98"/>
      <c r="AV177" s="98"/>
      <c r="AW177" s="98"/>
      <c r="AX177" s="114"/>
      <c r="AY177" s="120"/>
      <c r="AZ177" s="67"/>
      <c r="BA177" s="67"/>
      <c r="BB177" s="67">
        <v>0</v>
      </c>
      <c r="BC177" s="67">
        <v>0</v>
      </c>
      <c r="BD177" s="67">
        <v>0</v>
      </c>
      <c r="BE177" s="67">
        <v>0</v>
      </c>
      <c r="BF177" s="67">
        <v>0</v>
      </c>
      <c r="BG177" s="67">
        <v>0</v>
      </c>
      <c r="BH177" s="67">
        <f>-'[7]Ing y gtos'!$D$119</f>
        <v>-4853.46</v>
      </c>
      <c r="BI177" s="67">
        <f>-'[8]Ing y gtos'!$E$119</f>
        <v>-6200</v>
      </c>
      <c r="BJ177" s="67">
        <f>-'[8]Ing y gtos'!$F$119</f>
        <v>-32400</v>
      </c>
      <c r="BK177" s="100"/>
      <c r="BL177" s="69"/>
      <c r="BM177" s="69"/>
      <c r="BN177" s="213"/>
      <c r="BO177" s="69"/>
      <c r="BP177" s="69"/>
      <c r="BQ177" s="69"/>
      <c r="BR177" s="69"/>
      <c r="BS177" s="69"/>
      <c r="BT177" s="69"/>
      <c r="BU177" s="69"/>
      <c r="BV177" s="69"/>
      <c r="BW177" s="69"/>
      <c r="BX177" s="100"/>
      <c r="BY177" s="74"/>
      <c r="BZ177" s="74"/>
      <c r="CA177" s="74"/>
      <c r="CB177" s="74"/>
      <c r="CC177" s="74"/>
      <c r="CD177" s="74"/>
      <c r="CK177" s="100"/>
      <c r="CL177" s="130"/>
      <c r="CY177" s="100">
        <f t="shared" ref="CY177" si="510">SUM(CM177:CX177)</f>
        <v>0</v>
      </c>
      <c r="DL177" s="100">
        <f t="shared" ref="DL177" si="511">SUM(CZ177:DK177)</f>
        <v>0</v>
      </c>
    </row>
    <row r="178" spans="2:116" s="13" customFormat="1">
      <c r="B178" s="13" t="s">
        <v>227</v>
      </c>
      <c r="C178" s="32"/>
      <c r="D178" s="32"/>
      <c r="E178" s="32"/>
      <c r="F178" s="32"/>
      <c r="G178" s="32"/>
      <c r="H178" s="32"/>
      <c r="I178" s="32"/>
      <c r="J178" s="32"/>
      <c r="K178" s="32"/>
      <c r="L178" s="32"/>
      <c r="M178" s="103"/>
      <c r="N178" s="103"/>
      <c r="O178" s="210"/>
      <c r="P178" s="78"/>
      <c r="Q178" s="78"/>
      <c r="R178" s="78"/>
      <c r="S178" s="78"/>
      <c r="T178" s="78"/>
      <c r="U178" s="78"/>
      <c r="V178" s="78"/>
      <c r="W178" s="78"/>
      <c r="X178" s="78"/>
      <c r="Y178" s="78"/>
      <c r="Z178" s="78"/>
      <c r="AA178" s="78"/>
      <c r="AB178" s="184"/>
      <c r="AC178" s="131"/>
      <c r="AD178" s="78"/>
      <c r="AE178" s="78"/>
      <c r="AF178" s="78"/>
      <c r="AG178" s="78"/>
      <c r="AH178" s="78"/>
      <c r="AI178" s="78"/>
      <c r="AJ178" s="78"/>
      <c r="AK178" s="111"/>
      <c r="AL178" s="131"/>
      <c r="AM178" s="78"/>
      <c r="AN178" s="78"/>
      <c r="AO178" s="78"/>
      <c r="AP178" s="78"/>
      <c r="AQ178" s="78"/>
      <c r="AR178" s="78"/>
      <c r="AS178" s="78"/>
      <c r="AT178" s="78"/>
      <c r="AU178" s="78"/>
      <c r="AV178" s="78"/>
      <c r="AW178" s="78"/>
      <c r="AX178" s="184"/>
      <c r="AY178" s="127"/>
      <c r="AZ178" s="112"/>
      <c r="BA178" s="112"/>
      <c r="BB178" s="112">
        <f t="shared" ref="BB178:BH178" si="512">BA178+BB177</f>
        <v>0</v>
      </c>
      <c r="BC178" s="112">
        <f t="shared" si="512"/>
        <v>0</v>
      </c>
      <c r="BD178" s="112">
        <f t="shared" si="512"/>
        <v>0</v>
      </c>
      <c r="BE178" s="112">
        <f t="shared" si="512"/>
        <v>0</v>
      </c>
      <c r="BF178" s="112">
        <f t="shared" si="512"/>
        <v>0</v>
      </c>
      <c r="BG178" s="112">
        <f t="shared" si="512"/>
        <v>0</v>
      </c>
      <c r="BH178" s="112">
        <f t="shared" si="512"/>
        <v>-4853.46</v>
      </c>
      <c r="BI178" s="112">
        <f>BH178+BI177</f>
        <v>-11053.46</v>
      </c>
      <c r="BJ178" s="112">
        <f>BI178+BJ177</f>
        <v>-43453.46</v>
      </c>
      <c r="BK178" s="111">
        <f>BJ178</f>
        <v>-43453.46</v>
      </c>
      <c r="BL178" s="112">
        <f>BK178+BL177</f>
        <v>-43453.46</v>
      </c>
      <c r="BM178" s="112">
        <f t="shared" ref="BM178:BY178" si="513">BL178+BM177</f>
        <v>-43453.46</v>
      </c>
      <c r="BN178" s="246">
        <f t="shared" si="513"/>
        <v>-43453.46</v>
      </c>
      <c r="BO178" s="112">
        <f t="shared" si="513"/>
        <v>-43453.46</v>
      </c>
      <c r="BP178" s="112">
        <f t="shared" si="513"/>
        <v>-43453.46</v>
      </c>
      <c r="BQ178" s="112">
        <f t="shared" si="513"/>
        <v>-43453.46</v>
      </c>
      <c r="BR178" s="112">
        <f t="shared" si="513"/>
        <v>-43453.46</v>
      </c>
      <c r="BS178" s="112">
        <f t="shared" si="513"/>
        <v>-43453.46</v>
      </c>
      <c r="BT178" s="112">
        <f t="shared" si="513"/>
        <v>-43453.46</v>
      </c>
      <c r="BU178" s="112">
        <f t="shared" si="513"/>
        <v>-43453.46</v>
      </c>
      <c r="BV178" s="112">
        <f t="shared" si="513"/>
        <v>-43453.46</v>
      </c>
      <c r="BW178" s="112">
        <f t="shared" si="513"/>
        <v>-43453.46</v>
      </c>
      <c r="BX178" s="111">
        <f>BW178</f>
        <v>-43453.46</v>
      </c>
      <c r="BY178" s="112">
        <f t="shared" si="513"/>
        <v>-43453.46</v>
      </c>
      <c r="BZ178" s="112">
        <f t="shared" ref="BZ178" si="514">BY178+BZ177</f>
        <v>-43453.46</v>
      </c>
      <c r="CA178" s="112">
        <f t="shared" ref="CA178" si="515">BZ178+CA177</f>
        <v>-43453.46</v>
      </c>
      <c r="CB178" s="112">
        <f t="shared" ref="CB178" si="516">CA178+CB177</f>
        <v>-43453.46</v>
      </c>
      <c r="CC178" s="112">
        <f t="shared" ref="CC178" si="517">CB178+CC177</f>
        <v>-43453.46</v>
      </c>
      <c r="CD178" s="112">
        <f t="shared" ref="CD178" si="518">CC178+CD177</f>
        <v>-43453.46</v>
      </c>
      <c r="CE178" s="113">
        <f t="shared" ref="CE178" si="519">CD178+CE177</f>
        <v>-43453.46</v>
      </c>
      <c r="CF178" s="113">
        <f t="shared" ref="CF178" si="520">CE178+CF177</f>
        <v>-43453.46</v>
      </c>
      <c r="CG178" s="113">
        <f t="shared" ref="CG178" si="521">CF178+CG177</f>
        <v>-43453.46</v>
      </c>
      <c r="CH178" s="113">
        <f t="shared" ref="CH178" si="522">CG178+CH177</f>
        <v>-43453.46</v>
      </c>
      <c r="CI178" s="113">
        <f t="shared" ref="CI178" si="523">CH178+CI177</f>
        <v>-43453.46</v>
      </c>
      <c r="CJ178" s="113">
        <f t="shared" ref="CJ178" si="524">CI178+CJ177</f>
        <v>-43453.46</v>
      </c>
      <c r="CK178" s="111">
        <f t="shared" ref="CK178" si="525">CJ178+CK177</f>
        <v>-43453.46</v>
      </c>
      <c r="CL178" s="132"/>
      <c r="CM178" s="113">
        <f>CJ178+CM177</f>
        <v>-43453.46</v>
      </c>
      <c r="CN178" s="113">
        <f t="shared" ref="CN178" si="526">CM178+CN177</f>
        <v>-43453.46</v>
      </c>
      <c r="CO178" s="113">
        <f t="shared" ref="CO178" si="527">CN178+CO177</f>
        <v>-43453.46</v>
      </c>
      <c r="CP178" s="113">
        <f t="shared" ref="CP178" si="528">CO178+CP177</f>
        <v>-43453.46</v>
      </c>
      <c r="CQ178" s="113">
        <f t="shared" ref="CQ178" si="529">CP178+CQ177</f>
        <v>-43453.46</v>
      </c>
      <c r="CR178" s="113">
        <f t="shared" ref="CR178" si="530">CQ178+CR177</f>
        <v>-43453.46</v>
      </c>
      <c r="CS178" s="113">
        <f t="shared" ref="CS178" si="531">CR178+CS177</f>
        <v>-43453.46</v>
      </c>
      <c r="CT178" s="113">
        <f t="shared" ref="CT178" si="532">CS178+CT177</f>
        <v>-43453.46</v>
      </c>
      <c r="CU178" s="113">
        <f t="shared" ref="CU178" si="533">CT178+CU177</f>
        <v>-43453.46</v>
      </c>
      <c r="CV178" s="113">
        <f t="shared" ref="CV178" si="534">CU178+CV177</f>
        <v>-43453.46</v>
      </c>
      <c r="CW178" s="113">
        <f t="shared" ref="CW178" si="535">CV178+CW177</f>
        <v>-43453.46</v>
      </c>
      <c r="CX178" s="113">
        <f t="shared" ref="CX178" si="536">CW178+CX177</f>
        <v>-43453.46</v>
      </c>
      <c r="CY178" s="111">
        <f>CX178+CY177</f>
        <v>-43453.46</v>
      </c>
      <c r="DL178" s="111">
        <f>DK178+DL177</f>
        <v>0</v>
      </c>
    </row>
    <row r="179" spans="2:116">
      <c r="B179" s="11" t="s">
        <v>335</v>
      </c>
      <c r="C179" s="4"/>
      <c r="D179" s="4"/>
      <c r="E179" s="4"/>
      <c r="F179" s="4"/>
      <c r="G179" s="4"/>
      <c r="H179" s="4"/>
      <c r="I179" s="4"/>
      <c r="J179" s="4"/>
      <c r="K179" s="4"/>
      <c r="L179" s="4"/>
      <c r="M179" s="139"/>
      <c r="N179" s="139"/>
      <c r="O179" s="66"/>
      <c r="P179" s="98"/>
      <c r="Q179" s="98"/>
      <c r="R179" s="98"/>
      <c r="S179" s="98"/>
      <c r="T179" s="98"/>
      <c r="U179" s="98"/>
      <c r="V179" s="98"/>
      <c r="W179" s="98"/>
      <c r="X179" s="98"/>
      <c r="Y179" s="98"/>
      <c r="Z179" s="98"/>
      <c r="AA179" s="98"/>
      <c r="AB179" s="114"/>
      <c r="AC179" s="129"/>
      <c r="AD179" s="98"/>
      <c r="AE179" s="98"/>
      <c r="AF179" s="98"/>
      <c r="AG179" s="98"/>
      <c r="AH179" s="98"/>
      <c r="AI179" s="98"/>
      <c r="AJ179" s="98"/>
      <c r="AK179" s="100"/>
      <c r="AL179" s="193"/>
      <c r="AM179" s="98"/>
      <c r="AN179" s="98"/>
      <c r="AO179" s="98"/>
      <c r="AP179" s="98"/>
      <c r="AQ179" s="98"/>
      <c r="AR179" s="98"/>
      <c r="AS179" s="98"/>
      <c r="AT179" s="98"/>
      <c r="AU179" s="98"/>
      <c r="AV179" s="98"/>
      <c r="AW179" s="98"/>
      <c r="AX179" s="114"/>
      <c r="AY179" s="120"/>
      <c r="AZ179" s="69"/>
      <c r="BA179" s="69"/>
      <c r="BB179" s="69"/>
      <c r="BC179" s="69"/>
      <c r="BD179" s="69"/>
      <c r="BE179" s="69"/>
      <c r="BF179" s="69"/>
      <c r="BG179" s="69"/>
      <c r="BH179" s="69"/>
      <c r="BI179" s="69"/>
      <c r="BJ179" s="69"/>
      <c r="BK179" s="100"/>
      <c r="BL179" s="69"/>
      <c r="BM179" s="69"/>
      <c r="BN179" s="213"/>
      <c r="BO179" s="69"/>
      <c r="BP179" s="69"/>
      <c r="BQ179" s="69"/>
      <c r="BR179" s="69"/>
      <c r="BS179" s="69"/>
      <c r="BT179" s="69"/>
      <c r="BU179" s="69"/>
      <c r="BV179" s="69"/>
      <c r="BW179" s="69"/>
      <c r="BX179" s="100"/>
      <c r="BY179" s="74"/>
      <c r="BZ179" s="74"/>
      <c r="CA179" s="74"/>
      <c r="CB179" s="74"/>
      <c r="CC179" s="74"/>
      <c r="CD179" s="74"/>
      <c r="CK179" s="100"/>
      <c r="CL179" s="130"/>
      <c r="CY179" s="100"/>
      <c r="DL179" s="100"/>
    </row>
    <row r="180" spans="2:116">
      <c r="B180" s="1" t="s">
        <v>226</v>
      </c>
      <c r="C180" s="4"/>
      <c r="D180" s="4"/>
      <c r="E180" s="4"/>
      <c r="F180" s="4"/>
      <c r="G180" s="4"/>
      <c r="H180" s="4"/>
      <c r="I180" s="4"/>
      <c r="J180" s="4"/>
      <c r="K180" s="4"/>
      <c r="L180" s="4"/>
      <c r="M180" s="139"/>
      <c r="N180" s="139"/>
      <c r="O180" s="66"/>
      <c r="P180" s="98"/>
      <c r="Q180" s="98"/>
      <c r="R180" s="98"/>
      <c r="S180" s="98"/>
      <c r="T180" s="98"/>
      <c r="U180" s="98"/>
      <c r="V180" s="98"/>
      <c r="W180" s="98"/>
      <c r="X180" s="98"/>
      <c r="Y180" s="98"/>
      <c r="Z180" s="98"/>
      <c r="AA180" s="98"/>
      <c r="AB180" s="114"/>
      <c r="AC180" s="129"/>
      <c r="AD180" s="98"/>
      <c r="AE180" s="98"/>
      <c r="AF180" s="98"/>
      <c r="AG180" s="98"/>
      <c r="AH180" s="98"/>
      <c r="AI180" s="98"/>
      <c r="AJ180" s="98"/>
      <c r="AK180" s="100"/>
      <c r="AL180" s="129"/>
      <c r="AM180" s="98"/>
      <c r="AN180" s="98"/>
      <c r="AO180" s="98"/>
      <c r="AP180" s="98"/>
      <c r="AQ180" s="98"/>
      <c r="AR180" s="98"/>
      <c r="AS180" s="98"/>
      <c r="AT180" s="98"/>
      <c r="AU180" s="98"/>
      <c r="AV180" s="98"/>
      <c r="AW180" s="98"/>
      <c r="AX180" s="114"/>
      <c r="AY180" s="120"/>
      <c r="AZ180" s="67"/>
      <c r="BA180" s="67"/>
      <c r="BB180" s="67"/>
      <c r="BC180" s="67"/>
      <c r="BD180" s="67"/>
      <c r="BE180" s="67"/>
      <c r="BF180" s="67"/>
      <c r="BG180" s="67"/>
      <c r="BH180" s="67"/>
      <c r="BI180" s="67">
        <v>0</v>
      </c>
      <c r="BJ180" s="67">
        <v>-64604.73</v>
      </c>
      <c r="BK180" s="100"/>
      <c r="BL180" s="69"/>
      <c r="BM180" s="67">
        <v>-30000</v>
      </c>
      <c r="BN180" s="213"/>
      <c r="BO180" s="69"/>
      <c r="BP180" s="67">
        <v>-9600</v>
      </c>
      <c r="BQ180" s="67">
        <v>-8000</v>
      </c>
      <c r="BR180" s="69"/>
      <c r="BS180" s="69"/>
      <c r="BT180" s="69"/>
      <c r="BU180" s="69"/>
      <c r="BV180" s="69"/>
      <c r="BW180" s="69"/>
      <c r="BX180" s="100"/>
      <c r="BY180" s="74"/>
      <c r="BZ180" s="74"/>
      <c r="CA180" s="74"/>
      <c r="CB180" s="74"/>
      <c r="CC180" s="74"/>
      <c r="CD180" s="74"/>
      <c r="CK180" s="100"/>
      <c r="CL180" s="130"/>
      <c r="CY180" s="100">
        <f t="shared" ref="CY180" si="537">SUM(CM180:CX180)</f>
        <v>0</v>
      </c>
      <c r="DL180" s="100">
        <f t="shared" ref="DL180" si="538">SUM(CZ180:DK180)</f>
        <v>0</v>
      </c>
    </row>
    <row r="181" spans="2:116" s="13" customFormat="1">
      <c r="B181" s="13" t="s">
        <v>336</v>
      </c>
      <c r="C181" s="32"/>
      <c r="D181" s="32"/>
      <c r="E181" s="32"/>
      <c r="F181" s="32"/>
      <c r="G181" s="32"/>
      <c r="H181" s="32"/>
      <c r="I181" s="32"/>
      <c r="J181" s="32"/>
      <c r="K181" s="32"/>
      <c r="L181" s="32"/>
      <c r="M181" s="103"/>
      <c r="N181" s="103"/>
      <c r="O181" s="210"/>
      <c r="P181" s="78"/>
      <c r="Q181" s="78"/>
      <c r="R181" s="78"/>
      <c r="S181" s="78"/>
      <c r="T181" s="78"/>
      <c r="U181" s="78"/>
      <c r="V181" s="78"/>
      <c r="W181" s="78"/>
      <c r="X181" s="78"/>
      <c r="Y181" s="78"/>
      <c r="Z181" s="78"/>
      <c r="AA181" s="78"/>
      <c r="AB181" s="184"/>
      <c r="AC181" s="131"/>
      <c r="AD181" s="78"/>
      <c r="AE181" s="78"/>
      <c r="AF181" s="78"/>
      <c r="AG181" s="78"/>
      <c r="AH181" s="78"/>
      <c r="AI181" s="78"/>
      <c r="AJ181" s="78"/>
      <c r="AK181" s="111"/>
      <c r="AL181" s="131"/>
      <c r="AM181" s="78"/>
      <c r="AN181" s="78"/>
      <c r="AO181" s="78"/>
      <c r="AP181" s="78"/>
      <c r="AQ181" s="78"/>
      <c r="AR181" s="78"/>
      <c r="AS181" s="78"/>
      <c r="AT181" s="78"/>
      <c r="AU181" s="78"/>
      <c r="AV181" s="78"/>
      <c r="AW181" s="78"/>
      <c r="AX181" s="184"/>
      <c r="AY181" s="127"/>
      <c r="AZ181" s="112"/>
      <c r="BA181" s="112"/>
      <c r="BB181" s="112"/>
      <c r="BC181" s="112"/>
      <c r="BD181" s="112"/>
      <c r="BE181" s="112"/>
      <c r="BF181" s="112"/>
      <c r="BG181" s="112"/>
      <c r="BH181" s="112"/>
      <c r="BI181" s="112">
        <f>BH181+BI180</f>
        <v>0</v>
      </c>
      <c r="BJ181" s="112">
        <f>BI181+BJ180</f>
        <v>-64604.73</v>
      </c>
      <c r="BK181" s="111">
        <f>BJ181</f>
        <v>-64604.73</v>
      </c>
      <c r="BL181" s="112">
        <f>BK181+BL180</f>
        <v>-64604.73</v>
      </c>
      <c r="BM181" s="112">
        <f>BL181+BM180</f>
        <v>-94604.73000000001</v>
      </c>
      <c r="BN181" s="246">
        <f t="shared" ref="BN181:BY181" si="539">BM181+BN180</f>
        <v>-94604.73000000001</v>
      </c>
      <c r="BO181" s="112">
        <f t="shared" si="539"/>
        <v>-94604.73000000001</v>
      </c>
      <c r="BP181" s="112">
        <f t="shared" si="539"/>
        <v>-104204.73000000001</v>
      </c>
      <c r="BQ181" s="112">
        <f t="shared" si="539"/>
        <v>-112204.73000000001</v>
      </c>
      <c r="BR181" s="112">
        <f t="shared" si="539"/>
        <v>-112204.73000000001</v>
      </c>
      <c r="BS181" s="112">
        <f t="shared" si="539"/>
        <v>-112204.73000000001</v>
      </c>
      <c r="BT181" s="112">
        <f t="shared" si="539"/>
        <v>-112204.73000000001</v>
      </c>
      <c r="BU181" s="112">
        <f t="shared" si="539"/>
        <v>-112204.73000000001</v>
      </c>
      <c r="BV181" s="112">
        <f t="shared" si="539"/>
        <v>-112204.73000000001</v>
      </c>
      <c r="BW181" s="112">
        <f t="shared" si="539"/>
        <v>-112204.73000000001</v>
      </c>
      <c r="BX181" s="111">
        <f>BW181</f>
        <v>-112204.73000000001</v>
      </c>
      <c r="BY181" s="112">
        <f t="shared" si="539"/>
        <v>-112204.73000000001</v>
      </c>
      <c r="BZ181" s="112">
        <f t="shared" ref="BZ181" si="540">BY181+BZ180</f>
        <v>-112204.73000000001</v>
      </c>
      <c r="CA181" s="112">
        <f t="shared" ref="CA181" si="541">BZ181+CA180</f>
        <v>-112204.73000000001</v>
      </c>
      <c r="CB181" s="112">
        <f t="shared" ref="CB181" si="542">CA181+CB180</f>
        <v>-112204.73000000001</v>
      </c>
      <c r="CC181" s="112">
        <f t="shared" ref="CC181" si="543">CB181+CC180</f>
        <v>-112204.73000000001</v>
      </c>
      <c r="CD181" s="112">
        <f t="shared" ref="CD181" si="544">CC181+CD180</f>
        <v>-112204.73000000001</v>
      </c>
      <c r="CE181" s="113">
        <f t="shared" ref="CE181" si="545">CD181+CE180</f>
        <v>-112204.73000000001</v>
      </c>
      <c r="CF181" s="113">
        <f t="shared" ref="CF181" si="546">CE181+CF180</f>
        <v>-112204.73000000001</v>
      </c>
      <c r="CG181" s="113">
        <f t="shared" ref="CG181" si="547">CF181+CG180</f>
        <v>-112204.73000000001</v>
      </c>
      <c r="CH181" s="113">
        <f t="shared" ref="CH181" si="548">CG181+CH180</f>
        <v>-112204.73000000001</v>
      </c>
      <c r="CI181" s="113">
        <f t="shared" ref="CI181" si="549">CH181+CI180</f>
        <v>-112204.73000000001</v>
      </c>
      <c r="CJ181" s="113">
        <f t="shared" ref="CJ181" si="550">CI181+CJ180</f>
        <v>-112204.73000000001</v>
      </c>
      <c r="CK181" s="111">
        <f>CJ181</f>
        <v>-112204.73000000001</v>
      </c>
      <c r="CL181" s="132"/>
      <c r="CM181" s="113">
        <f>CJ181+CM180</f>
        <v>-112204.73000000001</v>
      </c>
      <c r="CN181" s="113">
        <f t="shared" ref="CN181" si="551">CM181+CN180</f>
        <v>-112204.73000000001</v>
      </c>
      <c r="CO181" s="113">
        <f t="shared" ref="CO181" si="552">CN181+CO180</f>
        <v>-112204.73000000001</v>
      </c>
      <c r="CP181" s="113">
        <f t="shared" ref="CP181" si="553">CO181+CP180</f>
        <v>-112204.73000000001</v>
      </c>
      <c r="CQ181" s="113">
        <f t="shared" ref="CQ181" si="554">CP181+CQ180</f>
        <v>-112204.73000000001</v>
      </c>
      <c r="CR181" s="113">
        <f t="shared" ref="CR181" si="555">CQ181+CR180</f>
        <v>-112204.73000000001</v>
      </c>
      <c r="CS181" s="113">
        <f t="shared" ref="CS181" si="556">CR181+CS180</f>
        <v>-112204.73000000001</v>
      </c>
      <c r="CT181" s="113">
        <f t="shared" ref="CT181" si="557">CS181+CT180</f>
        <v>-112204.73000000001</v>
      </c>
      <c r="CU181" s="113">
        <f t="shared" ref="CU181" si="558">CT181+CU180</f>
        <v>-112204.73000000001</v>
      </c>
      <c r="CV181" s="113">
        <f t="shared" ref="CV181" si="559">CU181+CV180</f>
        <v>-112204.73000000001</v>
      </c>
      <c r="CW181" s="113">
        <f t="shared" ref="CW181" si="560">CV181+CW180</f>
        <v>-112204.73000000001</v>
      </c>
      <c r="CX181" s="113">
        <f t="shared" ref="CX181" si="561">CW181+CX180</f>
        <v>-112204.73000000001</v>
      </c>
      <c r="CY181" s="111">
        <f>CX181</f>
        <v>-112204.73000000001</v>
      </c>
      <c r="DL181" s="111">
        <f>DK181</f>
        <v>0</v>
      </c>
    </row>
    <row r="182" spans="2:116">
      <c r="B182" s="11" t="s">
        <v>345</v>
      </c>
      <c r="C182" s="4"/>
      <c r="D182" s="4"/>
      <c r="E182" s="4"/>
      <c r="F182" s="4"/>
      <c r="G182" s="4"/>
      <c r="H182" s="4"/>
      <c r="I182" s="4"/>
      <c r="J182" s="4"/>
      <c r="K182" s="4"/>
      <c r="L182" s="4"/>
      <c r="M182" s="139"/>
      <c r="N182" s="139"/>
      <c r="O182" s="66"/>
      <c r="P182" s="98"/>
      <c r="Q182" s="98"/>
      <c r="R182" s="98"/>
      <c r="S182" s="98"/>
      <c r="T182" s="98"/>
      <c r="U182" s="98"/>
      <c r="V182" s="98"/>
      <c r="W182" s="98"/>
      <c r="X182" s="98"/>
      <c r="Y182" s="98"/>
      <c r="Z182" s="98"/>
      <c r="AA182" s="98"/>
      <c r="AB182" s="114"/>
      <c r="AC182" s="129"/>
      <c r="AD182" s="98"/>
      <c r="AE182" s="98"/>
      <c r="AF182" s="98"/>
      <c r="AG182" s="98"/>
      <c r="AH182" s="98"/>
      <c r="AI182" s="98"/>
      <c r="AJ182" s="98"/>
      <c r="AK182" s="100"/>
      <c r="AL182" s="193"/>
      <c r="AM182" s="98"/>
      <c r="AN182" s="98"/>
      <c r="AO182" s="98"/>
      <c r="AP182" s="98"/>
      <c r="AQ182" s="98"/>
      <c r="AR182" s="98"/>
      <c r="AS182" s="98"/>
      <c r="AT182" s="98"/>
      <c r="AU182" s="98"/>
      <c r="AV182" s="98"/>
      <c r="AW182" s="98"/>
      <c r="AX182" s="114"/>
      <c r="AY182" s="120"/>
      <c r="AZ182" s="69"/>
      <c r="BA182" s="69"/>
      <c r="BB182" s="69"/>
      <c r="BC182" s="69"/>
      <c r="BD182" s="69"/>
      <c r="BE182" s="69"/>
      <c r="BF182" s="69"/>
      <c r="BG182" s="69"/>
      <c r="BH182" s="69"/>
      <c r="BI182" s="69"/>
      <c r="BJ182" s="69"/>
      <c r="BK182" s="100"/>
      <c r="BL182" s="69"/>
      <c r="BM182" s="69"/>
      <c r="BN182" s="213"/>
      <c r="BO182" s="69"/>
      <c r="BP182" s="69"/>
      <c r="BQ182" s="69"/>
      <c r="BR182" s="69"/>
      <c r="BS182" s="69"/>
      <c r="BT182" s="69"/>
      <c r="BU182" s="69"/>
      <c r="BV182" s="69"/>
      <c r="BW182" s="69"/>
      <c r="BX182" s="100"/>
      <c r="BY182" s="74"/>
      <c r="BZ182" s="74"/>
      <c r="CA182" s="74"/>
      <c r="CB182" s="74"/>
      <c r="CC182" s="74"/>
      <c r="CD182" s="74"/>
      <c r="CK182" s="100"/>
      <c r="CL182" s="130"/>
      <c r="CY182" s="100"/>
      <c r="DL182" s="100"/>
    </row>
    <row r="183" spans="2:116">
      <c r="B183" s="1" t="s">
        <v>226</v>
      </c>
      <c r="C183" s="4"/>
      <c r="D183" s="4"/>
      <c r="E183" s="4"/>
      <c r="F183" s="4"/>
      <c r="G183" s="4"/>
      <c r="H183" s="4"/>
      <c r="I183" s="4"/>
      <c r="J183" s="4"/>
      <c r="K183" s="4"/>
      <c r="L183" s="4"/>
      <c r="M183" s="139"/>
      <c r="N183" s="139"/>
      <c r="O183" s="66"/>
      <c r="P183" s="98"/>
      <c r="Q183" s="98"/>
      <c r="R183" s="98"/>
      <c r="S183" s="98"/>
      <c r="T183" s="98"/>
      <c r="U183" s="98"/>
      <c r="V183" s="98"/>
      <c r="W183" s="98"/>
      <c r="X183" s="98"/>
      <c r="Y183" s="98"/>
      <c r="Z183" s="98"/>
      <c r="AA183" s="98"/>
      <c r="AB183" s="114"/>
      <c r="AC183" s="129"/>
      <c r="AD183" s="98"/>
      <c r="AE183" s="98"/>
      <c r="AF183" s="98"/>
      <c r="AG183" s="98"/>
      <c r="AH183" s="98"/>
      <c r="AI183" s="98"/>
      <c r="AJ183" s="98"/>
      <c r="AK183" s="100"/>
      <c r="AL183" s="129"/>
      <c r="AM183" s="98"/>
      <c r="AN183" s="98"/>
      <c r="AO183" s="98"/>
      <c r="AP183" s="98"/>
      <c r="AQ183" s="98"/>
      <c r="AR183" s="98"/>
      <c r="AS183" s="98"/>
      <c r="AT183" s="98"/>
      <c r="AU183" s="98"/>
      <c r="AV183" s="98"/>
      <c r="AW183" s="98"/>
      <c r="AX183" s="114"/>
      <c r="AY183" s="120"/>
      <c r="AZ183" s="67"/>
      <c r="BA183" s="67"/>
      <c r="BB183" s="67"/>
      <c r="BC183" s="67"/>
      <c r="BD183" s="67"/>
      <c r="BE183" s="67"/>
      <c r="BF183" s="67"/>
      <c r="BG183" s="67"/>
      <c r="BH183" s="67"/>
      <c r="BI183" s="67"/>
      <c r="BJ183" s="67"/>
      <c r="BK183" s="100"/>
      <c r="BL183" s="69"/>
      <c r="BM183" s="67"/>
      <c r="BN183" s="213"/>
      <c r="BO183" s="69"/>
      <c r="BP183" s="67">
        <v>-15000</v>
      </c>
      <c r="BQ183" s="69"/>
      <c r="BR183" s="69"/>
      <c r="BS183" s="69"/>
      <c r="BT183" s="69"/>
      <c r="BU183" s="69"/>
      <c r="BV183" s="69"/>
      <c r="BW183" s="69"/>
      <c r="BX183" s="100"/>
      <c r="BY183" s="74"/>
      <c r="BZ183" s="74"/>
      <c r="CA183" s="74"/>
      <c r="CB183" s="74"/>
      <c r="CC183" s="74"/>
      <c r="CD183" s="74"/>
      <c r="CK183" s="100"/>
      <c r="CL183" s="130"/>
      <c r="CY183" s="100">
        <f t="shared" ref="CY183" si="562">SUM(CM183:CX183)</f>
        <v>0</v>
      </c>
      <c r="DL183" s="100">
        <f t="shared" ref="DL183" si="563">SUM(CZ183:DK183)</f>
        <v>0</v>
      </c>
    </row>
    <row r="184" spans="2:116" s="13" customFormat="1">
      <c r="B184" s="13" t="s">
        <v>336</v>
      </c>
      <c r="C184" s="32"/>
      <c r="D184" s="32"/>
      <c r="E184" s="32"/>
      <c r="F184" s="32"/>
      <c r="G184" s="32"/>
      <c r="H184" s="32"/>
      <c r="I184" s="32"/>
      <c r="J184" s="32"/>
      <c r="K184" s="32"/>
      <c r="L184" s="32"/>
      <c r="M184" s="103"/>
      <c r="N184" s="103"/>
      <c r="O184" s="210"/>
      <c r="P184" s="78"/>
      <c r="Q184" s="78"/>
      <c r="R184" s="78"/>
      <c r="S184" s="78"/>
      <c r="T184" s="78"/>
      <c r="U184" s="78"/>
      <c r="V184" s="78"/>
      <c r="W184" s="78"/>
      <c r="X184" s="78"/>
      <c r="Y184" s="78"/>
      <c r="Z184" s="78"/>
      <c r="AA184" s="78"/>
      <c r="AB184" s="184"/>
      <c r="AC184" s="131"/>
      <c r="AD184" s="78"/>
      <c r="AE184" s="78"/>
      <c r="AF184" s="78"/>
      <c r="AG184" s="78"/>
      <c r="AH184" s="78"/>
      <c r="AI184" s="78"/>
      <c r="AJ184" s="78"/>
      <c r="AK184" s="111"/>
      <c r="AL184" s="131"/>
      <c r="AM184" s="78"/>
      <c r="AN184" s="78"/>
      <c r="AO184" s="78"/>
      <c r="AP184" s="78"/>
      <c r="AQ184" s="78"/>
      <c r="AR184" s="78"/>
      <c r="AS184" s="78"/>
      <c r="AT184" s="78"/>
      <c r="AU184" s="78"/>
      <c r="AV184" s="78"/>
      <c r="AW184" s="78"/>
      <c r="AX184" s="184"/>
      <c r="AY184" s="127"/>
      <c r="AZ184" s="112"/>
      <c r="BA184" s="112"/>
      <c r="BB184" s="112"/>
      <c r="BC184" s="112"/>
      <c r="BD184" s="112"/>
      <c r="BE184" s="112"/>
      <c r="BF184" s="112"/>
      <c r="BG184" s="112"/>
      <c r="BH184" s="112"/>
      <c r="BI184" s="112"/>
      <c r="BJ184" s="112">
        <f>BI184+BJ183</f>
        <v>0</v>
      </c>
      <c r="BK184" s="111">
        <f>BJ184</f>
        <v>0</v>
      </c>
      <c r="BL184" s="112">
        <f>BK184+BL183</f>
        <v>0</v>
      </c>
      <c r="BM184" s="112">
        <f>BL184+BM183</f>
        <v>0</v>
      </c>
      <c r="BN184" s="246">
        <f t="shared" ref="BN184" si="564">BM184+BN183</f>
        <v>0</v>
      </c>
      <c r="BO184" s="112">
        <f t="shared" ref="BO184" si="565">BN184+BO183</f>
        <v>0</v>
      </c>
      <c r="BP184" s="112">
        <f t="shared" ref="BP184" si="566">BO184+BP183</f>
        <v>-15000</v>
      </c>
      <c r="BQ184" s="112">
        <f t="shared" ref="BQ184" si="567">BP184+BQ183</f>
        <v>-15000</v>
      </c>
      <c r="BR184" s="112">
        <f t="shared" ref="BR184" si="568">BQ184+BR183</f>
        <v>-15000</v>
      </c>
      <c r="BS184" s="112">
        <f t="shared" ref="BS184" si="569">BR184+BS183</f>
        <v>-15000</v>
      </c>
      <c r="BT184" s="112">
        <f t="shared" ref="BT184" si="570">BS184+BT183</f>
        <v>-15000</v>
      </c>
      <c r="BU184" s="112">
        <f t="shared" ref="BU184" si="571">BT184+BU183</f>
        <v>-15000</v>
      </c>
      <c r="BV184" s="112">
        <f t="shared" ref="BV184" si="572">BU184+BV183</f>
        <v>-15000</v>
      </c>
      <c r="BW184" s="112">
        <f t="shared" ref="BW184" si="573">BV184+BW183</f>
        <v>-15000</v>
      </c>
      <c r="BX184" s="111">
        <f>BW184</f>
        <v>-15000</v>
      </c>
      <c r="BY184" s="112">
        <f t="shared" ref="BY184" si="574">BX184+BY183</f>
        <v>-15000</v>
      </c>
      <c r="BZ184" s="112">
        <f t="shared" ref="BZ184" si="575">BY184+BZ183</f>
        <v>-15000</v>
      </c>
      <c r="CA184" s="112">
        <f t="shared" ref="CA184" si="576">BZ184+CA183</f>
        <v>-15000</v>
      </c>
      <c r="CB184" s="112">
        <f t="shared" ref="CB184" si="577">CA184+CB183</f>
        <v>-15000</v>
      </c>
      <c r="CC184" s="112">
        <f t="shared" ref="CC184" si="578">CB184+CC183</f>
        <v>-15000</v>
      </c>
      <c r="CD184" s="112">
        <f t="shared" ref="CD184" si="579">CC184+CD183</f>
        <v>-15000</v>
      </c>
      <c r="CE184" s="113">
        <f t="shared" ref="CE184" si="580">CD184+CE183</f>
        <v>-15000</v>
      </c>
      <c r="CF184" s="113">
        <f t="shared" ref="CF184" si="581">CE184+CF183</f>
        <v>-15000</v>
      </c>
      <c r="CG184" s="113">
        <f t="shared" ref="CG184" si="582">CF184+CG183</f>
        <v>-15000</v>
      </c>
      <c r="CH184" s="113">
        <f t="shared" ref="CH184" si="583">CG184+CH183</f>
        <v>-15000</v>
      </c>
      <c r="CI184" s="113">
        <f t="shared" ref="CI184" si="584">CH184+CI183</f>
        <v>-15000</v>
      </c>
      <c r="CJ184" s="113">
        <f t="shared" ref="CJ184" si="585">CI184+CJ183</f>
        <v>-15000</v>
      </c>
      <c r="CK184" s="111">
        <f>CJ184</f>
        <v>-15000</v>
      </c>
      <c r="CL184" s="132"/>
      <c r="CM184" s="113">
        <f>CJ184+CM183</f>
        <v>-15000</v>
      </c>
      <c r="CN184" s="113">
        <f t="shared" ref="CN184" si="586">CM184+CN183</f>
        <v>-15000</v>
      </c>
      <c r="CO184" s="113">
        <f t="shared" ref="CO184" si="587">CN184+CO183</f>
        <v>-15000</v>
      </c>
      <c r="CP184" s="113">
        <f t="shared" ref="CP184" si="588">CO184+CP183</f>
        <v>-15000</v>
      </c>
      <c r="CQ184" s="113">
        <f t="shared" ref="CQ184" si="589">CP184+CQ183</f>
        <v>-15000</v>
      </c>
      <c r="CR184" s="113">
        <f t="shared" ref="CR184" si="590">CQ184+CR183</f>
        <v>-15000</v>
      </c>
      <c r="CS184" s="113">
        <f t="shared" ref="CS184" si="591">CR184+CS183</f>
        <v>-15000</v>
      </c>
      <c r="CT184" s="113">
        <f t="shared" ref="CT184" si="592">CS184+CT183</f>
        <v>-15000</v>
      </c>
      <c r="CU184" s="113">
        <f t="shared" ref="CU184" si="593">CT184+CU183</f>
        <v>-15000</v>
      </c>
      <c r="CV184" s="113">
        <f t="shared" ref="CV184" si="594">CU184+CV183</f>
        <v>-15000</v>
      </c>
      <c r="CW184" s="113">
        <f t="shared" ref="CW184" si="595">CV184+CW183</f>
        <v>-15000</v>
      </c>
      <c r="CX184" s="113">
        <f t="shared" ref="CX184" si="596">CW184+CX183</f>
        <v>-15000</v>
      </c>
      <c r="CY184" s="111">
        <f>CX184</f>
        <v>-15000</v>
      </c>
      <c r="DL184" s="111">
        <f>DK184</f>
        <v>0</v>
      </c>
    </row>
    <row r="185" spans="2:116">
      <c r="B185" s="11" t="s">
        <v>346</v>
      </c>
      <c r="C185" s="4"/>
      <c r="D185" s="4"/>
      <c r="E185" s="4"/>
      <c r="F185" s="4"/>
      <c r="G185" s="4"/>
      <c r="H185" s="4"/>
      <c r="I185" s="4"/>
      <c r="J185" s="4"/>
      <c r="K185" s="4"/>
      <c r="L185" s="4"/>
      <c r="M185" s="139"/>
      <c r="N185" s="139"/>
      <c r="O185" s="66"/>
      <c r="P185" s="98"/>
      <c r="Q185" s="98"/>
      <c r="R185" s="98"/>
      <c r="S185" s="98"/>
      <c r="T185" s="98"/>
      <c r="U185" s="98"/>
      <c r="V185" s="98"/>
      <c r="W185" s="98"/>
      <c r="X185" s="98"/>
      <c r="Y185" s="98"/>
      <c r="Z185" s="98"/>
      <c r="AA185" s="98"/>
      <c r="AB185" s="114"/>
      <c r="AC185" s="129"/>
      <c r="AD185" s="98"/>
      <c r="AE185" s="98"/>
      <c r="AF185" s="98"/>
      <c r="AG185" s="98"/>
      <c r="AH185" s="98"/>
      <c r="AI185" s="98"/>
      <c r="AJ185" s="98"/>
      <c r="AK185" s="100"/>
      <c r="AL185" s="193"/>
      <c r="AM185" s="98"/>
      <c r="AN185" s="98"/>
      <c r="AO185" s="98"/>
      <c r="AP185" s="98"/>
      <c r="AQ185" s="98"/>
      <c r="AR185" s="98"/>
      <c r="AS185" s="98"/>
      <c r="AT185" s="98"/>
      <c r="AU185" s="98"/>
      <c r="AV185" s="98"/>
      <c r="AW185" s="98"/>
      <c r="AX185" s="114"/>
      <c r="AY185" s="120"/>
      <c r="AZ185" s="69"/>
      <c r="BA185" s="69"/>
      <c r="BB185" s="69"/>
      <c r="BC185" s="69"/>
      <c r="BD185" s="69"/>
      <c r="BE185" s="69"/>
      <c r="BF185" s="69"/>
      <c r="BG185" s="69"/>
      <c r="BH185" s="69"/>
      <c r="BI185" s="69"/>
      <c r="BJ185" s="69"/>
      <c r="BK185" s="100"/>
      <c r="BL185" s="69"/>
      <c r="BM185" s="69"/>
      <c r="BN185" s="213"/>
      <c r="BO185" s="69"/>
      <c r="BP185" s="69"/>
      <c r="BQ185" s="69"/>
      <c r="BR185" s="69"/>
      <c r="BS185" s="69"/>
      <c r="BT185" s="69"/>
      <c r="BU185" s="69"/>
      <c r="BV185" s="69"/>
      <c r="BW185" s="69"/>
      <c r="BX185" s="100"/>
      <c r="BY185" s="74"/>
      <c r="BZ185" s="74"/>
      <c r="CA185" s="74"/>
      <c r="CB185" s="74"/>
      <c r="CC185" s="74"/>
      <c r="CD185" s="74"/>
      <c r="CK185" s="100"/>
      <c r="CL185" s="88"/>
      <c r="CY185" s="100"/>
      <c r="DL185" s="100"/>
    </row>
    <row r="186" spans="2:116">
      <c r="B186" s="1" t="s">
        <v>226</v>
      </c>
      <c r="C186" s="4"/>
      <c r="D186" s="4"/>
      <c r="E186" s="4"/>
      <c r="F186" s="4"/>
      <c r="G186" s="4"/>
      <c r="H186" s="4"/>
      <c r="I186" s="4"/>
      <c r="J186" s="4"/>
      <c r="K186" s="4"/>
      <c r="L186" s="4"/>
      <c r="M186" s="139"/>
      <c r="N186" s="139"/>
      <c r="O186" s="66"/>
      <c r="P186" s="98"/>
      <c r="Q186" s="98"/>
      <c r="R186" s="98"/>
      <c r="S186" s="98"/>
      <c r="T186" s="98"/>
      <c r="U186" s="98"/>
      <c r="V186" s="98"/>
      <c r="W186" s="98"/>
      <c r="X186" s="98"/>
      <c r="Y186" s="98"/>
      <c r="Z186" s="98"/>
      <c r="AA186" s="98"/>
      <c r="AB186" s="114"/>
      <c r="AC186" s="129"/>
      <c r="AD186" s="98"/>
      <c r="AE186" s="98"/>
      <c r="AF186" s="98"/>
      <c r="AG186" s="98"/>
      <c r="AH186" s="98"/>
      <c r="AI186" s="98"/>
      <c r="AJ186" s="98"/>
      <c r="AK186" s="100"/>
      <c r="AL186" s="129"/>
      <c r="AM186" s="98"/>
      <c r="AN186" s="98"/>
      <c r="AO186" s="98"/>
      <c r="AP186" s="98"/>
      <c r="AQ186" s="98"/>
      <c r="AR186" s="98"/>
      <c r="AS186" s="98"/>
      <c r="AT186" s="98"/>
      <c r="AU186" s="98"/>
      <c r="AV186" s="98"/>
      <c r="AW186" s="98"/>
      <c r="AX186" s="114"/>
      <c r="AY186" s="120"/>
      <c r="AZ186" s="67"/>
      <c r="BA186" s="67"/>
      <c r="BB186" s="67"/>
      <c r="BC186" s="67"/>
      <c r="BD186" s="67"/>
      <c r="BE186" s="67"/>
      <c r="BF186" s="67"/>
      <c r="BG186" s="67"/>
      <c r="BH186" s="67"/>
      <c r="BI186" s="67">
        <f>-15000/1.0192</f>
        <v>-14717.425431711144</v>
      </c>
      <c r="BJ186" s="67"/>
      <c r="BK186" s="100"/>
      <c r="BL186" s="69"/>
      <c r="BM186" s="67"/>
      <c r="BN186" s="213"/>
      <c r="BO186" s="69"/>
      <c r="BP186" s="67">
        <v>-3000</v>
      </c>
      <c r="BQ186" s="69"/>
      <c r="BR186" s="67">
        <f>-211.47-(190+20+385+75)*(1.21-0.15)</f>
        <v>-921.67000000000007</v>
      </c>
      <c r="BS186" s="74"/>
      <c r="BT186" s="179"/>
      <c r="BU186" s="67">
        <f>-(310.29+363)</f>
        <v>-673.29</v>
      </c>
      <c r="BV186" s="72"/>
      <c r="BW186" s="72"/>
      <c r="BX186" s="100"/>
      <c r="BY186" s="74"/>
      <c r="BZ186" s="179"/>
      <c r="CA186" s="68">
        <f>-300*1.21</f>
        <v>-363</v>
      </c>
      <c r="CB186" s="190">
        <f>-50*1.21</f>
        <v>-60.5</v>
      </c>
      <c r="CC186" s="74"/>
      <c r="CD186" s="74"/>
      <c r="CK186" s="100"/>
      <c r="CL186" s="293">
        <f>-(150*(1.21-0.15))-45*3</f>
        <v>-294</v>
      </c>
      <c r="CY186" s="100">
        <f t="shared" ref="CY186" si="597">SUM(CM186:CX186)</f>
        <v>0</v>
      </c>
      <c r="DL186" s="100">
        <f t="shared" ref="DL186" si="598">SUM(CZ186:DK186)</f>
        <v>0</v>
      </c>
    </row>
    <row r="187" spans="2:116" s="13" customFormat="1">
      <c r="B187" s="13" t="s">
        <v>336</v>
      </c>
      <c r="C187" s="32"/>
      <c r="D187" s="32"/>
      <c r="E187" s="32"/>
      <c r="F187" s="32"/>
      <c r="G187" s="32"/>
      <c r="H187" s="32"/>
      <c r="I187" s="32"/>
      <c r="J187" s="32"/>
      <c r="K187" s="32"/>
      <c r="L187" s="32"/>
      <c r="M187" s="103"/>
      <c r="N187" s="103"/>
      <c r="O187" s="210"/>
      <c r="P187" s="78"/>
      <c r="Q187" s="78"/>
      <c r="R187" s="78"/>
      <c r="S187" s="78"/>
      <c r="T187" s="78"/>
      <c r="U187" s="78"/>
      <c r="V187" s="78"/>
      <c r="W187" s="78"/>
      <c r="X187" s="78"/>
      <c r="Y187" s="78"/>
      <c r="Z187" s="78"/>
      <c r="AA187" s="78"/>
      <c r="AB187" s="184"/>
      <c r="AC187" s="131"/>
      <c r="AD187" s="78"/>
      <c r="AE187" s="78"/>
      <c r="AF187" s="78"/>
      <c r="AG187" s="78"/>
      <c r="AH187" s="78"/>
      <c r="AI187" s="78"/>
      <c r="AJ187" s="78"/>
      <c r="AK187" s="111"/>
      <c r="AL187" s="131"/>
      <c r="AM187" s="78"/>
      <c r="AN187" s="78"/>
      <c r="AO187" s="78"/>
      <c r="AP187" s="78"/>
      <c r="AQ187" s="78"/>
      <c r="AR187" s="78"/>
      <c r="AS187" s="78"/>
      <c r="AT187" s="78"/>
      <c r="AU187" s="78"/>
      <c r="AV187" s="78"/>
      <c r="AW187" s="78"/>
      <c r="AX187" s="184"/>
      <c r="AY187" s="127"/>
      <c r="AZ187" s="112"/>
      <c r="BA187" s="112"/>
      <c r="BB187" s="112"/>
      <c r="BC187" s="112"/>
      <c r="BD187" s="112"/>
      <c r="BE187" s="112"/>
      <c r="BF187" s="112"/>
      <c r="BG187" s="112"/>
      <c r="BH187" s="112"/>
      <c r="BI187" s="112">
        <f>BH187+BI186</f>
        <v>-14717.425431711144</v>
      </c>
      <c r="BJ187" s="112">
        <f>BI187+BJ186</f>
        <v>-14717.425431711144</v>
      </c>
      <c r="BK187" s="111">
        <f>BJ187</f>
        <v>-14717.425431711144</v>
      </c>
      <c r="BL187" s="112">
        <f>BK187+BL186</f>
        <v>-14717.425431711144</v>
      </c>
      <c r="BM187" s="112">
        <f>BL187+BM186</f>
        <v>-14717.425431711144</v>
      </c>
      <c r="BN187" s="246">
        <f t="shared" ref="BN187" si="599">BM187+BN186</f>
        <v>-14717.425431711144</v>
      </c>
      <c r="BO187" s="112">
        <f t="shared" ref="BO187" si="600">BN187+BO186</f>
        <v>-14717.425431711144</v>
      </c>
      <c r="BP187" s="112">
        <f t="shared" ref="BP187" si="601">BO187+BP186</f>
        <v>-17717.425431711144</v>
      </c>
      <c r="BQ187" s="112">
        <f t="shared" ref="BQ187" si="602">BP187+BQ186</f>
        <v>-17717.425431711144</v>
      </c>
      <c r="BR187" s="112">
        <f t="shared" ref="BR187:BV187" si="603">BQ187+BR186</f>
        <v>-18639.095431711146</v>
      </c>
      <c r="BS187" s="112">
        <f t="shared" si="603"/>
        <v>-18639.095431711146</v>
      </c>
      <c r="BT187" s="112">
        <f>BS187+BT186</f>
        <v>-18639.095431711146</v>
      </c>
      <c r="BU187" s="112">
        <f>BT187+BU186</f>
        <v>-19312.385431711147</v>
      </c>
      <c r="BV187" s="112">
        <f t="shared" si="603"/>
        <v>-19312.385431711147</v>
      </c>
      <c r="BW187" s="112">
        <f>BV187+BW186</f>
        <v>-19312.385431711147</v>
      </c>
      <c r="BX187" s="111">
        <f>BW187</f>
        <v>-19312.385431711147</v>
      </c>
      <c r="BY187" s="112">
        <f>BX187+BY186</f>
        <v>-19312.385431711147</v>
      </c>
      <c r="BZ187" s="112">
        <f>BY187+BZ186</f>
        <v>-19312.385431711147</v>
      </c>
      <c r="CA187" s="112">
        <f>BZ187+CA186</f>
        <v>-19675.385431711147</v>
      </c>
      <c r="CB187" s="112">
        <f t="shared" ref="CB187:CJ187" si="604">CA187+CB186</f>
        <v>-19735.885431711147</v>
      </c>
      <c r="CC187" s="112">
        <f t="shared" si="604"/>
        <v>-19735.885431711147</v>
      </c>
      <c r="CD187" s="112">
        <f t="shared" si="604"/>
        <v>-19735.885431711147</v>
      </c>
      <c r="CE187" s="113">
        <f t="shared" si="604"/>
        <v>-19735.885431711147</v>
      </c>
      <c r="CF187" s="113">
        <f t="shared" si="604"/>
        <v>-19735.885431711147</v>
      </c>
      <c r="CG187" s="113">
        <f t="shared" si="604"/>
        <v>-19735.885431711147</v>
      </c>
      <c r="CH187" s="113">
        <f t="shared" si="604"/>
        <v>-19735.885431711147</v>
      </c>
      <c r="CI187" s="113">
        <f t="shared" si="604"/>
        <v>-19735.885431711147</v>
      </c>
      <c r="CJ187" s="113">
        <f t="shared" si="604"/>
        <v>-19735.885431711147</v>
      </c>
      <c r="CK187" s="111">
        <f>CJ187</f>
        <v>-19735.885431711147</v>
      </c>
      <c r="CL187" s="111"/>
      <c r="CM187" s="113">
        <f>CJ187+CM186</f>
        <v>-19735.885431711147</v>
      </c>
      <c r="CN187" s="113">
        <f t="shared" ref="CN187" si="605">CM187+CN186</f>
        <v>-19735.885431711147</v>
      </c>
      <c r="CO187" s="113">
        <f t="shared" ref="CO187" si="606">CN187+CO186</f>
        <v>-19735.885431711147</v>
      </c>
      <c r="CP187" s="113">
        <f t="shared" ref="CP187" si="607">CO187+CP186</f>
        <v>-19735.885431711147</v>
      </c>
      <c r="CQ187" s="113">
        <f t="shared" ref="CQ187" si="608">CP187+CQ186</f>
        <v>-19735.885431711147</v>
      </c>
      <c r="CR187" s="113">
        <f t="shared" ref="CR187" si="609">CQ187+CR186</f>
        <v>-19735.885431711147</v>
      </c>
      <c r="CS187" s="113">
        <f t="shared" ref="CS187" si="610">CR187+CS186</f>
        <v>-19735.885431711147</v>
      </c>
      <c r="CT187" s="113">
        <f t="shared" ref="CT187" si="611">CS187+CT186</f>
        <v>-19735.885431711147</v>
      </c>
      <c r="CU187" s="113">
        <f t="shared" ref="CU187" si="612">CT187+CU186</f>
        <v>-19735.885431711147</v>
      </c>
      <c r="CV187" s="113">
        <f t="shared" ref="CV187" si="613">CU187+CV186</f>
        <v>-19735.885431711147</v>
      </c>
      <c r="CW187" s="113">
        <f t="shared" ref="CW187" si="614">CV187+CW186</f>
        <v>-19735.885431711147</v>
      </c>
      <c r="CX187" s="113">
        <f t="shared" ref="CX187" si="615">CW187+CX186</f>
        <v>-19735.885431711147</v>
      </c>
      <c r="CY187" s="111">
        <f>CX187</f>
        <v>-19735.885431711147</v>
      </c>
      <c r="DL187" s="111">
        <f>DK187</f>
        <v>0</v>
      </c>
    </row>
    <row r="188" spans="2:116">
      <c r="B188" s="11" t="s">
        <v>347</v>
      </c>
      <c r="C188" s="4"/>
      <c r="D188" s="4"/>
      <c r="E188" s="4"/>
      <c r="F188" s="4"/>
      <c r="G188" s="4"/>
      <c r="H188" s="4"/>
      <c r="I188" s="4"/>
      <c r="J188" s="4"/>
      <c r="K188" s="4"/>
      <c r="L188" s="4"/>
      <c r="M188" s="139"/>
      <c r="N188" s="139"/>
      <c r="O188" s="66"/>
      <c r="P188" s="98"/>
      <c r="Q188" s="98"/>
      <c r="R188" s="98"/>
      <c r="S188" s="98"/>
      <c r="T188" s="98"/>
      <c r="U188" s="98"/>
      <c r="V188" s="98"/>
      <c r="W188" s="98"/>
      <c r="X188" s="98"/>
      <c r="Y188" s="98"/>
      <c r="Z188" s="98"/>
      <c r="AA188" s="98"/>
      <c r="AB188" s="114"/>
      <c r="AC188" s="129"/>
      <c r="AD188" s="98"/>
      <c r="AE188" s="98"/>
      <c r="AF188" s="98"/>
      <c r="AG188" s="98"/>
      <c r="AH188" s="98"/>
      <c r="AI188" s="98"/>
      <c r="AJ188" s="98"/>
      <c r="AK188" s="100"/>
      <c r="AL188" s="193"/>
      <c r="AM188" s="98"/>
      <c r="AN188" s="98"/>
      <c r="AO188" s="98"/>
      <c r="AP188" s="98"/>
      <c r="AQ188" s="98"/>
      <c r="AR188" s="98"/>
      <c r="AS188" s="98"/>
      <c r="AT188" s="98"/>
      <c r="AU188" s="98"/>
      <c r="AV188" s="98"/>
      <c r="AW188" s="98"/>
      <c r="AX188" s="114"/>
      <c r="AY188" s="120"/>
      <c r="AZ188" s="69"/>
      <c r="BA188" s="69"/>
      <c r="BB188" s="69"/>
      <c r="BC188" s="69"/>
      <c r="BD188" s="69"/>
      <c r="BE188" s="69"/>
      <c r="BF188" s="69"/>
      <c r="BG188" s="69"/>
      <c r="BH188" s="69"/>
      <c r="BI188" s="69"/>
      <c r="BJ188" s="69"/>
      <c r="BK188" s="100"/>
      <c r="BL188" s="69"/>
      <c r="BM188" s="69"/>
      <c r="BN188" s="213"/>
      <c r="BO188" s="69"/>
      <c r="BP188" s="69"/>
      <c r="BQ188" s="69"/>
      <c r="BR188" s="69"/>
      <c r="BS188" s="69"/>
      <c r="BT188" s="69"/>
      <c r="BU188" s="69"/>
      <c r="BV188" s="69"/>
      <c r="BW188" s="69"/>
      <c r="BX188" s="100"/>
      <c r="BY188" s="74"/>
      <c r="BZ188" s="74"/>
      <c r="CA188" s="74"/>
      <c r="CB188" s="74"/>
      <c r="CC188" s="74"/>
      <c r="CD188" s="74"/>
      <c r="CK188" s="100"/>
      <c r="CL188" s="130"/>
      <c r="CY188" s="100"/>
      <c r="DL188" s="100"/>
    </row>
    <row r="189" spans="2:116">
      <c r="B189" s="1" t="s">
        <v>226</v>
      </c>
      <c r="C189" s="4"/>
      <c r="D189" s="4"/>
      <c r="E189" s="4"/>
      <c r="F189" s="4"/>
      <c r="G189" s="4"/>
      <c r="H189" s="4"/>
      <c r="I189" s="4"/>
      <c r="J189" s="4"/>
      <c r="K189" s="4"/>
      <c r="L189" s="4"/>
      <c r="M189" s="139"/>
      <c r="N189" s="139"/>
      <c r="O189" s="66"/>
      <c r="P189" s="98"/>
      <c r="Q189" s="98"/>
      <c r="R189" s="98"/>
      <c r="S189" s="98"/>
      <c r="T189" s="98"/>
      <c r="U189" s="98"/>
      <c r="V189" s="98"/>
      <c r="W189" s="98"/>
      <c r="X189" s="98"/>
      <c r="Y189" s="98"/>
      <c r="Z189" s="98"/>
      <c r="AA189" s="98"/>
      <c r="AB189" s="114"/>
      <c r="AC189" s="129"/>
      <c r="AD189" s="98"/>
      <c r="AE189" s="98"/>
      <c r="AF189" s="98"/>
      <c r="AG189" s="98"/>
      <c r="AH189" s="98"/>
      <c r="AI189" s="98"/>
      <c r="AJ189" s="98"/>
      <c r="AK189" s="100"/>
      <c r="AL189" s="129"/>
      <c r="AM189" s="98"/>
      <c r="AN189" s="98"/>
      <c r="AO189" s="98"/>
      <c r="AP189" s="98"/>
      <c r="AQ189" s="98"/>
      <c r="AR189" s="98"/>
      <c r="AS189" s="98"/>
      <c r="AT189" s="98"/>
      <c r="AU189" s="98"/>
      <c r="AV189" s="98"/>
      <c r="AW189" s="98"/>
      <c r="AX189" s="114"/>
      <c r="AY189" s="120"/>
      <c r="AZ189" s="67"/>
      <c r="BA189" s="67"/>
      <c r="BB189" s="67"/>
      <c r="BC189" s="67"/>
      <c r="BD189" s="67"/>
      <c r="BE189" s="67"/>
      <c r="BF189" s="67"/>
      <c r="BG189" s="67"/>
      <c r="BH189" s="67"/>
      <c r="BI189" s="67"/>
      <c r="BJ189" s="67"/>
      <c r="BK189" s="100"/>
      <c r="BL189" s="69"/>
      <c r="BM189" s="67"/>
      <c r="BN189" s="213"/>
      <c r="BO189" s="69"/>
      <c r="BP189" s="67">
        <v>0</v>
      </c>
      <c r="BQ189" s="67">
        <v>-3000</v>
      </c>
      <c r="BR189" s="68">
        <f>-270.76</f>
        <v>-270.76</v>
      </c>
      <c r="BS189" s="69"/>
      <c r="BT189" s="69"/>
      <c r="BU189" s="67">
        <f>-(255.34+363)</f>
        <v>-618.34</v>
      </c>
      <c r="BV189" s="69"/>
      <c r="BW189" s="69"/>
      <c r="BX189" s="100"/>
      <c r="BY189" s="74"/>
      <c r="BZ189" s="179"/>
      <c r="CA189" s="74"/>
      <c r="CB189" s="74"/>
      <c r="CC189" s="74"/>
      <c r="CD189" s="74"/>
      <c r="CK189" s="100"/>
      <c r="CL189" s="130"/>
      <c r="CY189" s="100">
        <f t="shared" ref="CY189" si="616">SUM(CM189:CX189)</f>
        <v>0</v>
      </c>
      <c r="DL189" s="100">
        <f t="shared" ref="DL189" si="617">SUM(CZ189:DK189)</f>
        <v>0</v>
      </c>
    </row>
    <row r="190" spans="2:116" s="13" customFormat="1">
      <c r="B190" s="1" t="s">
        <v>336</v>
      </c>
      <c r="C190" s="136"/>
      <c r="D190" s="136"/>
      <c r="E190" s="136"/>
      <c r="F190" s="136"/>
      <c r="G190" s="136"/>
      <c r="H190" s="136"/>
      <c r="I190" s="136"/>
      <c r="J190" s="136"/>
      <c r="K190" s="136"/>
      <c r="L190" s="136"/>
      <c r="M190" s="102"/>
      <c r="N190" s="102"/>
      <c r="O190" s="66"/>
      <c r="P190" s="75"/>
      <c r="Q190" s="75"/>
      <c r="R190" s="75"/>
      <c r="S190" s="75"/>
      <c r="T190" s="75"/>
      <c r="U190" s="75"/>
      <c r="V190" s="75"/>
      <c r="W190" s="75"/>
      <c r="X190" s="75"/>
      <c r="Y190" s="75"/>
      <c r="Z190" s="75"/>
      <c r="AA190" s="75"/>
      <c r="AB190" s="114"/>
      <c r="AC190" s="129"/>
      <c r="AD190" s="75"/>
      <c r="AE190" s="75"/>
      <c r="AF190" s="75"/>
      <c r="AG190" s="75"/>
      <c r="AH190" s="75"/>
      <c r="AI190" s="75"/>
      <c r="AJ190" s="75"/>
      <c r="AK190" s="100"/>
      <c r="AL190" s="129"/>
      <c r="AM190" s="75"/>
      <c r="AN190" s="75"/>
      <c r="AO190" s="75"/>
      <c r="AP190" s="75"/>
      <c r="AQ190" s="75"/>
      <c r="AR190" s="75"/>
      <c r="AS190" s="75"/>
      <c r="AT190" s="75"/>
      <c r="AU190" s="75"/>
      <c r="AV190" s="75"/>
      <c r="AW190" s="75"/>
      <c r="AX190" s="114"/>
      <c r="AY190" s="120"/>
      <c r="AZ190" s="69"/>
      <c r="BA190" s="69"/>
      <c r="BB190" s="69"/>
      <c r="BC190" s="69"/>
      <c r="BD190" s="69"/>
      <c r="BE190" s="69"/>
      <c r="BF190" s="69"/>
      <c r="BG190" s="69"/>
      <c r="BH190" s="69"/>
      <c r="BI190" s="69"/>
      <c r="BJ190" s="69">
        <f>BI190+BJ189</f>
        <v>0</v>
      </c>
      <c r="BK190" s="100">
        <f>BJ190</f>
        <v>0</v>
      </c>
      <c r="BL190" s="69">
        <f>BK190+BL189</f>
        <v>0</v>
      </c>
      <c r="BM190" s="69">
        <f>BL190+BM189</f>
        <v>0</v>
      </c>
      <c r="BN190" s="213">
        <f t="shared" ref="BN190" si="618">BM190+BN189</f>
        <v>0</v>
      </c>
      <c r="BO190" s="69">
        <f t="shared" ref="BO190" si="619">BN190+BO189</f>
        <v>0</v>
      </c>
      <c r="BP190" s="69">
        <f>BO190+BP189</f>
        <v>0</v>
      </c>
      <c r="BQ190" s="69">
        <f>BP190+BQ189</f>
        <v>-3000</v>
      </c>
      <c r="BR190" s="69">
        <f t="shared" ref="BR190" si="620">BQ190+BR189</f>
        <v>-3270.76</v>
      </c>
      <c r="BS190" s="69">
        <f t="shared" ref="BS190" si="621">BR190+BS189</f>
        <v>-3270.76</v>
      </c>
      <c r="BT190" s="69">
        <f t="shared" ref="BT190" si="622">BS190+BT189</f>
        <v>-3270.76</v>
      </c>
      <c r="BU190" s="69">
        <f t="shared" ref="BU190" si="623">BT190+BU189</f>
        <v>-3889.1000000000004</v>
      </c>
      <c r="BV190" s="69">
        <f t="shared" ref="BV190" si="624">BU190+BV189</f>
        <v>-3889.1000000000004</v>
      </c>
      <c r="BW190" s="69">
        <f t="shared" ref="BW190" si="625">BV190+BW189</f>
        <v>-3889.1000000000004</v>
      </c>
      <c r="BX190" s="100">
        <f>BW190</f>
        <v>-3889.1000000000004</v>
      </c>
      <c r="BY190" s="69">
        <f>BX190+BY189</f>
        <v>-3889.1000000000004</v>
      </c>
      <c r="BZ190" s="112">
        <f t="shared" ref="BZ190:CJ190" si="626">BY190+BZ189</f>
        <v>-3889.1000000000004</v>
      </c>
      <c r="CA190" s="112">
        <f t="shared" si="626"/>
        <v>-3889.1000000000004</v>
      </c>
      <c r="CB190" s="112">
        <f t="shared" si="626"/>
        <v>-3889.1000000000004</v>
      </c>
      <c r="CC190" s="112">
        <f t="shared" si="626"/>
        <v>-3889.1000000000004</v>
      </c>
      <c r="CD190" s="112">
        <f t="shared" si="626"/>
        <v>-3889.1000000000004</v>
      </c>
      <c r="CE190" s="113">
        <f t="shared" si="626"/>
        <v>-3889.1000000000004</v>
      </c>
      <c r="CF190" s="113">
        <f t="shared" si="626"/>
        <v>-3889.1000000000004</v>
      </c>
      <c r="CG190" s="113">
        <f t="shared" si="626"/>
        <v>-3889.1000000000004</v>
      </c>
      <c r="CH190" s="113">
        <f t="shared" si="626"/>
        <v>-3889.1000000000004</v>
      </c>
      <c r="CI190" s="113">
        <f t="shared" si="626"/>
        <v>-3889.1000000000004</v>
      </c>
      <c r="CJ190" s="113">
        <f t="shared" si="626"/>
        <v>-3889.1000000000004</v>
      </c>
      <c r="CK190" s="100">
        <f>CJ190</f>
        <v>-3889.1000000000004</v>
      </c>
      <c r="CL190" s="130"/>
      <c r="CM190" s="113">
        <f>CJ190+CM189</f>
        <v>-3889.1000000000004</v>
      </c>
      <c r="CN190" s="113">
        <f t="shared" ref="CN190" si="627">CM190+CN189</f>
        <v>-3889.1000000000004</v>
      </c>
      <c r="CO190" s="113">
        <f t="shared" ref="CO190" si="628">CN190+CO189</f>
        <v>-3889.1000000000004</v>
      </c>
      <c r="CP190" s="113">
        <f t="shared" ref="CP190" si="629">CO190+CP189</f>
        <v>-3889.1000000000004</v>
      </c>
      <c r="CQ190" s="113">
        <f t="shared" ref="CQ190" si="630">CP190+CQ189</f>
        <v>-3889.1000000000004</v>
      </c>
      <c r="CR190" s="113">
        <f t="shared" ref="CR190" si="631">CQ190+CR189</f>
        <v>-3889.1000000000004</v>
      </c>
      <c r="CS190" s="113">
        <f t="shared" ref="CS190" si="632">CR190+CS189</f>
        <v>-3889.1000000000004</v>
      </c>
      <c r="CT190" s="113">
        <f t="shared" ref="CT190" si="633">CS190+CT189</f>
        <v>-3889.1000000000004</v>
      </c>
      <c r="CU190" s="113">
        <f t="shared" ref="CU190" si="634">CT190+CU189</f>
        <v>-3889.1000000000004</v>
      </c>
      <c r="CV190" s="113">
        <f t="shared" ref="CV190" si="635">CU190+CV189</f>
        <v>-3889.1000000000004</v>
      </c>
      <c r="CW190" s="113">
        <f t="shared" ref="CW190" si="636">CV190+CW189</f>
        <v>-3889.1000000000004</v>
      </c>
      <c r="CX190" s="113">
        <f t="shared" ref="CX190" si="637">CW190+CX189</f>
        <v>-3889.1000000000004</v>
      </c>
      <c r="CY190" s="111">
        <f>CX190</f>
        <v>-3889.1000000000004</v>
      </c>
      <c r="DL190" s="111">
        <f>DK190</f>
        <v>0</v>
      </c>
    </row>
    <row r="191" spans="2:116" ht="15.75" thickBot="1">
      <c r="B191" s="362"/>
      <c r="C191" s="363"/>
      <c r="D191" s="363"/>
      <c r="E191" s="363"/>
      <c r="F191" s="363"/>
      <c r="G191" s="363"/>
      <c r="H191" s="363"/>
      <c r="I191" s="363"/>
      <c r="J191" s="363"/>
      <c r="K191" s="363"/>
      <c r="L191" s="363"/>
      <c r="M191" s="364"/>
      <c r="N191" s="364"/>
      <c r="O191" s="365"/>
      <c r="P191" s="366"/>
      <c r="Q191" s="366"/>
      <c r="R191" s="366"/>
      <c r="S191" s="366"/>
      <c r="T191" s="366"/>
      <c r="U191" s="366"/>
      <c r="V191" s="366"/>
      <c r="W191" s="366"/>
      <c r="X191" s="366"/>
      <c r="Y191" s="366"/>
      <c r="Z191" s="366"/>
      <c r="AA191" s="366"/>
      <c r="AB191" s="367"/>
      <c r="AC191" s="368"/>
      <c r="AD191" s="366"/>
      <c r="AE191" s="366"/>
      <c r="AF191" s="366"/>
      <c r="AG191" s="366"/>
      <c r="AH191" s="366"/>
      <c r="AI191" s="366"/>
      <c r="AJ191" s="366"/>
      <c r="AK191" s="369"/>
      <c r="AL191" s="366"/>
      <c r="AM191" s="366"/>
      <c r="AN191" s="366"/>
      <c r="AO191" s="366"/>
      <c r="AP191" s="366"/>
      <c r="AQ191" s="366"/>
      <c r="AR191" s="366"/>
      <c r="AS191" s="366"/>
      <c r="AT191" s="366"/>
      <c r="AU191" s="366"/>
      <c r="AV191" s="366"/>
      <c r="AW191" s="366"/>
      <c r="AX191" s="367"/>
      <c r="AY191" s="370"/>
      <c r="AZ191" s="371"/>
      <c r="BA191" s="371"/>
      <c r="BB191" s="371"/>
      <c r="BC191" s="371"/>
      <c r="BD191" s="371"/>
      <c r="BE191" s="371"/>
      <c r="BF191" s="371"/>
      <c r="BG191" s="371"/>
      <c r="BH191" s="371"/>
      <c r="BI191" s="371"/>
      <c r="BJ191" s="371"/>
      <c r="BK191" s="367"/>
      <c r="BL191" s="372"/>
      <c r="BM191" s="371"/>
      <c r="BN191" s="373"/>
      <c r="BO191" s="371"/>
      <c r="BP191" s="371"/>
      <c r="BQ191" s="371"/>
      <c r="BR191" s="371"/>
      <c r="BS191" s="371"/>
      <c r="BT191" s="371"/>
      <c r="BU191" s="371"/>
      <c r="BV191" s="371"/>
      <c r="BW191" s="371"/>
      <c r="BX191" s="374">
        <f t="shared" si="277"/>
        <v>0</v>
      </c>
      <c r="BY191" s="445"/>
      <c r="BZ191" s="455"/>
      <c r="CA191" s="455"/>
      <c r="CB191" s="455"/>
      <c r="CC191" s="455"/>
      <c r="CD191" s="455"/>
      <c r="CE191" s="362"/>
      <c r="CF191" s="362"/>
      <c r="CG191" s="362"/>
      <c r="CH191" s="362"/>
      <c r="CI191" s="362"/>
      <c r="CJ191" s="362"/>
      <c r="CK191" s="88"/>
      <c r="CL191" s="348"/>
      <c r="CM191" s="196"/>
      <c r="CY191" s="88"/>
      <c r="DL191" s="88"/>
    </row>
    <row r="192" spans="2:116" ht="17.25" thickTop="1">
      <c r="B192" s="327" t="s">
        <v>428</v>
      </c>
      <c r="C192" s="136"/>
      <c r="D192" s="136"/>
      <c r="E192" s="136"/>
      <c r="F192" s="136"/>
      <c r="G192" s="136"/>
      <c r="H192" s="136"/>
      <c r="I192" s="136"/>
      <c r="J192" s="136"/>
      <c r="K192" s="136"/>
      <c r="L192" s="136"/>
      <c r="M192" s="102"/>
      <c r="N192" s="102"/>
      <c r="O192" s="66"/>
      <c r="P192" s="75"/>
      <c r="Q192" s="75"/>
      <c r="R192" s="75"/>
      <c r="S192" s="75"/>
      <c r="T192" s="75"/>
      <c r="U192" s="75"/>
      <c r="V192" s="75"/>
      <c r="W192" s="75"/>
      <c r="X192" s="75"/>
      <c r="Y192" s="75"/>
      <c r="Z192" s="75"/>
      <c r="AA192" s="75"/>
      <c r="AB192" s="114"/>
      <c r="AC192" s="129"/>
      <c r="AD192" s="75"/>
      <c r="AE192" s="75"/>
      <c r="AF192" s="75"/>
      <c r="AG192" s="75"/>
      <c r="AH192" s="75"/>
      <c r="AI192" s="75"/>
      <c r="AJ192" s="75"/>
      <c r="AK192" s="83"/>
      <c r="AL192" s="75"/>
      <c r="AM192" s="75"/>
      <c r="AN192" s="75"/>
      <c r="AO192" s="75"/>
      <c r="AP192" s="75"/>
      <c r="AQ192" s="75"/>
      <c r="AR192" s="75"/>
      <c r="AS192" s="75"/>
      <c r="AT192" s="75"/>
      <c r="AU192" s="75"/>
      <c r="AV192" s="75"/>
      <c r="AW192" s="75"/>
      <c r="AX192" s="114"/>
      <c r="AY192" s="67"/>
      <c r="AZ192" s="69"/>
      <c r="BA192" s="69"/>
      <c r="BB192" s="69"/>
      <c r="BC192" s="69"/>
      <c r="BD192" s="69"/>
      <c r="BE192" s="69"/>
      <c r="BF192" s="69"/>
      <c r="BG192" s="69"/>
      <c r="BH192" s="69"/>
      <c r="BI192" s="69"/>
      <c r="BJ192" s="69"/>
      <c r="BK192" s="114"/>
      <c r="BL192" s="115"/>
      <c r="BM192" s="69"/>
      <c r="BN192" s="213"/>
      <c r="BO192" s="69"/>
      <c r="BP192" s="69"/>
      <c r="BQ192" s="69"/>
      <c r="BR192" s="69"/>
      <c r="BS192" s="69"/>
      <c r="BT192" s="69"/>
      <c r="BU192" s="69"/>
      <c r="BV192" s="69"/>
      <c r="BW192" s="69"/>
      <c r="BX192" s="100"/>
      <c r="BY192" s="446">
        <f>BX302+BY130+BY131-BY138-BY137-BY139+BY144+BY147+BY150+BY159+BY162+BY165+BY168+BY171+BY174+BY177+BY180+BY183+BY186+BY189</f>
        <v>64155.899658542476</v>
      </c>
      <c r="BZ192" s="242">
        <f t="shared" ref="BZ192:CJ192" si="638">BY192+BZ130+BZ131-BZ138-BZ137-BZ139+BZ144+BZ147+BZ150+BZ153+BZ156+BZ159+BZ162+BZ165+BZ168+BZ171+BZ174+BZ177+BZ180+BZ183+BZ186+BZ189</f>
        <v>166372.71235408244</v>
      </c>
      <c r="CA192" s="242">
        <f t="shared" si="638"/>
        <v>178176.55467003383</v>
      </c>
      <c r="CB192" s="242">
        <f t="shared" si="638"/>
        <v>327584.76762003382</v>
      </c>
      <c r="CC192" s="242">
        <f>CB192+CC130+CC131-CC138-CC137-CC139+CC144+CC147+CC150+CC153+CC156+CC159+CC162+CC165+CC168+CC171+CC174+CC177+CC180+CC183+CC186+CC189</f>
        <v>360005.3855419968</v>
      </c>
      <c r="CD192" s="242">
        <f>CC192+CD130+CD131-CD138-CD137-CD139+CD144+CD147+CD150+CD153+CD156+CD159+CD162+CD165+CD168+CD171+CD174+CD177+CD180+CD183+CD186+CD189</f>
        <v>352562.52408206096</v>
      </c>
      <c r="CE192" s="389">
        <f>CD192+CE130+CE131-CE138-CE137-CE139+CE144+CE147+CE150+CE153+CE156+CE159+CE162+CE165+CE168+CE171+CE174+CE177+CE180+CE183+CE186+CE189</f>
        <v>350575.24082876591</v>
      </c>
      <c r="CF192" s="389">
        <f t="shared" si="638"/>
        <v>254763.58934731415</v>
      </c>
      <c r="CG192" s="389">
        <f t="shared" si="638"/>
        <v>267844.626959719</v>
      </c>
      <c r="CH192" s="389">
        <f t="shared" si="638"/>
        <v>248129.38734255239</v>
      </c>
      <c r="CI192" s="389">
        <f t="shared" si="638"/>
        <v>272460.08637774852</v>
      </c>
      <c r="CJ192" s="389">
        <f t="shared" si="638"/>
        <v>266207.67909977084</v>
      </c>
      <c r="CK192" s="88"/>
      <c r="CL192" s="130"/>
      <c r="CM192" s="389">
        <f>CJ192+CM130+CM131-CM138-CM137-CM139+CM144+CM147+CM150+CM159+CM162+CM165+CM168+CM171+CM174+CM177+CM180+CM183+CM186+CM189+CM156+CM153</f>
        <v>229931.77281098085</v>
      </c>
      <c r="CN192" s="389">
        <f t="shared" ref="CN192:CX192" si="639">CM192+CN130+CN131-CN138-CN137-CN139+CN144+CN147+CN150+CN159+CN162+CN165+CN168+CN171+CN174+CN177+CN180+CN183+CN186+CN189+CN153+CN156</f>
        <v>108887.50651951157</v>
      </c>
      <c r="CO192" s="389">
        <f t="shared" si="639"/>
        <v>145182.52137614644</v>
      </c>
      <c r="CP192" s="389">
        <f t="shared" si="639"/>
        <v>141484.53267520366</v>
      </c>
      <c r="CQ192" s="389">
        <f t="shared" si="639"/>
        <v>212670.39185542631</v>
      </c>
      <c r="CR192" s="389">
        <f t="shared" si="639"/>
        <v>235502.71850087756</v>
      </c>
      <c r="CS192" s="389">
        <f t="shared" si="639"/>
        <v>258186.85634184183</v>
      </c>
      <c r="CT192" s="389">
        <f t="shared" si="639"/>
        <v>135587.49592239803</v>
      </c>
      <c r="CU192" s="389">
        <f t="shared" si="639"/>
        <v>103032.52460133152</v>
      </c>
      <c r="CV192" s="389">
        <f t="shared" si="639"/>
        <v>85854.836553052301</v>
      </c>
      <c r="CW192" s="389">
        <f t="shared" si="639"/>
        <v>90974.236101851653</v>
      </c>
      <c r="CX192" s="389">
        <f t="shared" si="639"/>
        <v>89145.837722831464</v>
      </c>
      <c r="CY192" s="100"/>
      <c r="DL192" s="100"/>
    </row>
    <row r="193" spans="2:116">
      <c r="C193" s="136"/>
      <c r="D193" s="136"/>
      <c r="E193" s="136"/>
      <c r="F193" s="136"/>
      <c r="G193" s="136"/>
      <c r="H193" s="136"/>
      <c r="I193" s="136"/>
      <c r="J193" s="136"/>
      <c r="K193" s="136"/>
      <c r="L193" s="136"/>
      <c r="M193" s="102"/>
      <c r="N193" s="102"/>
      <c r="O193" s="66"/>
      <c r="P193" s="75"/>
      <c r="Q193" s="75"/>
      <c r="R193" s="75"/>
      <c r="S193" s="75"/>
      <c r="T193" s="75"/>
      <c r="U193" s="75"/>
      <c r="V193" s="75"/>
      <c r="W193" s="75"/>
      <c r="X193" s="75"/>
      <c r="Y193" s="75"/>
      <c r="Z193" s="75"/>
      <c r="AA193" s="75"/>
      <c r="AB193" s="114"/>
      <c r="AC193" s="129"/>
      <c r="AD193" s="75"/>
      <c r="AE193" s="75"/>
      <c r="AF193" s="75"/>
      <c r="AG193" s="75"/>
      <c r="AH193" s="75"/>
      <c r="AI193" s="75"/>
      <c r="AJ193" s="75"/>
      <c r="AK193" s="83"/>
      <c r="AL193" s="75"/>
      <c r="AM193" s="75"/>
      <c r="AN193" s="75"/>
      <c r="AO193" s="75"/>
      <c r="AP193" s="75"/>
      <c r="AQ193" s="75"/>
      <c r="AR193" s="75"/>
      <c r="AS193" s="75"/>
      <c r="AT193" s="75"/>
      <c r="AU193" s="75"/>
      <c r="AV193" s="75"/>
      <c r="AW193" s="75"/>
      <c r="AX193" s="114"/>
      <c r="AY193" s="67"/>
      <c r="AZ193" s="69"/>
      <c r="BA193" s="69"/>
      <c r="BB193" s="69"/>
      <c r="BC193" s="69"/>
      <c r="BD193" s="69"/>
      <c r="BE193" s="69"/>
      <c r="BF193" s="69"/>
      <c r="BG193" s="69"/>
      <c r="BH193" s="69"/>
      <c r="BI193" s="69"/>
      <c r="BJ193" s="69"/>
      <c r="BK193" s="114"/>
      <c r="BL193" s="115"/>
      <c r="BM193" s="69"/>
      <c r="BN193" s="213"/>
      <c r="BO193" s="69"/>
      <c r="BP193" s="69"/>
      <c r="BQ193" s="69"/>
      <c r="BR193" s="69"/>
      <c r="BS193" s="69"/>
      <c r="BT193" s="69"/>
      <c r="BU193" s="69"/>
      <c r="BV193" s="69"/>
      <c r="BW193" s="69"/>
      <c r="BX193" s="114"/>
      <c r="BY193" s="422">
        <f>BY133-BY140+BY145+BY148+BY151+BY160+BY163+BY166+BY169+BY172+BY175+BY178+BY181+BY184+BY187+BY190</f>
        <v>64155.899658542454</v>
      </c>
      <c r="BZ193" s="329">
        <f t="shared" ref="BZ193:CJ193" si="640">BZ133-BZ140+BZ145+BZ148+BZ151+BZ154+BZ157+BZ160+BZ163+BZ166+BZ169+BZ172+BZ175+BZ178+BZ181+BZ184+BZ187+BZ190</f>
        <v>166372.71235408232</v>
      </c>
      <c r="CA193" s="329">
        <f t="shared" si="640"/>
        <v>178176.55467003392</v>
      </c>
      <c r="CB193" s="329">
        <f t="shared" si="640"/>
        <v>327584.76762003376</v>
      </c>
      <c r="CC193" s="329">
        <f>CC133-CC140+CC145+CC148+CC151+CC154+CC157+CC160+CC163+CC166+CC169+CC172+CC175+CC178+CC181+CC184+CC187+CC190</f>
        <v>360005.38554199686</v>
      </c>
      <c r="CD193" s="329">
        <f t="shared" si="640"/>
        <v>352562.52408206061</v>
      </c>
      <c r="CE193" s="331">
        <f t="shared" si="640"/>
        <v>350575.24082876573</v>
      </c>
      <c r="CF193" s="331">
        <f t="shared" si="640"/>
        <v>254763.58934731424</v>
      </c>
      <c r="CG193" s="331">
        <f t="shared" si="640"/>
        <v>267844.62695971894</v>
      </c>
      <c r="CH193" s="331">
        <f t="shared" si="640"/>
        <v>248129.3873425521</v>
      </c>
      <c r="CI193" s="331">
        <f t="shared" si="640"/>
        <v>272460.08637774846</v>
      </c>
      <c r="CJ193" s="331">
        <f t="shared" si="640"/>
        <v>266207.6790997709</v>
      </c>
      <c r="CK193" s="111"/>
      <c r="CL193" s="130"/>
      <c r="CM193" s="331">
        <f t="shared" ref="CM193:CX193" si="641">CM133-CM140+CM145+CM148+CM151+CM154+CM157+CM160+CM163+CM166+CM169+CM172+CM175+CM178+CM181+CM184+CM187+CM190</f>
        <v>229931.77281098059</v>
      </c>
      <c r="CN193" s="331">
        <f t="shared" si="641"/>
        <v>108887.50651951155</v>
      </c>
      <c r="CO193" s="331">
        <f t="shared" si="641"/>
        <v>145182.52137614618</v>
      </c>
      <c r="CP193" s="331">
        <f t="shared" si="641"/>
        <v>141484.53267520404</v>
      </c>
      <c r="CQ193" s="331">
        <f t="shared" si="641"/>
        <v>212670.39185542677</v>
      </c>
      <c r="CR193" s="331">
        <f t="shared" si="641"/>
        <v>235502.71850087788</v>
      </c>
      <c r="CS193" s="331">
        <f t="shared" si="641"/>
        <v>258186.85634184224</v>
      </c>
      <c r="CT193" s="331">
        <f t="shared" si="641"/>
        <v>135587.49592239893</v>
      </c>
      <c r="CU193" s="331">
        <f t="shared" si="641"/>
        <v>103032.52460133235</v>
      </c>
      <c r="CV193" s="331">
        <f t="shared" si="641"/>
        <v>85854.836553053203</v>
      </c>
      <c r="CW193" s="331">
        <f t="shared" si="641"/>
        <v>90974.236101852468</v>
      </c>
      <c r="CX193" s="331">
        <f t="shared" si="641"/>
        <v>89145.837722832541</v>
      </c>
      <c r="CY193" s="100"/>
      <c r="DL193" s="100"/>
    </row>
    <row r="194" spans="2:116">
      <c r="C194" s="136"/>
      <c r="D194" s="136"/>
      <c r="E194" s="136"/>
      <c r="F194" s="136"/>
      <c r="G194" s="136"/>
      <c r="H194" s="136"/>
      <c r="I194" s="136"/>
      <c r="J194" s="136"/>
      <c r="K194" s="136"/>
      <c r="L194" s="136"/>
      <c r="M194" s="102"/>
      <c r="N194" s="102"/>
      <c r="O194" s="66"/>
      <c r="P194" s="75"/>
      <c r="Q194" s="75"/>
      <c r="R194" s="75"/>
      <c r="S194" s="75"/>
      <c r="T194" s="75"/>
      <c r="U194" s="75"/>
      <c r="V194" s="75"/>
      <c r="W194" s="75"/>
      <c r="X194" s="75"/>
      <c r="Y194" s="75"/>
      <c r="Z194" s="75"/>
      <c r="AA194" s="75"/>
      <c r="AB194" s="114"/>
      <c r="AC194" s="129"/>
      <c r="AD194" s="75"/>
      <c r="AE194" s="75"/>
      <c r="AF194" s="75"/>
      <c r="AG194" s="75"/>
      <c r="AH194" s="75"/>
      <c r="AI194" s="75"/>
      <c r="AJ194" s="75"/>
      <c r="AK194" s="83"/>
      <c r="AL194" s="75"/>
      <c r="AM194" s="75"/>
      <c r="AN194" s="75"/>
      <c r="AO194" s="75"/>
      <c r="AP194" s="75"/>
      <c r="AQ194" s="75"/>
      <c r="AR194" s="75"/>
      <c r="AS194" s="75"/>
      <c r="AT194" s="75"/>
      <c r="AU194" s="75"/>
      <c r="AV194" s="75"/>
      <c r="AW194" s="75"/>
      <c r="AX194" s="114"/>
      <c r="AY194" s="67"/>
      <c r="AZ194" s="69"/>
      <c r="BA194" s="69"/>
      <c r="BB194" s="69"/>
      <c r="BC194" s="69"/>
      <c r="BD194" s="69"/>
      <c r="BE194" s="69"/>
      <c r="BF194" s="69"/>
      <c r="BG194" s="69"/>
      <c r="BH194" s="69"/>
      <c r="BI194" s="69"/>
      <c r="BJ194" s="69"/>
      <c r="BK194" s="114"/>
      <c r="BL194" s="115"/>
      <c r="BM194" s="69"/>
      <c r="BN194" s="213"/>
      <c r="BO194" s="69"/>
      <c r="BP194" s="69"/>
      <c r="BQ194" s="69"/>
      <c r="BR194" s="69"/>
      <c r="BS194" s="69"/>
      <c r="BT194" s="69"/>
      <c r="BU194" s="69"/>
      <c r="BV194" s="69"/>
      <c r="BW194" s="69"/>
      <c r="BX194" s="114"/>
      <c r="BY194" s="67"/>
      <c r="BZ194" s="67"/>
      <c r="CA194" s="67"/>
      <c r="CB194" s="67"/>
      <c r="CC194" s="67"/>
      <c r="CD194" s="67"/>
      <c r="CE194" s="254"/>
      <c r="CF194" s="254"/>
      <c r="CG194" s="254"/>
      <c r="CH194" s="254"/>
      <c r="CI194" s="254"/>
      <c r="CJ194" s="254"/>
      <c r="CK194" s="130"/>
      <c r="CL194" s="130"/>
      <c r="CY194" s="100"/>
      <c r="DL194" s="100"/>
    </row>
    <row r="195" spans="2:116" s="307" customFormat="1">
      <c r="B195" s="390" t="s">
        <v>363</v>
      </c>
      <c r="C195" s="308"/>
      <c r="D195" s="308"/>
      <c r="E195" s="308"/>
      <c r="F195" s="308"/>
      <c r="G195" s="308"/>
      <c r="H195" s="308"/>
      <c r="I195" s="308"/>
      <c r="J195" s="308"/>
      <c r="K195" s="308"/>
      <c r="L195" s="308"/>
      <c r="M195" s="308"/>
      <c r="N195" s="308"/>
      <c r="O195" s="309"/>
      <c r="P195" s="310"/>
      <c r="Q195" s="310"/>
      <c r="R195" s="310"/>
      <c r="S195" s="310"/>
      <c r="T195" s="310"/>
      <c r="U195" s="310"/>
      <c r="V195" s="310"/>
      <c r="W195" s="310"/>
      <c r="X195" s="310"/>
      <c r="Y195" s="310"/>
      <c r="Z195" s="310"/>
      <c r="AA195" s="310"/>
      <c r="AB195" s="312"/>
      <c r="AC195" s="345"/>
      <c r="AD195" s="310"/>
      <c r="AE195" s="310"/>
      <c r="AF195" s="310"/>
      <c r="AG195" s="310"/>
      <c r="AH195" s="310"/>
      <c r="AI195" s="310"/>
      <c r="AJ195" s="310"/>
      <c r="AK195" s="311"/>
      <c r="AL195" s="310"/>
      <c r="AM195" s="310"/>
      <c r="AN195" s="310"/>
      <c r="AO195" s="310"/>
      <c r="AP195" s="310"/>
      <c r="AQ195" s="310"/>
      <c r="AR195" s="310"/>
      <c r="AS195" s="310"/>
      <c r="AT195" s="310"/>
      <c r="AU195" s="310"/>
      <c r="AV195" s="310"/>
      <c r="AW195" s="310"/>
      <c r="AX195" s="312"/>
      <c r="AY195" s="313"/>
      <c r="AZ195" s="311"/>
      <c r="BA195" s="311"/>
      <c r="BB195" s="311"/>
      <c r="BC195" s="311"/>
      <c r="BD195" s="311"/>
      <c r="BE195" s="311"/>
      <c r="BF195" s="311"/>
      <c r="BG195" s="311"/>
      <c r="BH195" s="311"/>
      <c r="BI195" s="311"/>
      <c r="BJ195" s="311"/>
      <c r="BK195" s="312"/>
      <c r="BL195" s="312"/>
      <c r="BM195" s="311"/>
      <c r="BN195" s="311"/>
      <c r="BO195" s="311"/>
      <c r="BP195" s="311"/>
      <c r="BQ195" s="311"/>
      <c r="BR195" s="311"/>
      <c r="BS195" s="311"/>
      <c r="BT195" s="311"/>
      <c r="BU195" s="311"/>
      <c r="BV195" s="311"/>
      <c r="BW195" s="311"/>
      <c r="BX195" s="312"/>
      <c r="CK195" s="314"/>
      <c r="CL195" s="381"/>
      <c r="CY195" s="314"/>
      <c r="DL195" s="314"/>
    </row>
    <row r="196" spans="2:116">
      <c r="B196" s="395" t="s">
        <v>421</v>
      </c>
      <c r="C196" s="136"/>
      <c r="D196" s="136"/>
      <c r="E196" s="136"/>
      <c r="F196" s="136"/>
      <c r="G196" s="136"/>
      <c r="H196" s="136"/>
      <c r="I196" s="136"/>
      <c r="J196" s="136"/>
      <c r="K196" s="136"/>
      <c r="L196" s="136"/>
      <c r="M196" s="102"/>
      <c r="N196" s="102"/>
      <c r="O196" s="66"/>
      <c r="P196" s="75"/>
      <c r="Q196" s="75"/>
      <c r="R196" s="75"/>
      <c r="S196" s="75"/>
      <c r="T196" s="75"/>
      <c r="U196" s="75"/>
      <c r="V196" s="75"/>
      <c r="W196" s="75"/>
      <c r="X196" s="75"/>
      <c r="Y196" s="75"/>
      <c r="Z196" s="75"/>
      <c r="AA196" s="75"/>
      <c r="AB196" s="114"/>
      <c r="AC196" s="129"/>
      <c r="AD196" s="75"/>
      <c r="AE196" s="75"/>
      <c r="AF196" s="75"/>
      <c r="AG196" s="75"/>
      <c r="AH196" s="75"/>
      <c r="AI196" s="75"/>
      <c r="AJ196" s="75"/>
      <c r="AK196" s="83"/>
      <c r="AL196" s="75"/>
      <c r="AM196" s="75"/>
      <c r="AN196" s="75"/>
      <c r="AO196" s="75"/>
      <c r="AP196" s="75"/>
      <c r="AQ196" s="75"/>
      <c r="AR196" s="75"/>
      <c r="AS196" s="75"/>
      <c r="AT196" s="75"/>
      <c r="AU196" s="75"/>
      <c r="AV196" s="75"/>
      <c r="AW196" s="75"/>
      <c r="AX196" s="114"/>
      <c r="AY196" s="67"/>
      <c r="AZ196" s="69"/>
      <c r="BA196" s="69"/>
      <c r="BB196" s="69"/>
      <c r="BC196" s="69"/>
      <c r="BD196" s="69"/>
      <c r="BE196" s="69"/>
      <c r="BF196" s="69"/>
      <c r="BG196" s="69"/>
      <c r="BH196" s="69"/>
      <c r="BI196" s="69"/>
      <c r="BJ196" s="69"/>
      <c r="BK196" s="114"/>
      <c r="BL196" s="115"/>
      <c r="BM196" s="69"/>
      <c r="BN196" s="213"/>
      <c r="BO196" s="69"/>
      <c r="BP196" s="69"/>
      <c r="BQ196" s="69"/>
      <c r="BR196" s="69"/>
      <c r="BS196" s="69"/>
      <c r="BT196" s="69"/>
      <c r="BU196" s="69"/>
      <c r="BV196" s="69"/>
      <c r="BW196" s="69"/>
      <c r="BX196" s="114"/>
      <c r="BY196" s="447"/>
      <c r="BZ196" s="74"/>
      <c r="CA196" s="216"/>
      <c r="CB196" s="74"/>
      <c r="CC196" s="74"/>
      <c r="CD196" s="74"/>
      <c r="CE196" s="13"/>
      <c r="CK196" s="111"/>
      <c r="CL196" s="130"/>
      <c r="CY196" s="100"/>
      <c r="DL196" s="100"/>
    </row>
    <row r="197" spans="2:116">
      <c r="B197" s="196" t="s">
        <v>422</v>
      </c>
      <c r="C197" s="136"/>
      <c r="D197" s="136"/>
      <c r="E197" s="136"/>
      <c r="F197" s="136"/>
      <c r="G197" s="136"/>
      <c r="H197" s="136"/>
      <c r="I197" s="136"/>
      <c r="J197" s="136"/>
      <c r="K197" s="136"/>
      <c r="L197" s="136"/>
      <c r="M197" s="102"/>
      <c r="N197" s="102"/>
      <c r="O197" s="66"/>
      <c r="P197" s="194"/>
      <c r="Q197" s="194"/>
      <c r="R197" s="194"/>
      <c r="S197" s="194"/>
      <c r="T197" s="194"/>
      <c r="U197" s="194"/>
      <c r="V197" s="194"/>
      <c r="W197" s="194"/>
      <c r="X197" s="194"/>
      <c r="Y197" s="194"/>
      <c r="Z197" s="194"/>
      <c r="AA197" s="194"/>
      <c r="AB197" s="292"/>
      <c r="AC197" s="193"/>
      <c r="AD197" s="194"/>
      <c r="AE197" s="194"/>
      <c r="AF197" s="194"/>
      <c r="AG197" s="194"/>
      <c r="AH197" s="194"/>
      <c r="AI197" s="194"/>
      <c r="AJ197" s="194"/>
      <c r="AK197" s="347"/>
      <c r="AL197" s="194"/>
      <c r="AM197" s="194"/>
      <c r="AN197" s="194"/>
      <c r="AO197" s="194"/>
      <c r="AP197" s="194"/>
      <c r="AQ197" s="194"/>
      <c r="AR197" s="194"/>
      <c r="AS197" s="194"/>
      <c r="AT197" s="194"/>
      <c r="AU197" s="194"/>
      <c r="AV197" s="194"/>
      <c r="AW197" s="194"/>
      <c r="AX197" s="292"/>
      <c r="AY197" s="242"/>
      <c r="AZ197" s="195"/>
      <c r="BA197" s="195"/>
      <c r="BB197" s="195"/>
      <c r="BC197" s="195"/>
      <c r="BD197" s="195"/>
      <c r="BE197" s="195"/>
      <c r="BF197" s="195"/>
      <c r="BG197" s="195"/>
      <c r="BH197" s="195"/>
      <c r="BI197" s="195"/>
      <c r="BJ197" s="195"/>
      <c r="BK197" s="292"/>
      <c r="BL197" s="201"/>
      <c r="BM197" s="195"/>
      <c r="BN197" s="214"/>
      <c r="BO197" s="195"/>
      <c r="BP197" s="195"/>
      <c r="BQ197" s="195"/>
      <c r="BR197" s="195"/>
      <c r="BS197" s="195"/>
      <c r="BT197" s="195"/>
      <c r="BU197" s="195"/>
      <c r="BV197" s="195"/>
      <c r="BW197" s="195"/>
      <c r="BX197" s="88"/>
      <c r="BY197" s="437"/>
      <c r="BZ197" s="227"/>
      <c r="CA197" s="465"/>
      <c r="CB197" s="444"/>
      <c r="CC197" s="457">
        <f>339.05+170.12</f>
        <v>509.17</v>
      </c>
      <c r="CD197" s="457">
        <f>134.58</f>
        <v>134.58000000000001</v>
      </c>
      <c r="CF197" s="393">
        <f>615.6+121.93</f>
        <v>737.53</v>
      </c>
      <c r="CG197" s="196"/>
      <c r="CH197" s="196"/>
      <c r="CI197" s="196"/>
      <c r="CJ197" s="397"/>
      <c r="CK197" s="114">
        <f t="shared" ref="CK197" si="642">SUM(BY197:CJ197)</f>
        <v>1381.28</v>
      </c>
      <c r="CL197" s="88"/>
      <c r="CM197" s="196"/>
      <c r="CN197" s="196"/>
      <c r="CO197" s="196"/>
      <c r="CP197" s="196"/>
      <c r="CQ197" s="196"/>
      <c r="CR197" s="196"/>
      <c r="CS197" s="196"/>
      <c r="CT197" s="196"/>
      <c r="CU197" s="196"/>
      <c r="CV197" s="196"/>
      <c r="CW197" s="196"/>
      <c r="CX197" s="397"/>
      <c r="CY197" s="88"/>
      <c r="DL197" s="88"/>
    </row>
    <row r="198" spans="2:116">
      <c r="B198" s="326" t="s">
        <v>424</v>
      </c>
      <c r="C198" s="136"/>
      <c r="D198" s="136"/>
      <c r="E198" s="136"/>
      <c r="F198" s="136"/>
      <c r="G198" s="136"/>
      <c r="H198" s="136"/>
      <c r="I198" s="136"/>
      <c r="J198" s="136"/>
      <c r="K198" s="136"/>
      <c r="L198" s="136"/>
      <c r="M198" s="102"/>
      <c r="N198" s="102"/>
      <c r="O198" s="66"/>
      <c r="P198" s="78"/>
      <c r="Q198" s="78"/>
      <c r="R198" s="78"/>
      <c r="S198" s="78"/>
      <c r="T198" s="78"/>
      <c r="U198" s="78"/>
      <c r="V198" s="78"/>
      <c r="W198" s="78"/>
      <c r="X198" s="78"/>
      <c r="Y198" s="78"/>
      <c r="Z198" s="78"/>
      <c r="AA198" s="78"/>
      <c r="AB198" s="184"/>
      <c r="AC198" s="131"/>
      <c r="AD198" s="78"/>
      <c r="AE198" s="78"/>
      <c r="AF198" s="78"/>
      <c r="AG198" s="78"/>
      <c r="AH198" s="78"/>
      <c r="AI198" s="78"/>
      <c r="AJ198" s="78"/>
      <c r="AK198" s="113"/>
      <c r="AL198" s="78"/>
      <c r="AM198" s="78"/>
      <c r="AN198" s="78"/>
      <c r="AO198" s="78"/>
      <c r="AP198" s="78"/>
      <c r="AQ198" s="78"/>
      <c r="AR198" s="78"/>
      <c r="AS198" s="78"/>
      <c r="AT198" s="78"/>
      <c r="AU198" s="78"/>
      <c r="AV198" s="78"/>
      <c r="AW198" s="78"/>
      <c r="AX198" s="184"/>
      <c r="AY198" s="77"/>
      <c r="AZ198" s="112"/>
      <c r="BA198" s="112"/>
      <c r="BB198" s="112"/>
      <c r="BC198" s="112"/>
      <c r="BD198" s="112"/>
      <c r="BE198" s="112"/>
      <c r="BF198" s="112"/>
      <c r="BG198" s="112"/>
      <c r="BH198" s="112"/>
      <c r="BI198" s="112"/>
      <c r="BJ198" s="112"/>
      <c r="BK198" s="184"/>
      <c r="BL198" s="204"/>
      <c r="BM198" s="112"/>
      <c r="BN198" s="246"/>
      <c r="BO198" s="112"/>
      <c r="BP198" s="112"/>
      <c r="BQ198" s="112"/>
      <c r="BR198" s="112"/>
      <c r="BS198" s="112"/>
      <c r="BT198" s="112"/>
      <c r="BU198" s="112"/>
      <c r="BV198" s="112"/>
      <c r="BW198" s="112"/>
      <c r="BX198" s="111"/>
      <c r="BY198" s="127">
        <v>2277.0300000000002</v>
      </c>
      <c r="BZ198" s="440"/>
      <c r="CA198" s="466"/>
      <c r="CB198" s="440"/>
      <c r="CC198" s="440"/>
      <c r="CD198" s="440"/>
      <c r="CE198" s="13"/>
      <c r="CF198" s="13"/>
      <c r="CG198" s="13"/>
      <c r="CH198" s="13"/>
      <c r="CI198" s="13"/>
      <c r="CJ198" s="328"/>
      <c r="CK198" s="111">
        <f>SUM(BY198:CJ198)</f>
        <v>2277.0300000000002</v>
      </c>
      <c r="CL198" s="111"/>
      <c r="CM198" s="13"/>
      <c r="CN198" s="13"/>
      <c r="CO198" s="13"/>
      <c r="CP198" s="13"/>
      <c r="CQ198" s="13"/>
      <c r="CR198" s="13"/>
      <c r="CS198" s="13"/>
      <c r="CT198" s="13"/>
      <c r="CU198" s="13"/>
      <c r="CV198" s="13"/>
      <c r="CW198" s="13"/>
      <c r="CX198" s="328"/>
      <c r="CY198" s="111"/>
      <c r="DL198" s="111"/>
    </row>
    <row r="199" spans="2:116" s="2" customFormat="1" ht="16.5">
      <c r="B199" s="388" t="s">
        <v>423</v>
      </c>
      <c r="C199" s="436"/>
      <c r="D199" s="436"/>
      <c r="E199" s="436"/>
      <c r="F199" s="436"/>
      <c r="G199" s="436"/>
      <c r="H199" s="436"/>
      <c r="I199" s="436"/>
      <c r="J199" s="436"/>
      <c r="K199" s="436"/>
      <c r="L199" s="436"/>
      <c r="M199" s="435"/>
      <c r="N199" s="435"/>
      <c r="O199" s="305"/>
      <c r="P199" s="420"/>
      <c r="Q199" s="420"/>
      <c r="R199" s="420"/>
      <c r="S199" s="420"/>
      <c r="T199" s="420"/>
      <c r="U199" s="420"/>
      <c r="V199" s="420"/>
      <c r="W199" s="420"/>
      <c r="X199" s="420"/>
      <c r="Y199" s="420"/>
      <c r="Z199" s="420"/>
      <c r="AA199" s="420"/>
      <c r="AB199" s="332"/>
      <c r="AC199" s="421"/>
      <c r="AD199" s="420"/>
      <c r="AE199" s="420"/>
      <c r="AF199" s="420"/>
      <c r="AG199" s="420"/>
      <c r="AH199" s="420"/>
      <c r="AI199" s="420"/>
      <c r="AJ199" s="420"/>
      <c r="AK199" s="331"/>
      <c r="AL199" s="420"/>
      <c r="AM199" s="420"/>
      <c r="AN199" s="420"/>
      <c r="AO199" s="420"/>
      <c r="AP199" s="420"/>
      <c r="AQ199" s="420"/>
      <c r="AR199" s="420"/>
      <c r="AS199" s="420"/>
      <c r="AT199" s="420"/>
      <c r="AU199" s="420"/>
      <c r="AV199" s="420"/>
      <c r="AW199" s="420"/>
      <c r="AX199" s="332"/>
      <c r="AY199" s="329"/>
      <c r="AZ199" s="329"/>
      <c r="BA199" s="329"/>
      <c r="BB199" s="329"/>
      <c r="BC199" s="329"/>
      <c r="BD199" s="329"/>
      <c r="BE199" s="329"/>
      <c r="BF199" s="329"/>
      <c r="BG199" s="329"/>
      <c r="BH199" s="329"/>
      <c r="BI199" s="329"/>
      <c r="BJ199" s="329"/>
      <c r="BK199" s="332"/>
      <c r="BL199" s="422"/>
      <c r="BM199" s="329"/>
      <c r="BN199" s="423"/>
      <c r="BO199" s="329"/>
      <c r="BP199" s="329"/>
      <c r="BQ199" s="329"/>
      <c r="BR199" s="329"/>
      <c r="BS199" s="329"/>
      <c r="BT199" s="329"/>
      <c r="BU199" s="329"/>
      <c r="BV199" s="329"/>
      <c r="BW199" s="329"/>
      <c r="BX199" s="333"/>
      <c r="BY199" s="422">
        <f>SUM(BY197:BY198)</f>
        <v>2277.0300000000002</v>
      </c>
      <c r="BZ199" s="329">
        <f t="shared" ref="BZ199:CJ199" si="643">SUM(BZ197:BZ198)</f>
        <v>0</v>
      </c>
      <c r="CA199" s="423">
        <f>SUM(CA197:CA198)</f>
        <v>0</v>
      </c>
      <c r="CB199" s="329">
        <f>SUM(CB197:CB198)</f>
        <v>0</v>
      </c>
      <c r="CC199" s="329">
        <f>SUM(CC197:CC198)</f>
        <v>509.17</v>
      </c>
      <c r="CD199" s="329">
        <f>SUM(CD197:CD198)</f>
        <v>134.58000000000001</v>
      </c>
      <c r="CE199" s="331">
        <f t="shared" si="643"/>
        <v>0</v>
      </c>
      <c r="CF199" s="331">
        <f>SUM(CF197:CF198)</f>
        <v>737.53</v>
      </c>
      <c r="CG199" s="331">
        <f t="shared" si="643"/>
        <v>0</v>
      </c>
      <c r="CH199" s="331">
        <f t="shared" si="643"/>
        <v>0</v>
      </c>
      <c r="CI199" s="331">
        <f t="shared" si="643"/>
        <v>0</v>
      </c>
      <c r="CJ199" s="331">
        <f t="shared" si="643"/>
        <v>0</v>
      </c>
      <c r="CK199" s="333">
        <f>SUM(CK197:CK198)</f>
        <v>3658.3100000000004</v>
      </c>
      <c r="CL199" s="382"/>
      <c r="CY199" s="273"/>
      <c r="DL199" s="273"/>
    </row>
    <row r="200" spans="2:116" ht="16.5">
      <c r="B200" s="396"/>
      <c r="C200" s="4"/>
      <c r="D200" s="4"/>
      <c r="E200" s="4"/>
      <c r="F200" s="4"/>
      <c r="G200" s="4"/>
      <c r="H200" s="4"/>
      <c r="I200" s="4"/>
      <c r="J200" s="4"/>
      <c r="K200" s="4"/>
      <c r="L200" s="4"/>
      <c r="M200" s="139"/>
      <c r="N200" s="139"/>
      <c r="O200" s="66"/>
      <c r="P200" s="98"/>
      <c r="Q200" s="98"/>
      <c r="R200" s="98"/>
      <c r="S200" s="98"/>
      <c r="T200" s="98"/>
      <c r="U200" s="98"/>
      <c r="V200" s="98"/>
      <c r="W200" s="98"/>
      <c r="X200" s="98"/>
      <c r="Y200" s="98"/>
      <c r="Z200" s="98"/>
      <c r="AA200" s="98"/>
      <c r="AB200" s="114"/>
      <c r="AC200" s="129"/>
      <c r="AD200" s="98"/>
      <c r="AE200" s="98"/>
      <c r="AF200" s="98"/>
      <c r="AG200" s="98"/>
      <c r="AH200" s="98"/>
      <c r="AI200" s="98"/>
      <c r="AJ200" s="98"/>
      <c r="AK200" s="83"/>
      <c r="AL200" s="98"/>
      <c r="AM200" s="98"/>
      <c r="AN200" s="98"/>
      <c r="AO200" s="98"/>
      <c r="AP200" s="98"/>
      <c r="AQ200" s="98"/>
      <c r="AR200" s="98"/>
      <c r="AS200" s="98"/>
      <c r="AT200" s="98"/>
      <c r="AU200" s="98"/>
      <c r="AV200" s="98"/>
      <c r="AW200" s="98"/>
      <c r="AX200" s="114"/>
      <c r="AY200" s="67"/>
      <c r="AZ200" s="69"/>
      <c r="BA200" s="69"/>
      <c r="BB200" s="69"/>
      <c r="BC200" s="69"/>
      <c r="BD200" s="69"/>
      <c r="BE200" s="69"/>
      <c r="BF200" s="69"/>
      <c r="BG200" s="69"/>
      <c r="BH200" s="69"/>
      <c r="BI200" s="69"/>
      <c r="BJ200" s="69"/>
      <c r="BK200" s="114"/>
      <c r="BL200" s="115"/>
      <c r="BM200" s="69"/>
      <c r="BN200" s="213"/>
      <c r="BO200" s="69"/>
      <c r="BP200" s="69"/>
      <c r="BQ200" s="69"/>
      <c r="BR200" s="69"/>
      <c r="BS200" s="69"/>
      <c r="BT200" s="69"/>
      <c r="BU200" s="69"/>
      <c r="BV200" s="69"/>
      <c r="BW200" s="69"/>
      <c r="BX200" s="100"/>
      <c r="BY200" s="74"/>
      <c r="BZ200" s="74"/>
      <c r="CA200" s="216"/>
      <c r="CB200" s="74"/>
      <c r="CC200" s="74"/>
      <c r="CD200" s="74"/>
      <c r="CK200" s="100"/>
      <c r="CL200" s="130"/>
      <c r="CM200" s="398"/>
      <c r="CN200" s="196"/>
      <c r="CO200" s="196"/>
      <c r="CP200" s="196"/>
      <c r="CQ200" s="196"/>
      <c r="CR200" s="196"/>
      <c r="CS200" s="196"/>
      <c r="CT200" s="196"/>
      <c r="CU200" s="196"/>
      <c r="CV200" s="196"/>
      <c r="CW200" s="196"/>
      <c r="CX200" s="196"/>
      <c r="CY200" s="88"/>
      <c r="DL200" s="88"/>
    </row>
    <row r="201" spans="2:116">
      <c r="B201" s="14" t="s">
        <v>425</v>
      </c>
      <c r="C201" s="32"/>
      <c r="D201" s="32"/>
      <c r="E201" s="32"/>
      <c r="F201" s="32"/>
      <c r="G201" s="32"/>
      <c r="H201" s="32"/>
      <c r="I201" s="32"/>
      <c r="J201" s="32"/>
      <c r="K201" s="32"/>
      <c r="L201" s="32"/>
      <c r="M201" s="103"/>
      <c r="N201" s="103"/>
      <c r="O201" s="210"/>
      <c r="P201" s="75"/>
      <c r="Q201" s="75"/>
      <c r="R201" s="75"/>
      <c r="S201" s="75"/>
      <c r="T201" s="75"/>
      <c r="U201" s="75"/>
      <c r="V201" s="75"/>
      <c r="W201" s="75"/>
      <c r="X201" s="75"/>
      <c r="Y201" s="75"/>
      <c r="Z201" s="75"/>
      <c r="AA201" s="75"/>
      <c r="AB201" s="114"/>
      <c r="AC201" s="129"/>
      <c r="AD201" s="75"/>
      <c r="AE201" s="75"/>
      <c r="AF201" s="75"/>
      <c r="AG201" s="75"/>
      <c r="AH201" s="75"/>
      <c r="AI201" s="75"/>
      <c r="AJ201" s="75"/>
      <c r="AK201" s="83"/>
      <c r="AL201" s="75"/>
      <c r="AM201" s="75"/>
      <c r="AN201" s="75"/>
      <c r="AO201" s="75"/>
      <c r="AP201" s="75"/>
      <c r="AQ201" s="75"/>
      <c r="AR201" s="75"/>
      <c r="AS201" s="75"/>
      <c r="AT201" s="75"/>
      <c r="AU201" s="75"/>
      <c r="AV201" s="75"/>
      <c r="AW201" s="75"/>
      <c r="AX201" s="114"/>
      <c r="AY201" s="67"/>
      <c r="AZ201" s="69"/>
      <c r="BA201" s="69"/>
      <c r="BB201" s="69"/>
      <c r="BC201" s="69"/>
      <c r="BD201" s="69"/>
      <c r="BE201" s="69"/>
      <c r="BF201" s="69"/>
      <c r="BG201" s="69"/>
      <c r="BH201" s="69"/>
      <c r="BI201" s="69"/>
      <c r="BJ201" s="69"/>
      <c r="BK201" s="114"/>
      <c r="BL201" s="115"/>
      <c r="BM201" s="69"/>
      <c r="BN201" s="213"/>
      <c r="BO201" s="69"/>
      <c r="BP201" s="69"/>
      <c r="BQ201" s="69"/>
      <c r="BR201" s="69"/>
      <c r="BS201" s="69"/>
      <c r="BT201" s="69"/>
      <c r="BU201" s="69"/>
      <c r="BV201" s="69"/>
      <c r="BW201" s="69"/>
      <c r="BX201" s="100"/>
      <c r="BY201" s="74"/>
      <c r="BZ201" s="74"/>
      <c r="CA201" s="216"/>
      <c r="CB201" s="74"/>
      <c r="CC201" s="74"/>
      <c r="CD201" s="74"/>
      <c r="CK201" s="100"/>
      <c r="CL201" s="130"/>
      <c r="CM201" s="211"/>
      <c r="CY201" s="100"/>
      <c r="DL201" s="100"/>
    </row>
    <row r="202" spans="2:116">
      <c r="B202" s="1" t="s">
        <v>364</v>
      </c>
      <c r="C202" s="136"/>
      <c r="D202" s="136"/>
      <c r="E202" s="136"/>
      <c r="F202" s="136"/>
      <c r="G202" s="136"/>
      <c r="H202" s="136"/>
      <c r="I202" s="136"/>
      <c r="J202" s="136"/>
      <c r="K202" s="136"/>
      <c r="L202" s="136"/>
      <c r="M202" s="102"/>
      <c r="N202" s="102"/>
      <c r="O202" s="66"/>
      <c r="P202" s="194"/>
      <c r="Q202" s="194"/>
      <c r="R202" s="194"/>
      <c r="S202" s="194"/>
      <c r="T202" s="194"/>
      <c r="U202" s="194"/>
      <c r="V202" s="194"/>
      <c r="W202" s="194"/>
      <c r="X202" s="194"/>
      <c r="Y202" s="194"/>
      <c r="Z202" s="194"/>
      <c r="AA202" s="194"/>
      <c r="AB202" s="88"/>
      <c r="AC202" s="194"/>
      <c r="AD202" s="194"/>
      <c r="AE202" s="194"/>
      <c r="AF202" s="194"/>
      <c r="AG202" s="194"/>
      <c r="AH202" s="194"/>
      <c r="AI202" s="194"/>
      <c r="AJ202" s="194"/>
      <c r="AK202" s="347"/>
      <c r="AL202" s="194"/>
      <c r="AM202" s="194"/>
      <c r="AN202" s="194"/>
      <c r="AO202" s="194"/>
      <c r="AP202" s="194"/>
      <c r="AQ202" s="194"/>
      <c r="AR202" s="194"/>
      <c r="AS202" s="194"/>
      <c r="AT202" s="194"/>
      <c r="AU202" s="194"/>
      <c r="AV202" s="194"/>
      <c r="AW202" s="194"/>
      <c r="AX202" s="347"/>
      <c r="AY202" s="242"/>
      <c r="AZ202" s="195"/>
      <c r="BA202" s="195"/>
      <c r="BB202" s="195"/>
      <c r="BC202" s="195"/>
      <c r="BD202" s="195"/>
      <c r="BE202" s="195"/>
      <c r="BF202" s="195"/>
      <c r="BG202" s="195"/>
      <c r="BH202" s="195"/>
      <c r="BI202" s="195"/>
      <c r="BJ202" s="195"/>
      <c r="BK202" s="347"/>
      <c r="BL202" s="195"/>
      <c r="BM202" s="195"/>
      <c r="BN202" s="214"/>
      <c r="BO202" s="195"/>
      <c r="BP202" s="195"/>
      <c r="BQ202" s="195"/>
      <c r="BR202" s="195"/>
      <c r="BS202" s="195"/>
      <c r="BT202" s="195"/>
      <c r="BU202" s="195"/>
      <c r="BV202" s="195"/>
      <c r="BW202" s="195"/>
      <c r="BX202" s="348"/>
      <c r="BY202" s="227"/>
      <c r="BZ202" s="227"/>
      <c r="CA202" s="467">
        <f>471.9</f>
        <v>471.9</v>
      </c>
      <c r="CB202" s="195"/>
      <c r="CC202" s="195"/>
      <c r="CD202" s="195"/>
      <c r="CE202" s="347"/>
      <c r="CF202" s="347"/>
      <c r="CG202" s="347"/>
      <c r="CH202" s="347"/>
      <c r="CI202" s="347"/>
      <c r="CJ202" s="347"/>
      <c r="CK202" s="292">
        <f>SUM(BY202:CJ202)</f>
        <v>471.9</v>
      </c>
      <c r="CL202" s="384"/>
      <c r="CM202" s="196"/>
      <c r="CN202" s="196"/>
      <c r="CO202" s="196"/>
      <c r="CP202" s="196"/>
      <c r="CQ202" s="196"/>
      <c r="CR202" s="196"/>
      <c r="CS202" s="196"/>
      <c r="CT202" s="196"/>
      <c r="CU202" s="196"/>
      <c r="CV202" s="196"/>
      <c r="CW202" s="196"/>
      <c r="CX202" s="196"/>
      <c r="CY202" s="292">
        <f t="shared" ref="CY202:CY211" si="644">SUM(CM202:CX202)</f>
        <v>0</v>
      </c>
      <c r="CZ202" s="211"/>
      <c r="DL202" s="292">
        <f t="shared" ref="DL202:DL211" si="645">SUM(CZ202:DK202)</f>
        <v>0</v>
      </c>
    </row>
    <row r="203" spans="2:116">
      <c r="B203" s="1" t="s">
        <v>454</v>
      </c>
      <c r="C203" s="136"/>
      <c r="D203" s="136"/>
      <c r="E203" s="136"/>
      <c r="F203" s="136"/>
      <c r="G203" s="136"/>
      <c r="H203" s="136"/>
      <c r="I203" s="136"/>
      <c r="J203" s="136"/>
      <c r="K203" s="136"/>
      <c r="L203" s="136"/>
      <c r="M203" s="102"/>
      <c r="N203" s="102"/>
      <c r="O203" s="66"/>
      <c r="P203" s="75"/>
      <c r="Q203" s="75"/>
      <c r="R203" s="75"/>
      <c r="S203" s="75"/>
      <c r="T203" s="75"/>
      <c r="U203" s="75"/>
      <c r="V203" s="75"/>
      <c r="W203" s="75"/>
      <c r="X203" s="75"/>
      <c r="Y203" s="75"/>
      <c r="Z203" s="75"/>
      <c r="AA203" s="75"/>
      <c r="AB203" s="100"/>
      <c r="AC203" s="75"/>
      <c r="AD203" s="75"/>
      <c r="AE203" s="75"/>
      <c r="AF203" s="75"/>
      <c r="AG203" s="75"/>
      <c r="AH203" s="75"/>
      <c r="AI203" s="75"/>
      <c r="AJ203" s="75"/>
      <c r="AK203" s="83"/>
      <c r="AL203" s="75"/>
      <c r="AM203" s="75"/>
      <c r="AN203" s="75"/>
      <c r="AO203" s="75"/>
      <c r="AP203" s="75"/>
      <c r="AQ203" s="75"/>
      <c r="AR203" s="75"/>
      <c r="AS203" s="75"/>
      <c r="AT203" s="75"/>
      <c r="AU203" s="75"/>
      <c r="AV203" s="75"/>
      <c r="AW203" s="75"/>
      <c r="AX203" s="83"/>
      <c r="AY203" s="67"/>
      <c r="AZ203" s="69"/>
      <c r="BA203" s="69"/>
      <c r="BB203" s="69"/>
      <c r="BC203" s="69"/>
      <c r="BD203" s="69"/>
      <c r="BE203" s="69"/>
      <c r="BF203" s="69"/>
      <c r="BG203" s="69"/>
      <c r="BH203" s="69"/>
      <c r="BI203" s="69"/>
      <c r="BJ203" s="69"/>
      <c r="BK203" s="83"/>
      <c r="BL203" s="69"/>
      <c r="BM203" s="69"/>
      <c r="BN203" s="213"/>
      <c r="BO203" s="69"/>
      <c r="BP203" s="69"/>
      <c r="BQ203" s="69"/>
      <c r="BR203" s="69"/>
      <c r="BS203" s="69"/>
      <c r="BT203" s="69"/>
      <c r="BU203" s="69"/>
      <c r="BV203" s="69"/>
      <c r="BW203" s="69"/>
      <c r="BX203" s="130"/>
      <c r="BY203" s="72"/>
      <c r="BZ203" s="72"/>
      <c r="CA203" s="213"/>
      <c r="CB203" s="68">
        <v>4425.0600000000004</v>
      </c>
      <c r="CC203" s="69"/>
      <c r="CD203" s="69"/>
      <c r="CE203" s="83"/>
      <c r="CF203" s="83"/>
      <c r="CG203" s="83"/>
      <c r="CH203" s="83"/>
      <c r="CI203" s="83"/>
      <c r="CJ203" s="83"/>
      <c r="CK203" s="114">
        <f>SUM(BY203:CJ203)</f>
        <v>4425.0600000000004</v>
      </c>
      <c r="CL203" s="100"/>
      <c r="CY203" s="114"/>
      <c r="CZ203" s="211"/>
      <c r="DL203" s="114"/>
    </row>
    <row r="204" spans="2:116">
      <c r="B204" s="1" t="s">
        <v>467</v>
      </c>
      <c r="C204" s="136"/>
      <c r="D204" s="136"/>
      <c r="E204" s="136"/>
      <c r="F204" s="136"/>
      <c r="G204" s="136"/>
      <c r="H204" s="136"/>
      <c r="I204" s="136"/>
      <c r="J204" s="136"/>
      <c r="K204" s="136"/>
      <c r="L204" s="136"/>
      <c r="M204" s="102"/>
      <c r="N204" s="102"/>
      <c r="O204" s="66"/>
      <c r="P204" s="75"/>
      <c r="Q204" s="75"/>
      <c r="R204" s="75"/>
      <c r="S204" s="75"/>
      <c r="T204" s="75"/>
      <c r="U204" s="75"/>
      <c r="V204" s="75"/>
      <c r="W204" s="75"/>
      <c r="X204" s="75"/>
      <c r="Y204" s="75"/>
      <c r="Z204" s="75"/>
      <c r="AA204" s="75"/>
      <c r="AB204" s="100"/>
      <c r="AC204" s="75"/>
      <c r="AD204" s="75"/>
      <c r="AE204" s="75"/>
      <c r="AF204" s="75"/>
      <c r="AG204" s="75"/>
      <c r="AH204" s="75"/>
      <c r="AI204" s="75"/>
      <c r="AJ204" s="75"/>
      <c r="AK204" s="83"/>
      <c r="AL204" s="75"/>
      <c r="AM204" s="75"/>
      <c r="AN204" s="75"/>
      <c r="AO204" s="75"/>
      <c r="AP204" s="75"/>
      <c r="AQ204" s="75"/>
      <c r="AR204" s="75"/>
      <c r="AS204" s="75"/>
      <c r="AT204" s="75"/>
      <c r="AU204" s="75"/>
      <c r="AV204" s="75"/>
      <c r="AW204" s="75"/>
      <c r="AX204" s="83"/>
      <c r="AY204" s="67"/>
      <c r="AZ204" s="69"/>
      <c r="BA204" s="69"/>
      <c r="BB204" s="69"/>
      <c r="BC204" s="69"/>
      <c r="BD204" s="69"/>
      <c r="BE204" s="69"/>
      <c r="BF204" s="69"/>
      <c r="BG204" s="69"/>
      <c r="BH204" s="69"/>
      <c r="BI204" s="69"/>
      <c r="BJ204" s="69"/>
      <c r="BK204" s="83"/>
      <c r="BL204" s="69"/>
      <c r="BM204" s="69"/>
      <c r="BN204" s="213"/>
      <c r="BO204" s="69"/>
      <c r="BP204" s="69"/>
      <c r="BQ204" s="69"/>
      <c r="BR204" s="69"/>
      <c r="BS204" s="69"/>
      <c r="BT204" s="69"/>
      <c r="BU204" s="69"/>
      <c r="BV204" s="69"/>
      <c r="BW204" s="69"/>
      <c r="BX204" s="130"/>
      <c r="BY204" s="120">
        <f>32+54.03</f>
        <v>86.03</v>
      </c>
      <c r="BZ204" s="68">
        <f>486.2+4.84</f>
        <v>491.03999999999996</v>
      </c>
      <c r="CA204" s="213"/>
      <c r="CB204" s="68">
        <v>44.41</v>
      </c>
      <c r="CC204" s="69"/>
      <c r="CD204" s="68">
        <f>33.09+(36.3+37.21)-698.22</f>
        <v>-591.62</v>
      </c>
      <c r="CF204" s="83"/>
      <c r="CG204" s="83"/>
      <c r="CH204" s="83"/>
      <c r="CI204" s="83"/>
      <c r="CJ204" s="83"/>
      <c r="CK204" s="114">
        <f>SUM(BY204:CJ204)</f>
        <v>29.8599999999999</v>
      </c>
      <c r="CL204" s="100"/>
      <c r="CY204" s="114">
        <f t="shared" si="644"/>
        <v>0</v>
      </c>
      <c r="CZ204" s="211"/>
      <c r="DL204" s="114">
        <f t="shared" si="645"/>
        <v>0</v>
      </c>
    </row>
    <row r="205" spans="2:116">
      <c r="B205" s="1" t="s">
        <v>365</v>
      </c>
      <c r="C205" s="32"/>
      <c r="D205" s="32"/>
      <c r="E205" s="32"/>
      <c r="F205" s="32"/>
      <c r="G205" s="32"/>
      <c r="H205" s="32"/>
      <c r="I205" s="32"/>
      <c r="J205" s="32"/>
      <c r="K205" s="32"/>
      <c r="L205" s="32"/>
      <c r="M205" s="103"/>
      <c r="N205" s="103"/>
      <c r="O205" s="210"/>
      <c r="P205" s="75"/>
      <c r="Q205" s="75"/>
      <c r="R205" s="75"/>
      <c r="S205" s="75"/>
      <c r="T205" s="75"/>
      <c r="U205" s="75"/>
      <c r="V205" s="75"/>
      <c r="W205" s="75"/>
      <c r="X205" s="75"/>
      <c r="Y205" s="75"/>
      <c r="Z205" s="75"/>
      <c r="AA205" s="75"/>
      <c r="AB205" s="100"/>
      <c r="AC205" s="75"/>
      <c r="AD205" s="75"/>
      <c r="AE205" s="75"/>
      <c r="AF205" s="75"/>
      <c r="AG205" s="75"/>
      <c r="AH205" s="75"/>
      <c r="AI205" s="75"/>
      <c r="AJ205" s="75"/>
      <c r="AK205" s="83"/>
      <c r="AL205" s="75"/>
      <c r="AM205" s="75"/>
      <c r="AN205" s="75"/>
      <c r="AO205" s="75"/>
      <c r="AP205" s="75"/>
      <c r="AQ205" s="75"/>
      <c r="AR205" s="75"/>
      <c r="AS205" s="75"/>
      <c r="AT205" s="75"/>
      <c r="AU205" s="75"/>
      <c r="AV205" s="75"/>
      <c r="AW205" s="75"/>
      <c r="AX205" s="83"/>
      <c r="AY205" s="67"/>
      <c r="AZ205" s="69"/>
      <c r="BA205" s="69"/>
      <c r="BB205" s="69"/>
      <c r="BC205" s="69"/>
      <c r="BD205" s="69"/>
      <c r="BE205" s="69"/>
      <c r="BF205" s="69"/>
      <c r="BG205" s="69"/>
      <c r="BH205" s="69"/>
      <c r="BI205" s="69"/>
      <c r="BJ205" s="69"/>
      <c r="BK205" s="83"/>
      <c r="BL205" s="69"/>
      <c r="BM205" s="69"/>
      <c r="BN205" s="213"/>
      <c r="BO205" s="69"/>
      <c r="BP205" s="69"/>
      <c r="BQ205" s="69"/>
      <c r="BR205" s="69"/>
      <c r="BS205" s="69"/>
      <c r="BT205" s="69"/>
      <c r="BU205" s="69"/>
      <c r="BV205" s="69"/>
      <c r="BW205" s="69"/>
      <c r="BX205" s="130"/>
      <c r="BY205" s="69"/>
      <c r="BZ205" s="68">
        <f>1464.17-827.41-179.87</f>
        <v>456.8900000000001</v>
      </c>
      <c r="CA205" s="212">
        <f>1242.33-412.78</f>
        <v>829.55</v>
      </c>
      <c r="CB205" s="72"/>
      <c r="CC205" s="68">
        <f>1464.46-1262.7-315.67-1452.1</f>
        <v>-1566.01</v>
      </c>
      <c r="CD205" s="72"/>
      <c r="CE205" s="83"/>
      <c r="CF205" s="83"/>
      <c r="CG205" s="83"/>
      <c r="CH205" s="83"/>
      <c r="CI205" s="83"/>
      <c r="CJ205" s="83"/>
      <c r="CK205" s="114">
        <f>SUM(BY205:CJ205)</f>
        <v>-279.56999999999994</v>
      </c>
      <c r="CL205" s="100"/>
      <c r="CY205" s="114">
        <f t="shared" si="644"/>
        <v>0</v>
      </c>
      <c r="CZ205" s="211"/>
      <c r="DL205" s="114">
        <f t="shared" si="645"/>
        <v>0</v>
      </c>
    </row>
    <row r="206" spans="2:116">
      <c r="B206" s="306" t="s">
        <v>465</v>
      </c>
      <c r="C206" s="136"/>
      <c r="D206" s="136"/>
      <c r="E206" s="136"/>
      <c r="F206" s="136"/>
      <c r="G206" s="136"/>
      <c r="H206" s="136"/>
      <c r="I206" s="136"/>
      <c r="J206" s="136"/>
      <c r="K206" s="136"/>
      <c r="L206" s="136"/>
      <c r="M206" s="102"/>
      <c r="N206" s="102"/>
      <c r="O206" s="66"/>
      <c r="P206" s="75"/>
      <c r="Q206" s="75"/>
      <c r="R206" s="75"/>
      <c r="S206" s="75"/>
      <c r="T206" s="75"/>
      <c r="U206" s="75"/>
      <c r="V206" s="75"/>
      <c r="W206" s="75"/>
      <c r="X206" s="75"/>
      <c r="Y206" s="75"/>
      <c r="Z206" s="75"/>
      <c r="AA206" s="75"/>
      <c r="AB206" s="100"/>
      <c r="AC206" s="75"/>
      <c r="AD206" s="75"/>
      <c r="AE206" s="75"/>
      <c r="AF206" s="75"/>
      <c r="AG206" s="75"/>
      <c r="AH206" s="75"/>
      <c r="AI206" s="75"/>
      <c r="AJ206" s="75"/>
      <c r="AK206" s="83"/>
      <c r="AL206" s="75"/>
      <c r="AM206" s="75"/>
      <c r="AN206" s="75"/>
      <c r="AO206" s="75"/>
      <c r="AP206" s="75"/>
      <c r="AQ206" s="75"/>
      <c r="AR206" s="75"/>
      <c r="AS206" s="75"/>
      <c r="AT206" s="75"/>
      <c r="AU206" s="75"/>
      <c r="AV206" s="75"/>
      <c r="AW206" s="75"/>
      <c r="AX206" s="83"/>
      <c r="AY206" s="67"/>
      <c r="AZ206" s="69"/>
      <c r="BA206" s="69"/>
      <c r="BB206" s="69"/>
      <c r="BC206" s="69"/>
      <c r="BD206" s="69"/>
      <c r="BE206" s="69"/>
      <c r="BF206" s="69"/>
      <c r="BG206" s="69"/>
      <c r="BH206" s="69"/>
      <c r="BI206" s="69"/>
      <c r="BJ206" s="69"/>
      <c r="BK206" s="83"/>
      <c r="BL206" s="69"/>
      <c r="BM206" s="69"/>
      <c r="BN206" s="213"/>
      <c r="BO206" s="69"/>
      <c r="BP206" s="69"/>
      <c r="BQ206" s="69"/>
      <c r="BR206" s="69"/>
      <c r="BS206" s="69"/>
      <c r="BT206" s="69"/>
      <c r="BU206" s="69"/>
      <c r="BV206" s="69"/>
      <c r="BW206" s="69"/>
      <c r="BX206" s="130"/>
      <c r="BY206" s="69"/>
      <c r="BZ206" s="68"/>
      <c r="CA206" s="212"/>
      <c r="CB206" s="72"/>
      <c r="CC206" s="68">
        <v>208</v>
      </c>
      <c r="CD206" s="72"/>
      <c r="CE206" s="83"/>
      <c r="CF206" s="83"/>
      <c r="CG206" s="83"/>
      <c r="CH206" s="83"/>
      <c r="CI206" s="83"/>
      <c r="CJ206" s="83"/>
      <c r="CK206" s="114"/>
      <c r="CL206" s="100"/>
      <c r="CY206" s="114"/>
      <c r="CZ206" s="211"/>
      <c r="DL206" s="114"/>
    </row>
    <row r="207" spans="2:116">
      <c r="B207" s="1" t="s">
        <v>366</v>
      </c>
      <c r="C207" s="136"/>
      <c r="D207" s="136"/>
      <c r="E207" s="136"/>
      <c r="F207" s="136"/>
      <c r="G207" s="136"/>
      <c r="H207" s="136"/>
      <c r="I207" s="136"/>
      <c r="J207" s="136"/>
      <c r="K207" s="136"/>
      <c r="L207" s="136"/>
      <c r="M207" s="102"/>
      <c r="N207" s="102"/>
      <c r="O207" s="66"/>
      <c r="P207" s="75"/>
      <c r="Q207" s="75"/>
      <c r="R207" s="75"/>
      <c r="S207" s="75"/>
      <c r="T207" s="75"/>
      <c r="U207" s="75"/>
      <c r="V207" s="75"/>
      <c r="W207" s="75"/>
      <c r="X207" s="75"/>
      <c r="Y207" s="75"/>
      <c r="Z207" s="75"/>
      <c r="AA207" s="75"/>
      <c r="AB207" s="100"/>
      <c r="AC207" s="75"/>
      <c r="AD207" s="75"/>
      <c r="AE207" s="75"/>
      <c r="AF207" s="75"/>
      <c r="AG207" s="75"/>
      <c r="AH207" s="75"/>
      <c r="AI207" s="75"/>
      <c r="AJ207" s="75"/>
      <c r="AK207" s="83"/>
      <c r="AL207" s="75"/>
      <c r="AM207" s="75"/>
      <c r="AN207" s="75"/>
      <c r="AO207" s="75"/>
      <c r="AP207" s="75"/>
      <c r="AQ207" s="75"/>
      <c r="AR207" s="75"/>
      <c r="AS207" s="75"/>
      <c r="AT207" s="75"/>
      <c r="AU207" s="75"/>
      <c r="AV207" s="75"/>
      <c r="AW207" s="75"/>
      <c r="AX207" s="83"/>
      <c r="AY207" s="67"/>
      <c r="AZ207" s="69"/>
      <c r="BA207" s="69"/>
      <c r="BB207" s="69"/>
      <c r="BC207" s="69"/>
      <c r="BD207" s="69"/>
      <c r="BE207" s="69"/>
      <c r="BF207" s="69"/>
      <c r="BG207" s="69"/>
      <c r="BH207" s="69"/>
      <c r="BI207" s="69"/>
      <c r="BJ207" s="69"/>
      <c r="BK207" s="83"/>
      <c r="BL207" s="69"/>
      <c r="BM207" s="69"/>
      <c r="BN207" s="213"/>
      <c r="BO207" s="69"/>
      <c r="BP207" s="69"/>
      <c r="BQ207" s="69"/>
      <c r="BR207" s="69"/>
      <c r="BS207" s="69"/>
      <c r="BT207" s="69"/>
      <c r="BU207" s="69"/>
      <c r="BV207" s="69"/>
      <c r="BW207" s="69"/>
      <c r="BX207" s="130"/>
      <c r="BY207" s="68"/>
      <c r="BZ207" s="72"/>
      <c r="CA207" s="67">
        <f>6185.7+1853.5+1623.6+1422.85</f>
        <v>11085.65</v>
      </c>
      <c r="CB207" s="67">
        <f>-1422.85-6185.7-1853.5-1623.6</f>
        <v>-11085.65</v>
      </c>
      <c r="CC207" s="438">
        <f>522.29+11082.61+(9671.83+10234.68-9671.83-10234.68)</f>
        <v>11604.900000000003</v>
      </c>
      <c r="CD207" s="439">
        <f>6629.4+6517.44+12734.56</f>
        <v>25881.4</v>
      </c>
      <c r="CE207" s="470">
        <f>10541.71+(8751.6+272.25)-9023.85</f>
        <v>10541.709999999997</v>
      </c>
      <c r="CF207" s="470">
        <f>-12734.56-10541.71</f>
        <v>-23276.269999999997</v>
      </c>
      <c r="CG207" s="470">
        <f>(4202-101.18-4100.82)+(11194.8-11194.8)+(10214.42-10214.42)</f>
        <v>0</v>
      </c>
      <c r="CH207" s="470">
        <f>(5027.48-185.49-4841.99)+(6164.32-6164.32)</f>
        <v>0</v>
      </c>
      <c r="CI207" s="470">
        <f>(5233.25-5233.25)</f>
        <v>0</v>
      </c>
      <c r="CJ207" s="83"/>
      <c r="CK207" s="114">
        <f>SUM(BY207:CJ207)</f>
        <v>24751.740000000005</v>
      </c>
      <c r="CL207" s="99"/>
      <c r="CY207" s="114">
        <f t="shared" si="644"/>
        <v>0</v>
      </c>
      <c r="CZ207" s="211"/>
      <c r="DL207" s="114">
        <f t="shared" si="645"/>
        <v>0</v>
      </c>
    </row>
    <row r="208" spans="2:116">
      <c r="B208" s="1" t="s">
        <v>368</v>
      </c>
      <c r="C208" s="32"/>
      <c r="D208" s="32"/>
      <c r="E208" s="32"/>
      <c r="F208" s="32"/>
      <c r="G208" s="32"/>
      <c r="H208" s="32"/>
      <c r="I208" s="32"/>
      <c r="J208" s="32"/>
      <c r="K208" s="32"/>
      <c r="L208" s="32"/>
      <c r="M208" s="103"/>
      <c r="N208" s="103"/>
      <c r="O208" s="210"/>
      <c r="P208" s="75"/>
      <c r="Q208" s="75"/>
      <c r="R208" s="75"/>
      <c r="S208" s="75"/>
      <c r="T208" s="75"/>
      <c r="U208" s="75"/>
      <c r="V208" s="75"/>
      <c r="W208" s="75"/>
      <c r="X208" s="75"/>
      <c r="Y208" s="75"/>
      <c r="Z208" s="75"/>
      <c r="AA208" s="75"/>
      <c r="AB208" s="100"/>
      <c r="AC208" s="75"/>
      <c r="AD208" s="75"/>
      <c r="AE208" s="75"/>
      <c r="AF208" s="75"/>
      <c r="AG208" s="75"/>
      <c r="AH208" s="75"/>
      <c r="AI208" s="75"/>
      <c r="AJ208" s="75"/>
      <c r="AK208" s="83"/>
      <c r="AL208" s="75"/>
      <c r="AM208" s="75"/>
      <c r="AN208" s="75"/>
      <c r="AO208" s="75"/>
      <c r="AP208" s="75"/>
      <c r="AQ208" s="75"/>
      <c r="AR208" s="75"/>
      <c r="AS208" s="75"/>
      <c r="AT208" s="75"/>
      <c r="AU208" s="75"/>
      <c r="AV208" s="75"/>
      <c r="AW208" s="75"/>
      <c r="AX208" s="83"/>
      <c r="AY208" s="67"/>
      <c r="AZ208" s="69"/>
      <c r="BA208" s="69"/>
      <c r="BB208" s="69"/>
      <c r="BC208" s="69"/>
      <c r="BD208" s="69"/>
      <c r="BE208" s="69"/>
      <c r="BF208" s="69"/>
      <c r="BG208" s="69"/>
      <c r="BH208" s="69"/>
      <c r="BI208" s="69"/>
      <c r="BJ208" s="69"/>
      <c r="BK208" s="83"/>
      <c r="BL208" s="69"/>
      <c r="BM208" s="69"/>
      <c r="BN208" s="213"/>
      <c r="BO208" s="69"/>
      <c r="BP208" s="69"/>
      <c r="BQ208" s="69"/>
      <c r="BR208" s="69"/>
      <c r="BS208" s="69"/>
      <c r="BT208" s="69"/>
      <c r="BU208" s="69"/>
      <c r="BV208" s="69"/>
      <c r="BW208" s="69"/>
      <c r="BX208" s="130"/>
      <c r="BY208" s="68">
        <v>363</v>
      </c>
      <c r="BZ208" s="68">
        <v>363</v>
      </c>
      <c r="CA208" s="212">
        <f>364.79</f>
        <v>364.79</v>
      </c>
      <c r="CB208" s="68">
        <f>(300+4.8)*1.21</f>
        <v>368.80799999999999</v>
      </c>
      <c r="CC208" s="68"/>
      <c r="CD208" s="69"/>
      <c r="CE208" s="83"/>
      <c r="CF208" s="83"/>
      <c r="CG208" s="83"/>
      <c r="CH208" s="83"/>
      <c r="CI208" s="83"/>
      <c r="CJ208" s="83"/>
      <c r="CK208" s="114">
        <f>SUM(BY208:CJ208)</f>
        <v>1459.598</v>
      </c>
      <c r="CL208" s="100"/>
      <c r="CY208" s="114">
        <f t="shared" si="644"/>
        <v>0</v>
      </c>
      <c r="CZ208" s="211"/>
      <c r="DL208" s="114">
        <f t="shared" si="645"/>
        <v>0</v>
      </c>
    </row>
    <row r="209" spans="2:116">
      <c r="B209" s="152" t="s">
        <v>369</v>
      </c>
      <c r="C209" s="32"/>
      <c r="D209" s="32"/>
      <c r="E209" s="32"/>
      <c r="F209" s="32"/>
      <c r="G209" s="32"/>
      <c r="H209" s="32"/>
      <c r="I209" s="32"/>
      <c r="J209" s="32"/>
      <c r="K209" s="32"/>
      <c r="L209" s="32"/>
      <c r="M209" s="103"/>
      <c r="N209" s="103"/>
      <c r="O209" s="210"/>
      <c r="P209" s="75"/>
      <c r="Q209" s="75"/>
      <c r="R209" s="75"/>
      <c r="S209" s="75"/>
      <c r="T209" s="75"/>
      <c r="U209" s="75"/>
      <c r="V209" s="75"/>
      <c r="W209" s="75"/>
      <c r="X209" s="75"/>
      <c r="Y209" s="75"/>
      <c r="Z209" s="75"/>
      <c r="AA209" s="75"/>
      <c r="AB209" s="100"/>
      <c r="AC209" s="75"/>
      <c r="AD209" s="75"/>
      <c r="AE209" s="75"/>
      <c r="AF209" s="75"/>
      <c r="AG209" s="75"/>
      <c r="AH209" s="75"/>
      <c r="AI209" s="75"/>
      <c r="AJ209" s="75"/>
      <c r="AK209" s="83"/>
      <c r="AL209" s="75"/>
      <c r="AM209" s="75"/>
      <c r="AN209" s="75"/>
      <c r="AO209" s="75"/>
      <c r="AP209" s="75"/>
      <c r="AQ209" s="75"/>
      <c r="AR209" s="75"/>
      <c r="AS209" s="75"/>
      <c r="AT209" s="75"/>
      <c r="AU209" s="75"/>
      <c r="AV209" s="75"/>
      <c r="AW209" s="75"/>
      <c r="AX209" s="83"/>
      <c r="AY209" s="67"/>
      <c r="AZ209" s="69"/>
      <c r="BA209" s="69"/>
      <c r="BB209" s="69"/>
      <c r="BC209" s="69"/>
      <c r="BD209" s="69"/>
      <c r="BE209" s="69"/>
      <c r="BF209" s="69"/>
      <c r="BG209" s="69"/>
      <c r="BH209" s="69"/>
      <c r="BI209" s="69"/>
      <c r="BJ209" s="69"/>
      <c r="BK209" s="83"/>
      <c r="BL209" s="69"/>
      <c r="BM209" s="69"/>
      <c r="BN209" s="213"/>
      <c r="BO209" s="69"/>
      <c r="BP209" s="69"/>
      <c r="BQ209" s="69"/>
      <c r="BR209" s="69"/>
      <c r="BS209" s="69"/>
      <c r="BT209" s="69"/>
      <c r="BU209" s="69"/>
      <c r="BV209" s="69"/>
      <c r="BW209" s="69"/>
      <c r="BX209" s="130"/>
      <c r="BY209" s="67">
        <f>1150.07+160.94+2008.15+150.25</f>
        <v>3469.41</v>
      </c>
      <c r="BZ209" s="67">
        <f>144.21</f>
        <v>144.21</v>
      </c>
      <c r="CA209" s="213"/>
      <c r="CB209" s="69"/>
      <c r="CC209" s="439">
        <f>1326.42+2893.7</f>
        <v>4220.12</v>
      </c>
      <c r="CD209" s="69"/>
      <c r="CE209" s="83"/>
      <c r="CF209" s="83"/>
      <c r="CG209" s="83"/>
      <c r="CH209" s="83"/>
      <c r="CI209" s="83"/>
      <c r="CJ209" s="83"/>
      <c r="CK209" s="114">
        <f>SUM(BY209:CJ209)</f>
        <v>7833.74</v>
      </c>
      <c r="CL209" s="100"/>
      <c r="CY209" s="114">
        <f t="shared" si="644"/>
        <v>0</v>
      </c>
      <c r="CZ209" s="211"/>
      <c r="DL209" s="114">
        <f t="shared" si="645"/>
        <v>0</v>
      </c>
    </row>
    <row r="210" spans="2:116">
      <c r="B210" s="152" t="s">
        <v>367</v>
      </c>
      <c r="C210" s="32"/>
      <c r="D210" s="32"/>
      <c r="E210" s="32"/>
      <c r="F210" s="32"/>
      <c r="G210" s="32"/>
      <c r="H210" s="32"/>
      <c r="I210" s="32"/>
      <c r="J210" s="32"/>
      <c r="K210" s="32"/>
      <c r="L210" s="32"/>
      <c r="M210" s="103"/>
      <c r="N210" s="103"/>
      <c r="O210" s="210"/>
      <c r="P210" s="75"/>
      <c r="Q210" s="75"/>
      <c r="R210" s="75"/>
      <c r="S210" s="75"/>
      <c r="T210" s="75"/>
      <c r="U210" s="75"/>
      <c r="V210" s="75"/>
      <c r="W210" s="75"/>
      <c r="X210" s="75"/>
      <c r="Y210" s="75"/>
      <c r="Z210" s="75"/>
      <c r="AA210" s="75"/>
      <c r="AB210" s="100"/>
      <c r="AC210" s="75"/>
      <c r="AD210" s="75"/>
      <c r="AE210" s="75"/>
      <c r="AF210" s="75"/>
      <c r="AG210" s="75"/>
      <c r="AH210" s="75"/>
      <c r="AI210" s="75"/>
      <c r="AJ210" s="75"/>
      <c r="AK210" s="83"/>
      <c r="AL210" s="75"/>
      <c r="AM210" s="75"/>
      <c r="AN210" s="75"/>
      <c r="AO210" s="75"/>
      <c r="AP210" s="75"/>
      <c r="AQ210" s="75"/>
      <c r="AR210" s="75"/>
      <c r="AS210" s="75"/>
      <c r="AT210" s="75"/>
      <c r="AU210" s="75"/>
      <c r="AV210" s="75"/>
      <c r="AW210" s="75"/>
      <c r="AX210" s="83"/>
      <c r="AY210" s="67"/>
      <c r="AZ210" s="69"/>
      <c r="BA210" s="69"/>
      <c r="BB210" s="69"/>
      <c r="BC210" s="69"/>
      <c r="BD210" s="69"/>
      <c r="BE210" s="69"/>
      <c r="BF210" s="69"/>
      <c r="BG210" s="69"/>
      <c r="BH210" s="69"/>
      <c r="BI210" s="69"/>
      <c r="BJ210" s="69"/>
      <c r="BK210" s="83"/>
      <c r="BL210" s="69"/>
      <c r="BM210" s="69"/>
      <c r="BN210" s="213"/>
      <c r="BO210" s="69"/>
      <c r="BP210" s="69"/>
      <c r="BQ210" s="69"/>
      <c r="BR210" s="69"/>
      <c r="BS210" s="69"/>
      <c r="BT210" s="69"/>
      <c r="BU210" s="69"/>
      <c r="BV210" s="69"/>
      <c r="BW210" s="69"/>
      <c r="BX210" s="130"/>
      <c r="BY210" s="68"/>
      <c r="BZ210" s="72"/>
      <c r="CA210" s="213"/>
      <c r="CB210" s="69"/>
      <c r="CC210" s="69"/>
      <c r="CD210" s="69"/>
      <c r="CE210" s="83"/>
      <c r="CF210" s="83"/>
      <c r="CG210" s="83"/>
      <c r="CH210" s="83"/>
      <c r="CI210" s="83"/>
      <c r="CJ210" s="83"/>
      <c r="CK210" s="114">
        <f>SUM(BY210:CJ210)</f>
        <v>0</v>
      </c>
      <c r="CL210" s="100"/>
      <c r="CY210" s="114">
        <f t="shared" si="644"/>
        <v>0</v>
      </c>
      <c r="CZ210" s="211"/>
      <c r="DL210" s="114">
        <f t="shared" si="645"/>
        <v>0</v>
      </c>
    </row>
    <row r="211" spans="2:116">
      <c r="B211" s="326" t="s">
        <v>370</v>
      </c>
      <c r="C211" s="32"/>
      <c r="D211" s="32"/>
      <c r="E211" s="32"/>
      <c r="F211" s="32"/>
      <c r="G211" s="32"/>
      <c r="H211" s="32"/>
      <c r="I211" s="32"/>
      <c r="J211" s="32"/>
      <c r="K211" s="32"/>
      <c r="L211" s="32"/>
      <c r="M211" s="103"/>
      <c r="N211" s="103"/>
      <c r="O211" s="210"/>
      <c r="P211" s="78"/>
      <c r="Q211" s="78"/>
      <c r="R211" s="78"/>
      <c r="S211" s="78"/>
      <c r="T211" s="78"/>
      <c r="U211" s="78"/>
      <c r="V211" s="78"/>
      <c r="W211" s="78"/>
      <c r="X211" s="78"/>
      <c r="Y211" s="78"/>
      <c r="Z211" s="78"/>
      <c r="AA211" s="78"/>
      <c r="AB211" s="111"/>
      <c r="AC211" s="78"/>
      <c r="AD211" s="78"/>
      <c r="AE211" s="78"/>
      <c r="AF211" s="78"/>
      <c r="AG211" s="78"/>
      <c r="AH211" s="78"/>
      <c r="AI211" s="78"/>
      <c r="AJ211" s="78"/>
      <c r="AK211" s="113"/>
      <c r="AL211" s="78"/>
      <c r="AM211" s="78"/>
      <c r="AN211" s="78"/>
      <c r="AO211" s="78"/>
      <c r="AP211" s="78"/>
      <c r="AQ211" s="78"/>
      <c r="AR211" s="78"/>
      <c r="AS211" s="78"/>
      <c r="AT211" s="78"/>
      <c r="AU211" s="78"/>
      <c r="AV211" s="78"/>
      <c r="AW211" s="78"/>
      <c r="AX211" s="113"/>
      <c r="AY211" s="77"/>
      <c r="AZ211" s="112"/>
      <c r="BA211" s="112"/>
      <c r="BB211" s="112"/>
      <c r="BC211" s="112"/>
      <c r="BD211" s="112"/>
      <c r="BE211" s="112"/>
      <c r="BF211" s="112"/>
      <c r="BG211" s="112"/>
      <c r="BH211" s="112"/>
      <c r="BI211" s="112"/>
      <c r="BJ211" s="112"/>
      <c r="BK211" s="113"/>
      <c r="BL211" s="112"/>
      <c r="BM211" s="112"/>
      <c r="BN211" s="246"/>
      <c r="BO211" s="112"/>
      <c r="BP211" s="112"/>
      <c r="BQ211" s="112"/>
      <c r="BR211" s="112"/>
      <c r="BS211" s="112"/>
      <c r="BT211" s="112"/>
      <c r="BU211" s="112"/>
      <c r="BV211" s="112"/>
      <c r="BW211" s="112"/>
      <c r="BX211" s="132"/>
      <c r="BY211" s="231"/>
      <c r="BZ211" s="228"/>
      <c r="CA211" s="246"/>
      <c r="CB211" s="77">
        <f>250*1.21</f>
        <v>302.5</v>
      </c>
      <c r="CC211" s="231">
        <v>55</v>
      </c>
      <c r="CD211" s="456">
        <f>1282.6</f>
        <v>1282.5999999999999</v>
      </c>
      <c r="CE211" s="113"/>
      <c r="CF211" s="113">
        <f>260</f>
        <v>260</v>
      </c>
      <c r="CG211" s="113"/>
      <c r="CH211" s="113"/>
      <c r="CI211" s="113"/>
      <c r="CJ211" s="113"/>
      <c r="CK211" s="184">
        <f>SUM(BY211:CJ211)</f>
        <v>1900.1</v>
      </c>
      <c r="CL211" s="111"/>
      <c r="CM211" s="13"/>
      <c r="CN211" s="13"/>
      <c r="CO211" s="13"/>
      <c r="CP211" s="13"/>
      <c r="CQ211" s="13"/>
      <c r="CR211" s="13"/>
      <c r="CS211" s="13"/>
      <c r="CT211" s="13"/>
      <c r="CU211" s="13"/>
      <c r="CV211" s="13"/>
      <c r="CW211" s="13"/>
      <c r="CX211" s="13"/>
      <c r="CY211" s="114">
        <f t="shared" si="644"/>
        <v>0</v>
      </c>
      <c r="CZ211" s="211"/>
      <c r="DL211" s="114">
        <f t="shared" si="645"/>
        <v>0</v>
      </c>
    </row>
    <row r="212" spans="2:116" ht="16.5">
      <c r="B212" s="419" t="s">
        <v>451</v>
      </c>
      <c r="C212" s="391"/>
      <c r="D212" s="391"/>
      <c r="E212" s="391"/>
      <c r="F212" s="391"/>
      <c r="G212" s="391"/>
      <c r="H212" s="391"/>
      <c r="I212" s="391"/>
      <c r="J212" s="391"/>
      <c r="K212" s="391"/>
      <c r="L212" s="391"/>
      <c r="M212" s="392"/>
      <c r="N212" s="392"/>
      <c r="O212" s="393"/>
      <c r="P212" s="75"/>
      <c r="Q212" s="75"/>
      <c r="R212" s="75"/>
      <c r="S212" s="75"/>
      <c r="T212" s="75"/>
      <c r="U212" s="75"/>
      <c r="V212" s="75"/>
      <c r="W212" s="75"/>
      <c r="X212" s="75"/>
      <c r="Y212" s="75"/>
      <c r="Z212" s="75"/>
      <c r="AA212" s="75"/>
      <c r="AB212" s="114"/>
      <c r="AC212" s="129"/>
      <c r="AD212" s="75"/>
      <c r="AE212" s="75"/>
      <c r="AF212" s="75"/>
      <c r="AG212" s="75"/>
      <c r="AH212" s="75"/>
      <c r="AI212" s="75"/>
      <c r="AJ212" s="75"/>
      <c r="AK212" s="83"/>
      <c r="AL212" s="75"/>
      <c r="AM212" s="75"/>
      <c r="AN212" s="75"/>
      <c r="AO212" s="75"/>
      <c r="AP212" s="75"/>
      <c r="AQ212" s="75"/>
      <c r="AR212" s="75"/>
      <c r="AS212" s="75"/>
      <c r="AT212" s="75"/>
      <c r="AU212" s="75"/>
      <c r="AV212" s="75"/>
      <c r="AW212" s="75"/>
      <c r="AX212" s="114"/>
      <c r="AY212" s="67"/>
      <c r="AZ212" s="69"/>
      <c r="BA212" s="69"/>
      <c r="BB212" s="69"/>
      <c r="BC212" s="69"/>
      <c r="BD212" s="69"/>
      <c r="BE212" s="69"/>
      <c r="BF212" s="69"/>
      <c r="BG212" s="69"/>
      <c r="BH212" s="69"/>
      <c r="BI212" s="69"/>
      <c r="BJ212" s="69"/>
      <c r="BK212" s="114"/>
      <c r="BL212" s="115"/>
      <c r="BM212" s="69"/>
      <c r="BN212" s="213"/>
      <c r="BO212" s="69"/>
      <c r="BP212" s="69"/>
      <c r="BQ212" s="69"/>
      <c r="BR212" s="69"/>
      <c r="BS212" s="69"/>
      <c r="BT212" s="69"/>
      <c r="BU212" s="69"/>
      <c r="BV212" s="69"/>
      <c r="BW212" s="69"/>
      <c r="BX212" s="114"/>
      <c r="BY212" s="127">
        <f t="shared" ref="BY212:CK212" si="646">SUM(BY202:BY211)</f>
        <v>3918.4399999999996</v>
      </c>
      <c r="BZ212" s="77">
        <f t="shared" si="646"/>
        <v>1455.14</v>
      </c>
      <c r="CA212" s="464">
        <f t="shared" si="646"/>
        <v>12751.89</v>
      </c>
      <c r="CB212" s="77">
        <f t="shared" si="646"/>
        <v>-5944.8719999999994</v>
      </c>
      <c r="CC212" s="77">
        <f t="shared" si="646"/>
        <v>14522.010000000002</v>
      </c>
      <c r="CD212" s="77">
        <f t="shared" si="646"/>
        <v>26572.38</v>
      </c>
      <c r="CE212" s="255">
        <f t="shared" si="646"/>
        <v>10541.709999999997</v>
      </c>
      <c r="CF212" s="255">
        <f>SUM(CF202:CF211)</f>
        <v>-23016.269999999997</v>
      </c>
      <c r="CG212" s="255">
        <f t="shared" si="646"/>
        <v>0</v>
      </c>
      <c r="CH212" s="255">
        <f t="shared" si="646"/>
        <v>0</v>
      </c>
      <c r="CI212" s="255">
        <f t="shared" si="646"/>
        <v>0</v>
      </c>
      <c r="CJ212" s="382">
        <f t="shared" si="646"/>
        <v>0</v>
      </c>
      <c r="CK212" s="333">
        <f t="shared" si="646"/>
        <v>40592.428</v>
      </c>
      <c r="CL212" s="383"/>
      <c r="CM212" s="83"/>
      <c r="CN212" s="83">
        <f t="shared" ref="CN212:CY212" si="647">SUM(CN207:CN208)</f>
        <v>0</v>
      </c>
      <c r="CO212" s="83">
        <f t="shared" si="647"/>
        <v>0</v>
      </c>
      <c r="CP212" s="83">
        <f t="shared" si="647"/>
        <v>0</v>
      </c>
      <c r="CQ212" s="83">
        <f t="shared" si="647"/>
        <v>0</v>
      </c>
      <c r="CR212" s="83">
        <f t="shared" si="647"/>
        <v>0</v>
      </c>
      <c r="CS212" s="83">
        <f t="shared" si="647"/>
        <v>0</v>
      </c>
      <c r="CT212" s="83">
        <f t="shared" si="647"/>
        <v>0</v>
      </c>
      <c r="CU212" s="83">
        <f t="shared" si="647"/>
        <v>0</v>
      </c>
      <c r="CV212" s="83">
        <f t="shared" si="647"/>
        <v>0</v>
      </c>
      <c r="CW212" s="83">
        <f t="shared" si="647"/>
        <v>0</v>
      </c>
      <c r="CX212" s="83">
        <f t="shared" si="647"/>
        <v>0</v>
      </c>
      <c r="CY212" s="333">
        <f t="shared" si="647"/>
        <v>0</v>
      </c>
      <c r="CZ212" s="211"/>
      <c r="DL212" s="333">
        <f t="shared" ref="DL212" si="648">SUM(DL207:DL208)</f>
        <v>0</v>
      </c>
    </row>
    <row r="213" spans="2:116" ht="16.5">
      <c r="B213" s="58" t="s">
        <v>433</v>
      </c>
      <c r="C213" s="391"/>
      <c r="D213" s="391"/>
      <c r="E213" s="391"/>
      <c r="F213" s="391"/>
      <c r="G213" s="391"/>
      <c r="H213" s="391"/>
      <c r="I213" s="391"/>
      <c r="J213" s="391"/>
      <c r="K213" s="391"/>
      <c r="L213" s="391"/>
      <c r="M213" s="392"/>
      <c r="N213" s="392"/>
      <c r="O213" s="393"/>
      <c r="P213" s="194"/>
      <c r="Q213" s="194"/>
      <c r="R213" s="194"/>
      <c r="S213" s="194"/>
      <c r="T213" s="194"/>
      <c r="U213" s="194"/>
      <c r="V213" s="194"/>
      <c r="W213" s="194"/>
      <c r="X213" s="194"/>
      <c r="Y213" s="194"/>
      <c r="Z213" s="194"/>
      <c r="AA213" s="194"/>
      <c r="AB213" s="347"/>
      <c r="AC213" s="194"/>
      <c r="AD213" s="194"/>
      <c r="AE213" s="194"/>
      <c r="AF213" s="194"/>
      <c r="AG213" s="194"/>
      <c r="AH213" s="194"/>
      <c r="AI213" s="194"/>
      <c r="AJ213" s="194"/>
      <c r="AK213" s="347"/>
      <c r="AL213" s="194"/>
      <c r="AM213" s="194"/>
      <c r="AN213" s="194"/>
      <c r="AO213" s="194"/>
      <c r="AP213" s="194"/>
      <c r="AQ213" s="194"/>
      <c r="AR213" s="194"/>
      <c r="AS213" s="194"/>
      <c r="AT213" s="194"/>
      <c r="AU213" s="194"/>
      <c r="AV213" s="194"/>
      <c r="AW213" s="194"/>
      <c r="AX213" s="347"/>
      <c r="AY213" s="242"/>
      <c r="AZ213" s="195"/>
      <c r="BA213" s="195"/>
      <c r="BB213" s="195"/>
      <c r="BC213" s="195"/>
      <c r="BD213" s="195"/>
      <c r="BE213" s="195"/>
      <c r="BF213" s="195"/>
      <c r="BG213" s="195"/>
      <c r="BH213" s="195"/>
      <c r="BI213" s="195"/>
      <c r="BJ213" s="195"/>
      <c r="BK213" s="347"/>
      <c r="BL213" s="195"/>
      <c r="BM213" s="195"/>
      <c r="BN213" s="214"/>
      <c r="BO213" s="195"/>
      <c r="BP213" s="195"/>
      <c r="BQ213" s="195"/>
      <c r="BR213" s="195"/>
      <c r="BS213" s="195"/>
      <c r="BT213" s="195"/>
      <c r="BU213" s="195"/>
      <c r="BV213" s="195"/>
      <c r="BW213" s="195"/>
      <c r="BX213" s="347"/>
      <c r="BY213" s="67">
        <f t="shared" ref="BY213:CJ213" si="649">BY199-BY212</f>
        <v>-1641.4099999999994</v>
      </c>
      <c r="BZ213" s="67">
        <f t="shared" si="649"/>
        <v>-1455.14</v>
      </c>
      <c r="CA213" s="244">
        <f t="shared" si="649"/>
        <v>-12751.89</v>
      </c>
      <c r="CB213" s="67">
        <f t="shared" si="649"/>
        <v>5944.8719999999994</v>
      </c>
      <c r="CC213" s="67">
        <f t="shared" si="649"/>
        <v>-14012.840000000002</v>
      </c>
      <c r="CD213" s="67">
        <f t="shared" si="649"/>
        <v>-26437.8</v>
      </c>
      <c r="CE213" s="254">
        <f t="shared" si="649"/>
        <v>-10541.709999999997</v>
      </c>
      <c r="CF213" s="254">
        <f t="shared" si="649"/>
        <v>23753.799999999996</v>
      </c>
      <c r="CG213" s="254">
        <f t="shared" si="649"/>
        <v>0</v>
      </c>
      <c r="CH213" s="254">
        <f t="shared" si="649"/>
        <v>0</v>
      </c>
      <c r="CI213" s="254">
        <f t="shared" si="649"/>
        <v>0</v>
      </c>
      <c r="CJ213" s="254">
        <f t="shared" si="649"/>
        <v>0</v>
      </c>
      <c r="CK213" s="254"/>
      <c r="CL213" s="389"/>
      <c r="CM213" s="196"/>
      <c r="CN213" s="196"/>
      <c r="CO213" s="196"/>
      <c r="CP213" s="196"/>
      <c r="CQ213" s="196"/>
      <c r="CR213" s="196"/>
      <c r="CS213" s="196"/>
      <c r="CT213" s="196"/>
      <c r="CU213" s="196"/>
      <c r="CV213" s="196"/>
      <c r="CW213" s="196"/>
      <c r="CX213" s="196"/>
      <c r="CY213" s="389"/>
      <c r="DL213" s="389"/>
    </row>
    <row r="214" spans="2:116" ht="16.5">
      <c r="B214" s="394"/>
      <c r="C214" s="136"/>
      <c r="D214" s="136"/>
      <c r="E214" s="136"/>
      <c r="F214" s="136"/>
      <c r="G214" s="136"/>
      <c r="H214" s="136"/>
      <c r="I214" s="136"/>
      <c r="J214" s="136"/>
      <c r="K214" s="136"/>
      <c r="L214" s="136"/>
      <c r="M214" s="102"/>
      <c r="N214" s="102"/>
      <c r="O214" s="66"/>
      <c r="P214" s="75"/>
      <c r="Q214" s="75"/>
      <c r="R214" s="75"/>
      <c r="S214" s="75"/>
      <c r="T214" s="75"/>
      <c r="U214" s="75"/>
      <c r="V214" s="75"/>
      <c r="W214" s="75"/>
      <c r="X214" s="75"/>
      <c r="Y214" s="75"/>
      <c r="Z214" s="75"/>
      <c r="AA214" s="75"/>
      <c r="AB214" s="83"/>
      <c r="AC214" s="75"/>
      <c r="AD214" s="75"/>
      <c r="AE214" s="75"/>
      <c r="AF214" s="75"/>
      <c r="AG214" s="75"/>
      <c r="AH214" s="75"/>
      <c r="AI214" s="75"/>
      <c r="AJ214" s="75"/>
      <c r="AK214" s="83"/>
      <c r="AL214" s="75"/>
      <c r="AM214" s="75"/>
      <c r="AN214" s="75"/>
      <c r="AO214" s="75"/>
      <c r="AP214" s="75"/>
      <c r="AQ214" s="75"/>
      <c r="AR214" s="75"/>
      <c r="AS214" s="75"/>
      <c r="AT214" s="75"/>
      <c r="AU214" s="75"/>
      <c r="AV214" s="75"/>
      <c r="AW214" s="75"/>
      <c r="AX214" s="83"/>
      <c r="AY214" s="67"/>
      <c r="AZ214" s="69"/>
      <c r="BA214" s="69"/>
      <c r="BB214" s="69"/>
      <c r="BC214" s="69"/>
      <c r="BD214" s="69"/>
      <c r="BE214" s="69"/>
      <c r="BF214" s="69"/>
      <c r="BG214" s="69"/>
      <c r="BH214" s="69"/>
      <c r="BI214" s="69"/>
      <c r="BJ214" s="69"/>
      <c r="BK214" s="83"/>
      <c r="BL214" s="69"/>
      <c r="BM214" s="69"/>
      <c r="BN214" s="213"/>
      <c r="BO214" s="69"/>
      <c r="BP214" s="69"/>
      <c r="BQ214" s="69"/>
      <c r="BR214" s="69"/>
      <c r="BS214" s="69"/>
      <c r="BT214" s="69"/>
      <c r="BU214" s="69"/>
      <c r="BV214" s="69"/>
      <c r="BW214" s="69"/>
      <c r="BX214" s="83"/>
      <c r="BY214" s="67"/>
      <c r="BZ214" s="67"/>
      <c r="CA214" s="244"/>
      <c r="CB214" s="67"/>
      <c r="CC214" s="67"/>
      <c r="CD214" s="67"/>
      <c r="CE214" s="254"/>
      <c r="CF214" s="254"/>
      <c r="CG214" s="254"/>
      <c r="CH214" s="254"/>
      <c r="CI214" s="254"/>
      <c r="CJ214" s="254"/>
      <c r="CK214" s="254"/>
      <c r="CL214" s="254"/>
      <c r="CY214" s="254"/>
      <c r="DL214" s="254"/>
    </row>
    <row r="215" spans="2:116">
      <c r="B215" s="21" t="s">
        <v>371</v>
      </c>
      <c r="C215" s="136"/>
      <c r="D215" s="136"/>
      <c r="E215" s="136"/>
      <c r="F215" s="136"/>
      <c r="G215" s="136"/>
      <c r="H215" s="136"/>
      <c r="I215" s="136"/>
      <c r="J215" s="136"/>
      <c r="K215" s="136"/>
      <c r="L215" s="136"/>
      <c r="M215" s="102"/>
      <c r="N215" s="102"/>
      <c r="O215" s="66"/>
      <c r="P215" s="75"/>
      <c r="Q215" s="75"/>
      <c r="R215" s="75"/>
      <c r="S215" s="75"/>
      <c r="T215" s="75"/>
      <c r="U215" s="75"/>
      <c r="V215" s="75"/>
      <c r="W215" s="75"/>
      <c r="X215" s="75"/>
      <c r="Y215" s="75"/>
      <c r="Z215" s="75"/>
      <c r="AA215" s="75"/>
      <c r="AB215" s="114"/>
      <c r="AC215" s="129"/>
      <c r="AD215" s="75"/>
      <c r="AE215" s="75"/>
      <c r="AF215" s="75"/>
      <c r="AG215" s="75"/>
      <c r="AH215" s="75"/>
      <c r="AI215" s="75"/>
      <c r="AJ215" s="75"/>
      <c r="AK215" s="83"/>
      <c r="AL215" s="75"/>
      <c r="AM215" s="75"/>
      <c r="AN215" s="75"/>
      <c r="AO215" s="75"/>
      <c r="AP215" s="75"/>
      <c r="AQ215" s="75"/>
      <c r="AR215" s="75"/>
      <c r="AS215" s="75"/>
      <c r="AT215" s="75"/>
      <c r="AU215" s="75"/>
      <c r="AV215" s="75"/>
      <c r="AW215" s="75"/>
      <c r="AX215" s="114"/>
      <c r="AY215" s="67"/>
      <c r="AZ215" s="69"/>
      <c r="BA215" s="69"/>
      <c r="BB215" s="69"/>
      <c r="BC215" s="69"/>
      <c r="BD215" s="69"/>
      <c r="BE215" s="69"/>
      <c r="BF215" s="69"/>
      <c r="BG215" s="69"/>
      <c r="BH215" s="69"/>
      <c r="BI215" s="69"/>
      <c r="BJ215" s="69"/>
      <c r="BK215" s="114"/>
      <c r="BL215" s="115"/>
      <c r="BM215" s="69"/>
      <c r="BN215" s="213"/>
      <c r="BO215" s="69"/>
      <c r="BP215" s="69"/>
      <c r="BQ215" s="69"/>
      <c r="BR215" s="69"/>
      <c r="BS215" s="69"/>
      <c r="BT215" s="69"/>
      <c r="BU215" s="69"/>
      <c r="BV215" s="69"/>
      <c r="BW215" s="69"/>
      <c r="BX215" s="83"/>
      <c r="BY215" s="69"/>
      <c r="BZ215" s="69"/>
      <c r="CA215" s="213"/>
      <c r="CB215" s="69"/>
      <c r="CC215" s="69"/>
      <c r="CD215" s="69"/>
      <c r="CE215" s="83"/>
      <c r="CF215" s="83"/>
      <c r="CG215" s="83"/>
      <c r="CH215" s="83"/>
      <c r="CI215" s="83"/>
      <c r="CJ215" s="83"/>
      <c r="CK215" s="113"/>
      <c r="CL215" s="130"/>
      <c r="CM215" s="83"/>
      <c r="CN215" s="83"/>
      <c r="CO215" s="83"/>
      <c r="CP215" s="83"/>
      <c r="CQ215" s="83"/>
      <c r="CR215" s="83"/>
      <c r="CS215" s="83"/>
      <c r="CT215" s="83"/>
      <c r="CU215" s="83"/>
      <c r="CV215" s="83"/>
      <c r="CW215" s="83"/>
      <c r="CX215" s="83"/>
      <c r="CY215" s="100"/>
      <c r="DL215" s="100"/>
    </row>
    <row r="216" spans="2:116">
      <c r="B216" s="306" t="s">
        <v>458</v>
      </c>
      <c r="C216" s="136"/>
      <c r="D216" s="136"/>
      <c r="E216" s="136"/>
      <c r="F216" s="136"/>
      <c r="G216" s="136"/>
      <c r="H216" s="136"/>
      <c r="I216" s="136"/>
      <c r="J216" s="136"/>
      <c r="K216" s="136"/>
      <c r="L216" s="136"/>
      <c r="M216" s="102"/>
      <c r="N216" s="102"/>
      <c r="O216" s="66"/>
      <c r="P216" s="75"/>
      <c r="Q216" s="75"/>
      <c r="R216" s="75"/>
      <c r="S216" s="75"/>
      <c r="T216" s="75"/>
      <c r="U216" s="75"/>
      <c r="V216" s="75"/>
      <c r="W216" s="75"/>
      <c r="X216" s="75"/>
      <c r="Y216" s="75"/>
      <c r="Z216" s="75"/>
      <c r="AA216" s="75"/>
      <c r="AB216" s="114"/>
      <c r="AC216" s="129"/>
      <c r="AD216" s="75"/>
      <c r="AE216" s="75"/>
      <c r="AF216" s="75"/>
      <c r="AG216" s="75"/>
      <c r="AH216" s="75"/>
      <c r="AI216" s="75"/>
      <c r="AJ216" s="75"/>
      <c r="AK216" s="83"/>
      <c r="AL216" s="75"/>
      <c r="AM216" s="75"/>
      <c r="AN216" s="75"/>
      <c r="AO216" s="75"/>
      <c r="AP216" s="75"/>
      <c r="AQ216" s="75"/>
      <c r="AR216" s="75"/>
      <c r="AS216" s="75"/>
      <c r="AT216" s="75"/>
      <c r="AU216" s="75"/>
      <c r="AV216" s="75"/>
      <c r="AW216" s="75"/>
      <c r="AX216" s="114"/>
      <c r="AY216" s="67"/>
      <c r="AZ216" s="69"/>
      <c r="BA216" s="69"/>
      <c r="BB216" s="69"/>
      <c r="BC216" s="69"/>
      <c r="BD216" s="69"/>
      <c r="BE216" s="69"/>
      <c r="BF216" s="69"/>
      <c r="BG216" s="69"/>
      <c r="BH216" s="69"/>
      <c r="BI216" s="69"/>
      <c r="BJ216" s="69"/>
      <c r="BK216" s="114"/>
      <c r="BL216" s="115"/>
      <c r="BM216" s="69"/>
      <c r="BN216" s="213"/>
      <c r="BO216" s="69"/>
      <c r="BP216" s="69"/>
      <c r="BQ216" s="69"/>
      <c r="BR216" s="69"/>
      <c r="BS216" s="69"/>
      <c r="BT216" s="69"/>
      <c r="BU216" s="69"/>
      <c r="BV216" s="69"/>
      <c r="BW216" s="69"/>
      <c r="BX216" s="100"/>
      <c r="BY216" s="460">
        <f>(113.09+32.51)</f>
        <v>145.6</v>
      </c>
      <c r="BZ216" s="457">
        <f>(113.09+32.51)</f>
        <v>145.6</v>
      </c>
      <c r="CA216" s="214"/>
      <c r="CB216" s="195"/>
      <c r="CC216" s="242">
        <f>261.99+374.99</f>
        <v>636.98</v>
      </c>
      <c r="CD216" s="195"/>
      <c r="CE216" s="347"/>
      <c r="CF216" s="347"/>
      <c r="CG216" s="347"/>
      <c r="CH216" s="347"/>
      <c r="CI216" s="347"/>
      <c r="CJ216" s="348"/>
      <c r="CK216" s="100">
        <f>SUM(BY216:CJ216)</f>
        <v>928.18000000000006</v>
      </c>
      <c r="CL216" s="88"/>
      <c r="CM216" s="448">
        <f>(113.09+32.51)</f>
        <v>145.6</v>
      </c>
      <c r="CN216" s="349">
        <f>(113.09+32.51)</f>
        <v>145.6</v>
      </c>
      <c r="CO216" s="347"/>
      <c r="CP216" s="347"/>
      <c r="CQ216" s="349">
        <f>261.99+374.99</f>
        <v>636.98</v>
      </c>
      <c r="CR216" s="347"/>
      <c r="CS216" s="347"/>
      <c r="CT216" s="347"/>
      <c r="CU216" s="347"/>
      <c r="CV216" s="347"/>
      <c r="CW216" s="347"/>
      <c r="CX216" s="348"/>
      <c r="CY216" s="88">
        <f t="shared" ref="CY216:CY239" si="650">SUM(CM216:CX216)</f>
        <v>928.18000000000006</v>
      </c>
      <c r="DL216" s="88">
        <f t="shared" ref="DL216:DL239" si="651">SUM(CZ216:DK216)</f>
        <v>0</v>
      </c>
    </row>
    <row r="217" spans="2:116">
      <c r="B217" s="306" t="s">
        <v>372</v>
      </c>
      <c r="C217" s="136"/>
      <c r="D217" s="136"/>
      <c r="E217" s="136"/>
      <c r="F217" s="136"/>
      <c r="G217" s="136"/>
      <c r="H217" s="136"/>
      <c r="I217" s="136"/>
      <c r="J217" s="136"/>
      <c r="K217" s="136"/>
      <c r="L217" s="136"/>
      <c r="M217" s="102"/>
      <c r="N217" s="102"/>
      <c r="O217" s="66"/>
      <c r="P217" s="75"/>
      <c r="Q217" s="75"/>
      <c r="R217" s="75"/>
      <c r="S217" s="75"/>
      <c r="T217" s="75"/>
      <c r="U217" s="75"/>
      <c r="V217" s="75"/>
      <c r="W217" s="75"/>
      <c r="X217" s="75"/>
      <c r="Y217" s="75"/>
      <c r="Z217" s="75"/>
      <c r="AA217" s="75"/>
      <c r="AB217" s="114"/>
      <c r="AC217" s="129"/>
      <c r="AD217" s="75"/>
      <c r="AE217" s="75"/>
      <c r="AF217" s="75"/>
      <c r="AG217" s="75"/>
      <c r="AH217" s="75"/>
      <c r="AI217" s="75"/>
      <c r="AJ217" s="75"/>
      <c r="AK217" s="83"/>
      <c r="AL217" s="75"/>
      <c r="AM217" s="75"/>
      <c r="AN217" s="75"/>
      <c r="AO217" s="75"/>
      <c r="AP217" s="75"/>
      <c r="AQ217" s="75"/>
      <c r="AR217" s="75"/>
      <c r="AS217" s="75"/>
      <c r="AT217" s="75"/>
      <c r="AU217" s="75"/>
      <c r="AV217" s="75"/>
      <c r="AW217" s="75"/>
      <c r="AX217" s="114"/>
      <c r="AY217" s="67"/>
      <c r="AZ217" s="69"/>
      <c r="BA217" s="69"/>
      <c r="BB217" s="69"/>
      <c r="BC217" s="69"/>
      <c r="BD217" s="69"/>
      <c r="BE217" s="69"/>
      <c r="BF217" s="69"/>
      <c r="BG217" s="69"/>
      <c r="BH217" s="69"/>
      <c r="BI217" s="69"/>
      <c r="BJ217" s="69"/>
      <c r="BK217" s="114"/>
      <c r="BL217" s="115"/>
      <c r="BM217" s="69"/>
      <c r="BN217" s="213"/>
      <c r="BO217" s="69"/>
      <c r="BP217" s="69"/>
      <c r="BQ217" s="69"/>
      <c r="BR217" s="69"/>
      <c r="BS217" s="69"/>
      <c r="BT217" s="69"/>
      <c r="BU217" s="69"/>
      <c r="BV217" s="69"/>
      <c r="BW217" s="69"/>
      <c r="BX217" s="100"/>
      <c r="BY217" s="69"/>
      <c r="BZ217" s="69"/>
      <c r="CA217" s="68">
        <f>165.15+88.21</f>
        <v>253.36</v>
      </c>
      <c r="CB217" s="74"/>
      <c r="CC217" s="68">
        <v>107.53</v>
      </c>
      <c r="CD217" s="74"/>
      <c r="CF217" s="66">
        <f>92.88+23.41+284.28</f>
        <v>400.56999999999994</v>
      </c>
      <c r="CG217" s="109">
        <v>126.34</v>
      </c>
      <c r="CH217" s="109">
        <f>149.62</f>
        <v>149.62</v>
      </c>
      <c r="CI217" s="83"/>
      <c r="CJ217" s="83"/>
      <c r="CK217" s="100">
        <f>SUM(BY217:CJ217)</f>
        <v>1037.42</v>
      </c>
      <c r="CL217" s="100"/>
      <c r="CM217" s="83"/>
      <c r="CN217" s="83"/>
      <c r="CO217" s="109">
        <f>165.15+88.21</f>
        <v>253.36</v>
      </c>
      <c r="CP217" s="109">
        <f>149.62</f>
        <v>149.62</v>
      </c>
      <c r="CQ217" s="109"/>
      <c r="CR217" s="109"/>
      <c r="CS217" s="83"/>
      <c r="CT217" s="109"/>
      <c r="CU217" s="109">
        <v>126.34</v>
      </c>
      <c r="CV217" s="83"/>
      <c r="CW217" s="109"/>
      <c r="CX217" s="83"/>
      <c r="CY217" s="100">
        <f t="shared" si="650"/>
        <v>529.32000000000005</v>
      </c>
      <c r="DL217" s="100">
        <f t="shared" si="651"/>
        <v>0</v>
      </c>
    </row>
    <row r="218" spans="2:116">
      <c r="B218" s="306" t="s">
        <v>373</v>
      </c>
      <c r="C218" s="136"/>
      <c r="D218" s="136"/>
      <c r="E218" s="136"/>
      <c r="F218" s="136"/>
      <c r="G218" s="136"/>
      <c r="H218" s="136"/>
      <c r="I218" s="136"/>
      <c r="J218" s="136"/>
      <c r="K218" s="136"/>
      <c r="L218" s="136"/>
      <c r="M218" s="102"/>
      <c r="N218" s="102"/>
      <c r="O218" s="66"/>
      <c r="P218" s="75"/>
      <c r="Q218" s="75"/>
      <c r="R218" s="75"/>
      <c r="S218" s="75"/>
      <c r="T218" s="75"/>
      <c r="U218" s="75"/>
      <c r="V218" s="75"/>
      <c r="W218" s="75"/>
      <c r="X218" s="75"/>
      <c r="Y218" s="75"/>
      <c r="Z218" s="75"/>
      <c r="AA218" s="75"/>
      <c r="AB218" s="114"/>
      <c r="AC218" s="129"/>
      <c r="AD218" s="75"/>
      <c r="AE218" s="75"/>
      <c r="AF218" s="75"/>
      <c r="AG218" s="75"/>
      <c r="AH218" s="75"/>
      <c r="AI218" s="75"/>
      <c r="AJ218" s="75"/>
      <c r="AK218" s="83"/>
      <c r="AL218" s="75"/>
      <c r="AM218" s="75"/>
      <c r="AN218" s="75"/>
      <c r="AO218" s="75"/>
      <c r="AP218" s="75"/>
      <c r="AQ218" s="75"/>
      <c r="AR218" s="75"/>
      <c r="AS218" s="75"/>
      <c r="AT218" s="75"/>
      <c r="AU218" s="75"/>
      <c r="AV218" s="75"/>
      <c r="AW218" s="75"/>
      <c r="AX218" s="114"/>
      <c r="AY218" s="67"/>
      <c r="AZ218" s="69"/>
      <c r="BA218" s="69"/>
      <c r="BB218" s="69"/>
      <c r="BC218" s="69"/>
      <c r="BD218" s="69"/>
      <c r="BE218" s="69"/>
      <c r="BF218" s="69"/>
      <c r="BG218" s="69"/>
      <c r="BH218" s="69"/>
      <c r="BI218" s="69"/>
      <c r="BJ218" s="69"/>
      <c r="BK218" s="114"/>
      <c r="BL218" s="115"/>
      <c r="BM218" s="69"/>
      <c r="BN218" s="213"/>
      <c r="BO218" s="69"/>
      <c r="BP218" s="69"/>
      <c r="BQ218" s="69"/>
      <c r="BR218" s="69"/>
      <c r="BS218" s="69"/>
      <c r="BT218" s="69"/>
      <c r="BU218" s="69"/>
      <c r="BV218" s="69"/>
      <c r="BW218" s="69"/>
      <c r="BX218" s="100"/>
      <c r="BY218" s="67">
        <f>1575.79+133.61</f>
        <v>1709.4</v>
      </c>
      <c r="BZ218" s="72"/>
      <c r="CA218" s="68">
        <v>36.44</v>
      </c>
      <c r="CB218" s="69"/>
      <c r="CC218" s="69"/>
      <c r="CD218" s="69"/>
      <c r="CE218" s="254"/>
      <c r="CF218" s="83"/>
      <c r="CG218" s="83"/>
      <c r="CH218" s="83"/>
      <c r="CI218" s="83"/>
      <c r="CJ218" s="83"/>
      <c r="CK218" s="100">
        <f t="shared" ref="CK218:CK239" si="652">SUM(BY218:CJ218)</f>
        <v>1745.8400000000001</v>
      </c>
      <c r="CL218" s="100"/>
      <c r="CM218" s="83"/>
      <c r="CN218" s="83"/>
      <c r="CO218" s="83"/>
      <c r="CP218" s="83"/>
      <c r="CQ218" s="83"/>
      <c r="CR218" s="83"/>
      <c r="CS218" s="83"/>
      <c r="CT218" s="83"/>
      <c r="CU218" s="83"/>
      <c r="CV218" s="83"/>
      <c r="CW218" s="83"/>
      <c r="CX218" s="83"/>
      <c r="CY218" s="100">
        <f t="shared" si="650"/>
        <v>0</v>
      </c>
      <c r="DL218" s="100">
        <f t="shared" si="651"/>
        <v>0</v>
      </c>
    </row>
    <row r="219" spans="2:116">
      <c r="B219" s="306" t="s">
        <v>374</v>
      </c>
      <c r="C219" s="136"/>
      <c r="D219" s="136"/>
      <c r="E219" s="136"/>
      <c r="F219" s="136"/>
      <c r="G219" s="136"/>
      <c r="H219" s="136"/>
      <c r="I219" s="136"/>
      <c r="J219" s="136"/>
      <c r="K219" s="136"/>
      <c r="L219" s="136"/>
      <c r="M219" s="102"/>
      <c r="N219" s="102"/>
      <c r="O219" s="66"/>
      <c r="P219" s="75"/>
      <c r="Q219" s="75"/>
      <c r="R219" s="75"/>
      <c r="S219" s="75"/>
      <c r="T219" s="75"/>
      <c r="U219" s="75"/>
      <c r="V219" s="75"/>
      <c r="W219" s="75"/>
      <c r="X219" s="75"/>
      <c r="Y219" s="75"/>
      <c r="Z219" s="75"/>
      <c r="AA219" s="75"/>
      <c r="AB219" s="114"/>
      <c r="AC219" s="129"/>
      <c r="AD219" s="75"/>
      <c r="AE219" s="75"/>
      <c r="AF219" s="75"/>
      <c r="AG219" s="75"/>
      <c r="AH219" s="75"/>
      <c r="AI219" s="75"/>
      <c r="AJ219" s="75"/>
      <c r="AK219" s="83"/>
      <c r="AL219" s="75"/>
      <c r="AM219" s="75"/>
      <c r="AN219" s="75"/>
      <c r="AO219" s="75"/>
      <c r="AP219" s="75"/>
      <c r="AQ219" s="75"/>
      <c r="AR219" s="75"/>
      <c r="AS219" s="75"/>
      <c r="AT219" s="75"/>
      <c r="AU219" s="75"/>
      <c r="AV219" s="75"/>
      <c r="AW219" s="75"/>
      <c r="AX219" s="114"/>
      <c r="AY219" s="67"/>
      <c r="AZ219" s="69"/>
      <c r="BA219" s="69"/>
      <c r="BB219" s="69"/>
      <c r="BC219" s="69"/>
      <c r="BD219" s="69"/>
      <c r="BE219" s="69"/>
      <c r="BF219" s="69"/>
      <c r="BG219" s="69"/>
      <c r="BH219" s="69"/>
      <c r="BI219" s="69"/>
      <c r="BJ219" s="69"/>
      <c r="BK219" s="114"/>
      <c r="BL219" s="115"/>
      <c r="BM219" s="69"/>
      <c r="BN219" s="213"/>
      <c r="BO219" s="69"/>
      <c r="BP219" s="69"/>
      <c r="BQ219" s="69"/>
      <c r="BR219" s="69"/>
      <c r="BS219" s="69"/>
      <c r="BT219" s="69"/>
      <c r="BU219" s="69"/>
      <c r="BV219" s="69"/>
      <c r="BW219" s="69"/>
      <c r="BX219" s="100"/>
      <c r="BY219" s="67">
        <f>20+80+17.85+60+40+94.02+96.76</f>
        <v>408.63</v>
      </c>
      <c r="BZ219" s="68">
        <f>96.81+106.47</f>
        <v>203.28</v>
      </c>
      <c r="CA219" s="68">
        <f>91.17+96.3</f>
        <v>187.47</v>
      </c>
      <c r="CB219" s="69"/>
      <c r="CC219" s="69"/>
      <c r="CD219" s="69"/>
      <c r="CE219" s="83"/>
      <c r="CF219" s="83"/>
      <c r="CG219" s="83"/>
      <c r="CH219" s="83"/>
      <c r="CI219" s="83"/>
      <c r="CJ219" s="83"/>
      <c r="CK219" s="100">
        <f t="shared" si="652"/>
        <v>799.38</v>
      </c>
      <c r="CL219" s="100"/>
      <c r="CM219" s="83"/>
      <c r="CN219" s="83"/>
      <c r="CO219" s="83"/>
      <c r="CP219" s="83"/>
      <c r="CQ219" s="83"/>
      <c r="CR219" s="83"/>
      <c r="CS219" s="83"/>
      <c r="CT219" s="83"/>
      <c r="CU219" s="83"/>
      <c r="CV219" s="83"/>
      <c r="CW219" s="83"/>
      <c r="CX219" s="83"/>
      <c r="CY219" s="100">
        <f t="shared" si="650"/>
        <v>0</v>
      </c>
      <c r="DL219" s="100">
        <f t="shared" si="651"/>
        <v>0</v>
      </c>
    </row>
    <row r="220" spans="2:116">
      <c r="B220" s="317" t="s">
        <v>437</v>
      </c>
      <c r="C220" s="136"/>
      <c r="D220" s="136"/>
      <c r="E220" s="136"/>
      <c r="F220" s="136"/>
      <c r="G220" s="136"/>
      <c r="H220" s="136"/>
      <c r="I220" s="136"/>
      <c r="J220" s="136"/>
      <c r="K220" s="136"/>
      <c r="L220" s="136"/>
      <c r="M220" s="102"/>
      <c r="N220" s="102"/>
      <c r="O220" s="66"/>
      <c r="P220" s="75"/>
      <c r="Q220" s="75"/>
      <c r="R220" s="75"/>
      <c r="S220" s="75"/>
      <c r="T220" s="75"/>
      <c r="U220" s="75"/>
      <c r="V220" s="75"/>
      <c r="W220" s="75"/>
      <c r="X220" s="75"/>
      <c r="Y220" s="75"/>
      <c r="Z220" s="75"/>
      <c r="AA220" s="75"/>
      <c r="AB220" s="114"/>
      <c r="AC220" s="129"/>
      <c r="AD220" s="75"/>
      <c r="AE220" s="75"/>
      <c r="AF220" s="75"/>
      <c r="AG220" s="75"/>
      <c r="AH220" s="75"/>
      <c r="AI220" s="75"/>
      <c r="AJ220" s="75"/>
      <c r="AK220" s="83"/>
      <c r="AL220" s="75"/>
      <c r="AM220" s="75"/>
      <c r="AN220" s="75"/>
      <c r="AO220" s="75"/>
      <c r="AP220" s="75"/>
      <c r="AQ220" s="75"/>
      <c r="AR220" s="75"/>
      <c r="AS220" s="75"/>
      <c r="AT220" s="75"/>
      <c r="AU220" s="75"/>
      <c r="AV220" s="75"/>
      <c r="AW220" s="75"/>
      <c r="AX220" s="114"/>
      <c r="AY220" s="67"/>
      <c r="AZ220" s="69"/>
      <c r="BA220" s="69"/>
      <c r="BB220" s="69"/>
      <c r="BC220" s="69"/>
      <c r="BD220" s="69"/>
      <c r="BE220" s="69"/>
      <c r="BF220" s="69"/>
      <c r="BG220" s="69"/>
      <c r="BH220" s="69"/>
      <c r="BI220" s="69"/>
      <c r="BJ220" s="69"/>
      <c r="BK220" s="114"/>
      <c r="BL220" s="115"/>
      <c r="BM220" s="69"/>
      <c r="BN220" s="213"/>
      <c r="BO220" s="69"/>
      <c r="BP220" s="69"/>
      <c r="BQ220" s="69"/>
      <c r="BR220" s="69"/>
      <c r="BS220" s="69"/>
      <c r="BT220" s="69"/>
      <c r="BU220" s="69"/>
      <c r="BV220" s="69"/>
      <c r="BW220" s="69"/>
      <c r="BX220" s="100"/>
      <c r="BY220" s="241">
        <f>1200+1200</f>
        <v>2400</v>
      </c>
      <c r="BZ220" s="69"/>
      <c r="CA220" s="213"/>
      <c r="CB220" s="69"/>
      <c r="CC220" s="69"/>
      <c r="CD220" s="69"/>
      <c r="CE220" s="83"/>
      <c r="CF220" s="83"/>
      <c r="CG220" s="83"/>
      <c r="CH220" s="83"/>
      <c r="CI220" s="83"/>
      <c r="CJ220" s="83"/>
      <c r="CK220" s="100">
        <f>SUM(BY220:CJ220)</f>
        <v>2400</v>
      </c>
      <c r="CL220" s="100"/>
      <c r="CM220" s="83"/>
      <c r="CN220" s="83"/>
      <c r="CO220" s="83"/>
      <c r="CP220" s="83"/>
      <c r="CQ220" s="83"/>
      <c r="CR220" s="83"/>
      <c r="CS220" s="83"/>
      <c r="CT220" s="83"/>
      <c r="CU220" s="83"/>
      <c r="CV220" s="83"/>
      <c r="CW220" s="83"/>
      <c r="CX220" s="83"/>
      <c r="CY220" s="100">
        <f>SUM(CM220:CX220)</f>
        <v>0</v>
      </c>
      <c r="DL220" s="100">
        <f>SUM(CZ220:DK220)</f>
        <v>0</v>
      </c>
    </row>
    <row r="221" spans="2:116">
      <c r="B221" s="316" t="s">
        <v>375</v>
      </c>
      <c r="C221" s="136"/>
      <c r="D221" s="136"/>
      <c r="E221" s="136"/>
      <c r="F221" s="136"/>
      <c r="G221" s="136"/>
      <c r="H221" s="136"/>
      <c r="I221" s="136"/>
      <c r="J221" s="136"/>
      <c r="K221" s="136"/>
      <c r="L221" s="136"/>
      <c r="M221" s="102"/>
      <c r="N221" s="102"/>
      <c r="O221" s="66"/>
      <c r="P221" s="75"/>
      <c r="Q221" s="75"/>
      <c r="R221" s="75"/>
      <c r="S221" s="75"/>
      <c r="T221" s="75"/>
      <c r="U221" s="75"/>
      <c r="V221" s="75"/>
      <c r="W221" s="75"/>
      <c r="X221" s="75"/>
      <c r="Y221" s="75"/>
      <c r="Z221" s="75"/>
      <c r="AA221" s="75"/>
      <c r="AB221" s="114"/>
      <c r="AC221" s="129"/>
      <c r="AD221" s="75"/>
      <c r="AE221" s="75"/>
      <c r="AF221" s="75"/>
      <c r="AG221" s="75"/>
      <c r="AH221" s="75"/>
      <c r="AI221" s="75"/>
      <c r="AJ221" s="75"/>
      <c r="AK221" s="83"/>
      <c r="AL221" s="75"/>
      <c r="AM221" s="75"/>
      <c r="AN221" s="75"/>
      <c r="AO221" s="75"/>
      <c r="AP221" s="75"/>
      <c r="AQ221" s="75"/>
      <c r="AR221" s="75"/>
      <c r="AS221" s="75"/>
      <c r="AT221" s="75"/>
      <c r="AU221" s="75"/>
      <c r="AV221" s="75"/>
      <c r="AW221" s="75"/>
      <c r="AX221" s="114"/>
      <c r="AY221" s="67"/>
      <c r="AZ221" s="69"/>
      <c r="BA221" s="69"/>
      <c r="BB221" s="69"/>
      <c r="BC221" s="69"/>
      <c r="BD221" s="69"/>
      <c r="BE221" s="69"/>
      <c r="BF221" s="69"/>
      <c r="BG221" s="69"/>
      <c r="BH221" s="69"/>
      <c r="BI221" s="69"/>
      <c r="BJ221" s="69"/>
      <c r="BK221" s="114"/>
      <c r="BL221" s="115"/>
      <c r="BM221" s="69"/>
      <c r="BN221" s="213"/>
      <c r="BO221" s="69"/>
      <c r="BP221" s="69"/>
      <c r="BQ221" s="69"/>
      <c r="BR221" s="69"/>
      <c r="BS221" s="69"/>
      <c r="BT221" s="69"/>
      <c r="BU221" s="69"/>
      <c r="BV221" s="69"/>
      <c r="BW221" s="69"/>
      <c r="BX221" s="100"/>
      <c r="BY221" s="68">
        <v>10.91</v>
      </c>
      <c r="BZ221" s="74"/>
      <c r="CA221" s="244">
        <f>(112.5)*1.21</f>
        <v>136.125</v>
      </c>
      <c r="CB221" s="67">
        <f>408.38+350*1.21</f>
        <v>831.88</v>
      </c>
      <c r="CC221" s="67">
        <f>605</f>
        <v>605</v>
      </c>
      <c r="CD221" s="69"/>
      <c r="CE221" s="83"/>
      <c r="CF221" s="83"/>
      <c r="CG221" s="83"/>
      <c r="CH221" s="83"/>
      <c r="CI221" s="83"/>
      <c r="CJ221" s="66">
        <f>105.94+42.31+(100.56+79.38+38.51+216.5-525)-700</f>
        <v>-641.79999999999995</v>
      </c>
      <c r="CK221" s="100">
        <f>SUM(BY221:CJ221)</f>
        <v>942.11500000000001</v>
      </c>
      <c r="CM221" s="83"/>
      <c r="CN221" s="66"/>
      <c r="CO221" s="83"/>
      <c r="CP221" s="83"/>
      <c r="CQ221" s="83"/>
      <c r="CR221" s="83"/>
      <c r="CS221" s="83"/>
      <c r="CT221" s="83"/>
      <c r="CU221" s="83"/>
      <c r="CV221" s="83"/>
      <c r="CW221" s="83"/>
      <c r="CX221" s="83"/>
      <c r="CY221" s="100">
        <f t="shared" si="650"/>
        <v>0</v>
      </c>
      <c r="DL221" s="100">
        <f t="shared" si="651"/>
        <v>0</v>
      </c>
    </row>
    <row r="222" spans="2:116">
      <c r="B222" s="317" t="s">
        <v>376</v>
      </c>
      <c r="C222" s="136"/>
      <c r="D222" s="136"/>
      <c r="E222" s="136"/>
      <c r="F222" s="136"/>
      <c r="G222" s="136"/>
      <c r="H222" s="136"/>
      <c r="I222" s="136"/>
      <c r="J222" s="136"/>
      <c r="K222" s="136"/>
      <c r="L222" s="136"/>
      <c r="M222" s="102"/>
      <c r="N222" s="102"/>
      <c r="O222" s="66"/>
      <c r="P222" s="75"/>
      <c r="Q222" s="75"/>
      <c r="R222" s="75"/>
      <c r="S222" s="75"/>
      <c r="T222" s="75"/>
      <c r="U222" s="75"/>
      <c r="V222" s="75"/>
      <c r="W222" s="75"/>
      <c r="X222" s="75"/>
      <c r="Y222" s="75"/>
      <c r="Z222" s="75"/>
      <c r="AA222" s="75"/>
      <c r="AB222" s="114"/>
      <c r="AC222" s="129"/>
      <c r="AD222" s="75"/>
      <c r="AE222" s="75"/>
      <c r="AF222" s="75"/>
      <c r="AG222" s="75"/>
      <c r="AH222" s="75"/>
      <c r="AI222" s="75"/>
      <c r="AJ222" s="75"/>
      <c r="AK222" s="83"/>
      <c r="AL222" s="75"/>
      <c r="AM222" s="75"/>
      <c r="AN222" s="75"/>
      <c r="AO222" s="75"/>
      <c r="AP222" s="75"/>
      <c r="AQ222" s="75"/>
      <c r="AR222" s="75"/>
      <c r="AS222" s="75"/>
      <c r="AT222" s="75"/>
      <c r="AU222" s="75"/>
      <c r="AV222" s="75"/>
      <c r="AW222" s="75"/>
      <c r="AX222" s="114"/>
      <c r="AY222" s="67"/>
      <c r="AZ222" s="69"/>
      <c r="BA222" s="69"/>
      <c r="BB222" s="69"/>
      <c r="BC222" s="69"/>
      <c r="BD222" s="69"/>
      <c r="BE222" s="69"/>
      <c r="BF222" s="69"/>
      <c r="BG222" s="69"/>
      <c r="BH222" s="69"/>
      <c r="BI222" s="69"/>
      <c r="BJ222" s="69"/>
      <c r="BK222" s="114"/>
      <c r="BL222" s="115"/>
      <c r="BM222" s="69"/>
      <c r="BN222" s="213"/>
      <c r="BO222" s="69"/>
      <c r="BP222" s="69"/>
      <c r="BQ222" s="69"/>
      <c r="BR222" s="69"/>
      <c r="BS222" s="69"/>
      <c r="BT222" s="69"/>
      <c r="BU222" s="69"/>
      <c r="BV222" s="69"/>
      <c r="BW222" s="69"/>
      <c r="BX222" s="100"/>
      <c r="BY222" s="179"/>
      <c r="BZ222" s="68">
        <f>93.17+82.28</f>
        <v>175.45</v>
      </c>
      <c r="CA222" s="212">
        <v>82.28</v>
      </c>
      <c r="CB222" s="74"/>
      <c r="CC222" s="68">
        <f>93.17</f>
        <v>93.17</v>
      </c>
      <c r="CD222" s="68">
        <f>96.16</f>
        <v>96.16</v>
      </c>
      <c r="CE222" s="109">
        <f>107.4+82.28</f>
        <v>189.68</v>
      </c>
      <c r="CF222" s="109">
        <v>82.28</v>
      </c>
      <c r="CG222" s="109">
        <v>82.28</v>
      </c>
      <c r="CH222" s="109">
        <v>82.28</v>
      </c>
      <c r="CI222" s="109">
        <v>82.28</v>
      </c>
      <c r="CJ222" s="109">
        <v>82.28</v>
      </c>
      <c r="CK222" s="100">
        <f t="shared" si="652"/>
        <v>1048.1399999999999</v>
      </c>
      <c r="CL222" s="100"/>
      <c r="CM222" s="109">
        <v>82.28</v>
      </c>
      <c r="CN222" s="109">
        <v>82.28</v>
      </c>
      <c r="CO222" s="109">
        <v>82.28</v>
      </c>
      <c r="CP222" s="109">
        <v>82.28</v>
      </c>
      <c r="CQ222" s="109">
        <v>82.28</v>
      </c>
      <c r="CR222" s="109">
        <v>82.28</v>
      </c>
      <c r="CS222" s="109">
        <v>82.28</v>
      </c>
      <c r="CT222" s="109">
        <v>82.28</v>
      </c>
      <c r="CU222" s="109">
        <v>82.28</v>
      </c>
      <c r="CV222" s="109">
        <v>82.28</v>
      </c>
      <c r="CW222" s="109">
        <v>82.28</v>
      </c>
      <c r="CX222" s="109">
        <v>82.28</v>
      </c>
      <c r="CY222" s="100">
        <f t="shared" si="650"/>
        <v>987.35999999999979</v>
      </c>
      <c r="DL222" s="100">
        <f t="shared" si="651"/>
        <v>0</v>
      </c>
    </row>
    <row r="223" spans="2:116">
      <c r="B223" s="317" t="s">
        <v>377</v>
      </c>
      <c r="C223" s="136"/>
      <c r="D223" s="136"/>
      <c r="E223" s="136"/>
      <c r="F223" s="136"/>
      <c r="G223" s="136"/>
      <c r="H223" s="136"/>
      <c r="I223" s="136"/>
      <c r="J223" s="136"/>
      <c r="K223" s="136"/>
      <c r="L223" s="136"/>
      <c r="M223" s="102"/>
      <c r="N223" s="102"/>
      <c r="O223" s="66"/>
      <c r="P223" s="75"/>
      <c r="Q223" s="75"/>
      <c r="R223" s="75"/>
      <c r="S223" s="75"/>
      <c r="T223" s="75"/>
      <c r="U223" s="75"/>
      <c r="V223" s="75"/>
      <c r="W223" s="75"/>
      <c r="X223" s="75"/>
      <c r="Y223" s="75"/>
      <c r="Z223" s="75"/>
      <c r="AA223" s="75"/>
      <c r="AB223" s="114"/>
      <c r="AC223" s="129"/>
      <c r="AD223" s="75"/>
      <c r="AE223" s="75"/>
      <c r="AF223" s="75"/>
      <c r="AG223" s="75"/>
      <c r="AH223" s="75"/>
      <c r="AI223" s="75"/>
      <c r="AJ223" s="75"/>
      <c r="AK223" s="83"/>
      <c r="AL223" s="75"/>
      <c r="AM223" s="75"/>
      <c r="AN223" s="75"/>
      <c r="AO223" s="75"/>
      <c r="AP223" s="75"/>
      <c r="AQ223" s="75"/>
      <c r="AR223" s="75"/>
      <c r="AS223" s="75"/>
      <c r="AT223" s="75"/>
      <c r="AU223" s="75"/>
      <c r="AV223" s="75"/>
      <c r="AW223" s="75"/>
      <c r="AX223" s="114"/>
      <c r="AY223" s="67"/>
      <c r="AZ223" s="69"/>
      <c r="BA223" s="69"/>
      <c r="BB223" s="69"/>
      <c r="BC223" s="69"/>
      <c r="BD223" s="69"/>
      <c r="BE223" s="69"/>
      <c r="BF223" s="69"/>
      <c r="BG223" s="69"/>
      <c r="BH223" s="69"/>
      <c r="BI223" s="69"/>
      <c r="BJ223" s="69"/>
      <c r="BK223" s="114"/>
      <c r="BL223" s="115"/>
      <c r="BM223" s="69"/>
      <c r="BN223" s="213"/>
      <c r="BO223" s="69"/>
      <c r="BP223" s="69"/>
      <c r="BQ223" s="69"/>
      <c r="BR223" s="69"/>
      <c r="BS223" s="69"/>
      <c r="BT223" s="69"/>
      <c r="BU223" s="69"/>
      <c r="BV223" s="69"/>
      <c r="BW223" s="69"/>
      <c r="BX223" s="100"/>
      <c r="BY223" s="68">
        <f>52.03+30+196.18+500+22650+13127.75</f>
        <v>36555.96</v>
      </c>
      <c r="BZ223" s="68">
        <f>22.48+49.05+116.69+114.72+176.77+16.66+16.66+224.95+16.5</f>
        <v>754.48</v>
      </c>
      <c r="CA223" s="68">
        <f>22.44+185.1</f>
        <v>207.54</v>
      </c>
      <c r="CB223" s="68">
        <f>30+2.28+(10244.8-2386.11)+3</f>
        <v>7893.9699999999984</v>
      </c>
      <c r="CC223" s="68">
        <f>69.74+189.34+3</f>
        <v>262.08</v>
      </c>
      <c r="CD223" s="68">
        <f>175.14+81.14+106.5-615.57+10</f>
        <v>-242.79000000000008</v>
      </c>
      <c r="CE223" s="305">
        <v>147.54</v>
      </c>
      <c r="CF223" s="109"/>
      <c r="CG223" s="109">
        <f>30</f>
        <v>30</v>
      </c>
      <c r="CH223" s="109"/>
      <c r="CI223" s="109"/>
      <c r="CJ223" s="109">
        <v>30</v>
      </c>
      <c r="CK223" s="100">
        <f t="shared" si="652"/>
        <v>45638.780000000006</v>
      </c>
      <c r="CL223" s="100"/>
      <c r="CM223" s="109">
        <v>52.03</v>
      </c>
      <c r="CN223" s="109">
        <v>52.03</v>
      </c>
      <c r="CO223" s="109">
        <v>52.03</v>
      </c>
      <c r="CP223" s="109">
        <v>52.03</v>
      </c>
      <c r="CQ223" s="109">
        <v>52.03</v>
      </c>
      <c r="CR223" s="109">
        <v>52.03</v>
      </c>
      <c r="CS223" s="109">
        <v>52.03</v>
      </c>
      <c r="CT223" s="109">
        <v>52.03</v>
      </c>
      <c r="CU223" s="109">
        <v>52.03</v>
      </c>
      <c r="CV223" s="109">
        <v>52.03</v>
      </c>
      <c r="CW223" s="109">
        <v>52.03</v>
      </c>
      <c r="CX223" s="109">
        <v>52.03</v>
      </c>
      <c r="CY223" s="100">
        <f t="shared" si="650"/>
        <v>624.35999999999979</v>
      </c>
      <c r="DL223" s="100">
        <f t="shared" si="651"/>
        <v>0</v>
      </c>
    </row>
    <row r="224" spans="2:116">
      <c r="B224" s="317" t="s">
        <v>386</v>
      </c>
      <c r="C224" s="136"/>
      <c r="D224" s="136"/>
      <c r="E224" s="136"/>
      <c r="F224" s="136"/>
      <c r="G224" s="136"/>
      <c r="H224" s="136"/>
      <c r="I224" s="136"/>
      <c r="J224" s="136"/>
      <c r="K224" s="136"/>
      <c r="L224" s="136"/>
      <c r="M224" s="102"/>
      <c r="N224" s="102"/>
      <c r="O224" s="66"/>
      <c r="P224" s="75"/>
      <c r="Q224" s="75"/>
      <c r="R224" s="75"/>
      <c r="S224" s="75"/>
      <c r="T224" s="75"/>
      <c r="U224" s="75"/>
      <c r="V224" s="75"/>
      <c r="W224" s="75"/>
      <c r="X224" s="75"/>
      <c r="Y224" s="75"/>
      <c r="Z224" s="75"/>
      <c r="AA224" s="75"/>
      <c r="AB224" s="114"/>
      <c r="AC224" s="129"/>
      <c r="AD224" s="75"/>
      <c r="AE224" s="75"/>
      <c r="AF224" s="75"/>
      <c r="AG224" s="75"/>
      <c r="AH224" s="75"/>
      <c r="AI224" s="75"/>
      <c r="AJ224" s="75"/>
      <c r="AK224" s="83"/>
      <c r="AL224" s="75"/>
      <c r="AM224" s="75"/>
      <c r="AN224" s="75"/>
      <c r="AO224" s="75"/>
      <c r="AP224" s="75"/>
      <c r="AQ224" s="75"/>
      <c r="AR224" s="75"/>
      <c r="AS224" s="75"/>
      <c r="AT224" s="75"/>
      <c r="AU224" s="75"/>
      <c r="AV224" s="75"/>
      <c r="AW224" s="75"/>
      <c r="AX224" s="114"/>
      <c r="AY224" s="67"/>
      <c r="AZ224" s="69"/>
      <c r="BA224" s="69"/>
      <c r="BB224" s="69"/>
      <c r="BC224" s="69"/>
      <c r="BD224" s="69"/>
      <c r="BE224" s="69"/>
      <c r="BF224" s="69"/>
      <c r="BG224" s="69"/>
      <c r="BH224" s="69"/>
      <c r="BI224" s="69"/>
      <c r="BJ224" s="69"/>
      <c r="BK224" s="114"/>
      <c r="BL224" s="115"/>
      <c r="BM224" s="69"/>
      <c r="BN224" s="213"/>
      <c r="BO224" s="69"/>
      <c r="BP224" s="69"/>
      <c r="BQ224" s="69"/>
      <c r="BR224" s="69"/>
      <c r="BS224" s="69"/>
      <c r="BT224" s="69"/>
      <c r="BU224" s="69"/>
      <c r="BV224" s="69"/>
      <c r="BW224" s="69"/>
      <c r="BX224" s="100"/>
      <c r="BY224" s="69"/>
      <c r="BZ224" s="69"/>
      <c r="CA224" s="212">
        <v>3511.91</v>
      </c>
      <c r="CB224" s="72"/>
      <c r="CC224" s="72"/>
      <c r="CD224" s="68">
        <v>3355.6</v>
      </c>
      <c r="CE224" s="66"/>
      <c r="CF224" s="66"/>
      <c r="CG224" s="66">
        <v>3271.93</v>
      </c>
      <c r="CH224" s="66"/>
      <c r="CI224" s="66"/>
      <c r="CJ224" s="66">
        <v>3149.06</v>
      </c>
      <c r="CK224" s="100">
        <f t="shared" si="652"/>
        <v>13288.5</v>
      </c>
      <c r="CL224" s="100"/>
      <c r="CM224" s="83"/>
      <c r="CN224" s="83"/>
      <c r="CO224" s="109">
        <v>1400</v>
      </c>
      <c r="CP224" s="83"/>
      <c r="CQ224" s="83"/>
      <c r="CR224" s="109"/>
      <c r="CS224" s="83"/>
      <c r="CT224" s="83"/>
      <c r="CU224" s="109">
        <v>1300</v>
      </c>
      <c r="CV224" s="83"/>
      <c r="CW224" s="83"/>
      <c r="CX224" s="109">
        <v>1300</v>
      </c>
      <c r="CY224" s="100">
        <f t="shared" si="650"/>
        <v>4000</v>
      </c>
      <c r="DL224" s="100">
        <f t="shared" si="651"/>
        <v>0</v>
      </c>
    </row>
    <row r="225" spans="2:116">
      <c r="B225" s="317" t="s">
        <v>447</v>
      </c>
      <c r="C225" s="136"/>
      <c r="D225" s="136"/>
      <c r="E225" s="136"/>
      <c r="F225" s="136"/>
      <c r="G225" s="136"/>
      <c r="H225" s="136"/>
      <c r="I225" s="136"/>
      <c r="J225" s="136"/>
      <c r="K225" s="136"/>
      <c r="L225" s="136"/>
      <c r="M225" s="102"/>
      <c r="N225" s="102"/>
      <c r="O225" s="66"/>
      <c r="P225" s="75"/>
      <c r="Q225" s="75"/>
      <c r="R225" s="75"/>
      <c r="S225" s="75"/>
      <c r="T225" s="75"/>
      <c r="U225" s="75"/>
      <c r="V225" s="75"/>
      <c r="W225" s="75"/>
      <c r="X225" s="75"/>
      <c r="Y225" s="75"/>
      <c r="Z225" s="75"/>
      <c r="AA225" s="75"/>
      <c r="AB225" s="114"/>
      <c r="AC225" s="129"/>
      <c r="AD225" s="75"/>
      <c r="AE225" s="75"/>
      <c r="AF225" s="75"/>
      <c r="AG225" s="75"/>
      <c r="AH225" s="75"/>
      <c r="AI225" s="75"/>
      <c r="AJ225" s="75"/>
      <c r="AK225" s="83"/>
      <c r="AL225" s="75"/>
      <c r="AM225" s="75"/>
      <c r="AN225" s="75"/>
      <c r="AO225" s="75"/>
      <c r="AP225" s="75"/>
      <c r="AQ225" s="75"/>
      <c r="AR225" s="75"/>
      <c r="AS225" s="75"/>
      <c r="AT225" s="75"/>
      <c r="AU225" s="75"/>
      <c r="AV225" s="75"/>
      <c r="AW225" s="75"/>
      <c r="AX225" s="114"/>
      <c r="AY225" s="67"/>
      <c r="AZ225" s="69"/>
      <c r="BA225" s="69"/>
      <c r="BB225" s="69"/>
      <c r="BC225" s="69"/>
      <c r="BD225" s="69"/>
      <c r="BE225" s="69"/>
      <c r="BF225" s="69"/>
      <c r="BG225" s="69"/>
      <c r="BH225" s="69"/>
      <c r="BI225" s="69"/>
      <c r="BJ225" s="69"/>
      <c r="BK225" s="114"/>
      <c r="BL225" s="115"/>
      <c r="BM225" s="69"/>
      <c r="BN225" s="213"/>
      <c r="BO225" s="69"/>
      <c r="BP225" s="69"/>
      <c r="BQ225" s="69"/>
      <c r="BR225" s="69"/>
      <c r="BS225" s="69"/>
      <c r="BT225" s="69"/>
      <c r="BU225" s="69"/>
      <c r="BV225" s="69"/>
      <c r="BW225" s="69"/>
      <c r="BX225" s="100"/>
      <c r="BY225" s="68">
        <v>98.19</v>
      </c>
      <c r="BZ225" s="68">
        <v>96.49</v>
      </c>
      <c r="CA225" s="68">
        <v>94.8</v>
      </c>
      <c r="CB225" s="68">
        <v>93.1</v>
      </c>
      <c r="CC225" s="68">
        <v>91.4</v>
      </c>
      <c r="CD225" s="68">
        <v>89.7</v>
      </c>
      <c r="CE225" s="305">
        <v>87.99</v>
      </c>
      <c r="CF225" s="66">
        <v>86.28</v>
      </c>
      <c r="CG225" s="66">
        <v>84.58</v>
      </c>
      <c r="CH225" s="66">
        <v>82.87</v>
      </c>
      <c r="CI225" s="66">
        <v>81.150000000000006</v>
      </c>
      <c r="CJ225" s="66">
        <v>79.44</v>
      </c>
      <c r="CK225" s="100">
        <f t="shared" si="652"/>
        <v>1065.99</v>
      </c>
      <c r="CL225" s="100"/>
      <c r="CM225" s="109">
        <f>CJ225-1.5</f>
        <v>77.94</v>
      </c>
      <c r="CN225" s="109">
        <f>CM225-1.5</f>
        <v>76.44</v>
      </c>
      <c r="CO225" s="109">
        <f t="shared" ref="CO225:CX225" si="653">CN225-1.5</f>
        <v>74.94</v>
      </c>
      <c r="CP225" s="109">
        <f t="shared" si="653"/>
        <v>73.44</v>
      </c>
      <c r="CQ225" s="109">
        <f t="shared" si="653"/>
        <v>71.94</v>
      </c>
      <c r="CR225" s="109">
        <f t="shared" si="653"/>
        <v>70.44</v>
      </c>
      <c r="CS225" s="109">
        <f t="shared" si="653"/>
        <v>68.94</v>
      </c>
      <c r="CT225" s="109">
        <f t="shared" si="653"/>
        <v>67.44</v>
      </c>
      <c r="CU225" s="109">
        <f t="shared" si="653"/>
        <v>65.94</v>
      </c>
      <c r="CV225" s="109">
        <f t="shared" si="653"/>
        <v>64.44</v>
      </c>
      <c r="CW225" s="109">
        <f t="shared" si="653"/>
        <v>62.94</v>
      </c>
      <c r="CX225" s="109">
        <f t="shared" si="653"/>
        <v>61.44</v>
      </c>
      <c r="CY225" s="100">
        <f t="shared" si="650"/>
        <v>836.2800000000002</v>
      </c>
      <c r="DL225" s="100">
        <f t="shared" si="651"/>
        <v>0</v>
      </c>
    </row>
    <row r="226" spans="2:116">
      <c r="B226" s="317" t="s">
        <v>387</v>
      </c>
      <c r="C226" s="136"/>
      <c r="D226" s="136"/>
      <c r="E226" s="136"/>
      <c r="F226" s="136"/>
      <c r="G226" s="136"/>
      <c r="H226" s="136"/>
      <c r="I226" s="136"/>
      <c r="J226" s="136"/>
      <c r="K226" s="136"/>
      <c r="L226" s="136"/>
      <c r="M226" s="102"/>
      <c r="N226" s="102"/>
      <c r="O226" s="66"/>
      <c r="P226" s="75"/>
      <c r="Q226" s="75"/>
      <c r="R226" s="75"/>
      <c r="S226" s="75"/>
      <c r="T226" s="75"/>
      <c r="U226" s="75"/>
      <c r="V226" s="75"/>
      <c r="W226" s="75"/>
      <c r="X226" s="75"/>
      <c r="Y226" s="75"/>
      <c r="Z226" s="75"/>
      <c r="AA226" s="75"/>
      <c r="AB226" s="114"/>
      <c r="AC226" s="129"/>
      <c r="AD226" s="75"/>
      <c r="AE226" s="75"/>
      <c r="AF226" s="75"/>
      <c r="AG226" s="75"/>
      <c r="AH226" s="75"/>
      <c r="AI226" s="75"/>
      <c r="AJ226" s="75"/>
      <c r="AK226" s="83"/>
      <c r="AL226" s="75"/>
      <c r="AM226" s="75"/>
      <c r="AN226" s="75"/>
      <c r="AO226" s="75"/>
      <c r="AP226" s="75"/>
      <c r="AQ226" s="75"/>
      <c r="AR226" s="75"/>
      <c r="AS226" s="75"/>
      <c r="AT226" s="75"/>
      <c r="AU226" s="75"/>
      <c r="AV226" s="75"/>
      <c r="AW226" s="75"/>
      <c r="AX226" s="114"/>
      <c r="AY226" s="67"/>
      <c r="AZ226" s="69"/>
      <c r="BA226" s="69"/>
      <c r="BB226" s="69"/>
      <c r="BC226" s="69"/>
      <c r="BD226" s="69"/>
      <c r="BE226" s="69"/>
      <c r="BF226" s="69"/>
      <c r="BG226" s="69"/>
      <c r="BH226" s="69"/>
      <c r="BI226" s="69"/>
      <c r="BJ226" s="69"/>
      <c r="BK226" s="114"/>
      <c r="BL226" s="115"/>
      <c r="BM226" s="69"/>
      <c r="BN226" s="213"/>
      <c r="BO226" s="69"/>
      <c r="BP226" s="69"/>
      <c r="BQ226" s="69"/>
      <c r="BR226" s="69"/>
      <c r="BS226" s="69"/>
      <c r="BT226" s="69"/>
      <c r="BU226" s="69"/>
      <c r="BV226" s="69"/>
      <c r="BW226" s="69"/>
      <c r="BX226" s="100"/>
      <c r="BY226" s="68">
        <f>(288.23+171.19)</f>
        <v>459.42</v>
      </c>
      <c r="BZ226" s="68">
        <f>(23.04+13.72)</f>
        <v>36.76</v>
      </c>
      <c r="CA226" s="213"/>
      <c r="CB226" s="69"/>
      <c r="CC226" s="69"/>
      <c r="CD226" s="69"/>
      <c r="CE226" s="83"/>
      <c r="CF226" s="83"/>
      <c r="CG226" s="83"/>
      <c r="CH226" s="83"/>
      <c r="CI226" s="83"/>
      <c r="CJ226" s="83"/>
      <c r="CK226" s="100">
        <f t="shared" si="652"/>
        <v>496.18</v>
      </c>
      <c r="CL226" s="100"/>
      <c r="CM226" s="109"/>
      <c r="CN226" s="109"/>
      <c r="CO226" s="83"/>
      <c r="CP226" s="83"/>
      <c r="CQ226" s="83"/>
      <c r="CR226" s="83"/>
      <c r="CS226" s="83"/>
      <c r="CT226" s="83"/>
      <c r="CU226" s="83"/>
      <c r="CV226" s="83"/>
      <c r="CW226" s="83"/>
      <c r="CX226" s="83"/>
      <c r="CY226" s="100">
        <f t="shared" si="650"/>
        <v>0</v>
      </c>
      <c r="DL226" s="100">
        <f t="shared" si="651"/>
        <v>0</v>
      </c>
    </row>
    <row r="227" spans="2:116">
      <c r="B227" s="317" t="s">
        <v>448</v>
      </c>
      <c r="C227" s="136"/>
      <c r="D227" s="136"/>
      <c r="E227" s="136"/>
      <c r="F227" s="136"/>
      <c r="G227" s="136"/>
      <c r="H227" s="136"/>
      <c r="I227" s="136"/>
      <c r="J227" s="136"/>
      <c r="K227" s="136"/>
      <c r="L227" s="136"/>
      <c r="M227" s="102"/>
      <c r="N227" s="102"/>
      <c r="O227" s="66"/>
      <c r="P227" s="75"/>
      <c r="Q227" s="75"/>
      <c r="R227" s="75"/>
      <c r="S227" s="75"/>
      <c r="T227" s="75"/>
      <c r="U227" s="75"/>
      <c r="V227" s="75"/>
      <c r="W227" s="75"/>
      <c r="X227" s="75"/>
      <c r="Y227" s="75"/>
      <c r="Z227" s="75"/>
      <c r="AA227" s="75"/>
      <c r="AB227" s="114"/>
      <c r="AC227" s="129"/>
      <c r="AD227" s="75"/>
      <c r="AE227" s="75"/>
      <c r="AF227" s="75"/>
      <c r="AG227" s="75"/>
      <c r="AH227" s="75"/>
      <c r="AI227" s="75"/>
      <c r="AJ227" s="75"/>
      <c r="AK227" s="83"/>
      <c r="AL227" s="75"/>
      <c r="AM227" s="75"/>
      <c r="AN227" s="75"/>
      <c r="AO227" s="75"/>
      <c r="AP227" s="75"/>
      <c r="AQ227" s="75"/>
      <c r="AR227" s="75"/>
      <c r="AS227" s="75"/>
      <c r="AT227" s="75"/>
      <c r="AU227" s="75"/>
      <c r="AV227" s="75"/>
      <c r="AW227" s="75"/>
      <c r="AX227" s="114"/>
      <c r="AY227" s="67"/>
      <c r="AZ227" s="69"/>
      <c r="BA227" s="69"/>
      <c r="BB227" s="69"/>
      <c r="BC227" s="69"/>
      <c r="BD227" s="69"/>
      <c r="BE227" s="69"/>
      <c r="BF227" s="69"/>
      <c r="BG227" s="69"/>
      <c r="BH227" s="69"/>
      <c r="BI227" s="69"/>
      <c r="BJ227" s="69"/>
      <c r="BK227" s="114"/>
      <c r="BL227" s="115"/>
      <c r="BM227" s="69"/>
      <c r="BN227" s="213"/>
      <c r="BO227" s="69"/>
      <c r="BP227" s="69"/>
      <c r="BQ227" s="69"/>
      <c r="BR227" s="69"/>
      <c r="BS227" s="69"/>
      <c r="BT227" s="69"/>
      <c r="BU227" s="69"/>
      <c r="BV227" s="69"/>
      <c r="BW227" s="69"/>
      <c r="BX227" s="100"/>
      <c r="BY227" s="68"/>
      <c r="BZ227" s="74"/>
      <c r="CA227" s="216"/>
      <c r="CB227" s="68">
        <f>2386.11</f>
        <v>2386.11</v>
      </c>
      <c r="CC227" s="74"/>
      <c r="CD227" s="74"/>
      <c r="CE227" s="83"/>
      <c r="CF227" s="83"/>
      <c r="CH227" s="83"/>
      <c r="CI227" s="83"/>
      <c r="CJ227" s="83"/>
      <c r="CK227" s="100">
        <f>SUM(BY227:CJ227)</f>
        <v>2386.11</v>
      </c>
      <c r="CL227" s="114"/>
      <c r="CM227" s="451">
        <v>20281.935000000001</v>
      </c>
      <c r="CN227" s="109"/>
      <c r="CO227" s="83"/>
      <c r="CP227" s="83"/>
      <c r="CQ227" s="83"/>
      <c r="CR227" s="83"/>
      <c r="CS227" s="83"/>
      <c r="CT227" s="83"/>
      <c r="CU227" s="83"/>
      <c r="CV227" s="83"/>
      <c r="CW227" s="83"/>
      <c r="CX227" s="83"/>
      <c r="CY227" s="100">
        <f t="shared" si="650"/>
        <v>20281.935000000001</v>
      </c>
      <c r="CZ227" s="83">
        <v>19287.71</v>
      </c>
      <c r="DL227" s="100">
        <f t="shared" si="651"/>
        <v>19287.71</v>
      </c>
    </row>
    <row r="228" spans="2:116">
      <c r="B228" s="317" t="s">
        <v>464</v>
      </c>
      <c r="C228" s="136"/>
      <c r="D228" s="136"/>
      <c r="E228" s="136"/>
      <c r="F228" s="136"/>
      <c r="G228" s="136"/>
      <c r="H228" s="136"/>
      <c r="I228" s="136"/>
      <c r="J228" s="136"/>
      <c r="K228" s="136"/>
      <c r="L228" s="136"/>
      <c r="M228" s="102"/>
      <c r="N228" s="102"/>
      <c r="O228" s="66"/>
      <c r="P228" s="75"/>
      <c r="Q228" s="75"/>
      <c r="R228" s="75"/>
      <c r="S228" s="75"/>
      <c r="T228" s="75"/>
      <c r="U228" s="75"/>
      <c r="V228" s="75"/>
      <c r="W228" s="75"/>
      <c r="X228" s="75"/>
      <c r="Y228" s="75"/>
      <c r="Z228" s="75"/>
      <c r="AA228" s="75"/>
      <c r="AB228" s="114"/>
      <c r="AC228" s="129"/>
      <c r="AD228" s="75"/>
      <c r="AE228" s="75"/>
      <c r="AF228" s="75"/>
      <c r="AG228" s="75"/>
      <c r="AH228" s="75"/>
      <c r="AI228" s="75"/>
      <c r="AJ228" s="75"/>
      <c r="AK228" s="83"/>
      <c r="AL228" s="75"/>
      <c r="AM228" s="75"/>
      <c r="AN228" s="75"/>
      <c r="AO228" s="75"/>
      <c r="AP228" s="75"/>
      <c r="AQ228" s="75"/>
      <c r="AR228" s="75"/>
      <c r="AS228" s="75"/>
      <c r="AT228" s="75"/>
      <c r="AU228" s="75"/>
      <c r="AV228" s="75"/>
      <c r="AW228" s="75"/>
      <c r="AX228" s="114"/>
      <c r="AY228" s="67"/>
      <c r="AZ228" s="69"/>
      <c r="BA228" s="69"/>
      <c r="BB228" s="69"/>
      <c r="BC228" s="69"/>
      <c r="BD228" s="69"/>
      <c r="BE228" s="69"/>
      <c r="BF228" s="69"/>
      <c r="BG228" s="69"/>
      <c r="BH228" s="69"/>
      <c r="BI228" s="69"/>
      <c r="BJ228" s="69"/>
      <c r="BK228" s="114"/>
      <c r="BL228" s="115"/>
      <c r="BM228" s="69"/>
      <c r="BN228" s="213"/>
      <c r="BO228" s="69"/>
      <c r="BP228" s="69"/>
      <c r="BQ228" s="69"/>
      <c r="BR228" s="69"/>
      <c r="BS228" s="69"/>
      <c r="BT228" s="69"/>
      <c r="BU228" s="69"/>
      <c r="BV228" s="69"/>
      <c r="BW228" s="69"/>
      <c r="BX228" s="100"/>
      <c r="BY228" s="68"/>
      <c r="BZ228" s="74"/>
      <c r="CA228" s="216"/>
      <c r="CB228" s="74"/>
      <c r="CC228" s="68">
        <f>208.71+488.33</f>
        <v>697.04</v>
      </c>
      <c r="CD228" s="68">
        <v>486.74</v>
      </c>
      <c r="CE228" s="83">
        <v>485.14</v>
      </c>
      <c r="CF228" s="83">
        <v>483.54</v>
      </c>
      <c r="CG228" s="83">
        <v>481.93</v>
      </c>
      <c r="CH228" s="83">
        <v>480.3</v>
      </c>
      <c r="CI228" s="83">
        <v>478.67</v>
      </c>
      <c r="CJ228" s="83">
        <v>477.03</v>
      </c>
      <c r="CK228" s="100">
        <f t="shared" ref="CK228:CK229" si="654">SUM(BY228:CJ228)</f>
        <v>4070.3900000000003</v>
      </c>
      <c r="CL228" s="114"/>
      <c r="CM228" s="451">
        <v>475.38</v>
      </c>
      <c r="CN228" s="66">
        <v>473.72</v>
      </c>
      <c r="CO228" s="83">
        <v>472.06</v>
      </c>
      <c r="CP228" s="83">
        <v>470.38</v>
      </c>
      <c r="CQ228" s="83">
        <v>468.69</v>
      </c>
      <c r="CR228" s="83">
        <v>467</v>
      </c>
      <c r="CS228" s="83">
        <v>465.29</v>
      </c>
      <c r="CT228" s="83">
        <v>463.58</v>
      </c>
      <c r="CU228" s="83">
        <v>461.85</v>
      </c>
      <c r="CV228" s="83">
        <v>460.12</v>
      </c>
      <c r="CW228" s="83">
        <v>458.38</v>
      </c>
      <c r="CX228" s="83">
        <v>456.62</v>
      </c>
      <c r="CY228" s="100">
        <f t="shared" si="650"/>
        <v>5593.07</v>
      </c>
      <c r="CZ228" s="1">
        <v>454.86</v>
      </c>
      <c r="DA228" s="1">
        <v>453.09</v>
      </c>
      <c r="DB228" s="1">
        <v>451.3</v>
      </c>
      <c r="DC228" s="1">
        <v>449.51</v>
      </c>
      <c r="DD228" s="1">
        <v>447.71</v>
      </c>
      <c r="DE228" s="1">
        <v>445.9</v>
      </c>
      <c r="DF228" s="1">
        <v>444.08</v>
      </c>
      <c r="DG228" s="1">
        <v>442.24</v>
      </c>
      <c r="DH228" s="1">
        <v>440.4</v>
      </c>
      <c r="DI228" s="1">
        <v>438.55</v>
      </c>
      <c r="DJ228" s="1">
        <v>436.68</v>
      </c>
      <c r="DK228" s="1">
        <v>434.81</v>
      </c>
      <c r="DL228" s="100">
        <f t="shared" si="651"/>
        <v>5339.13</v>
      </c>
    </row>
    <row r="229" spans="2:116">
      <c r="B229" s="317" t="s">
        <v>449</v>
      </c>
      <c r="C229" s="136"/>
      <c r="D229" s="136"/>
      <c r="E229" s="136"/>
      <c r="F229" s="136"/>
      <c r="G229" s="136"/>
      <c r="H229" s="136"/>
      <c r="I229" s="136"/>
      <c r="J229" s="136"/>
      <c r="K229" s="136"/>
      <c r="L229" s="136"/>
      <c r="M229" s="102"/>
      <c r="N229" s="102"/>
      <c r="O229" s="66"/>
      <c r="P229" s="75"/>
      <c r="Q229" s="75"/>
      <c r="R229" s="75"/>
      <c r="S229" s="75"/>
      <c r="T229" s="75"/>
      <c r="U229" s="75"/>
      <c r="V229" s="75"/>
      <c r="W229" s="75"/>
      <c r="X229" s="75"/>
      <c r="Y229" s="75"/>
      <c r="Z229" s="75"/>
      <c r="AA229" s="75"/>
      <c r="AB229" s="114"/>
      <c r="AC229" s="129"/>
      <c r="AD229" s="75"/>
      <c r="AE229" s="75"/>
      <c r="AF229" s="75"/>
      <c r="AG229" s="75"/>
      <c r="AH229" s="75"/>
      <c r="AI229" s="75"/>
      <c r="AJ229" s="75"/>
      <c r="AK229" s="83"/>
      <c r="AL229" s="75"/>
      <c r="AM229" s="75"/>
      <c r="AN229" s="75"/>
      <c r="AO229" s="75"/>
      <c r="AP229" s="75"/>
      <c r="AQ229" s="75"/>
      <c r="AR229" s="75"/>
      <c r="AS229" s="75"/>
      <c r="AT229" s="75"/>
      <c r="AU229" s="75"/>
      <c r="AV229" s="75"/>
      <c r="AW229" s="75"/>
      <c r="AX229" s="114"/>
      <c r="AY229" s="67"/>
      <c r="AZ229" s="69"/>
      <c r="BA229" s="69"/>
      <c r="BB229" s="69"/>
      <c r="BC229" s="69"/>
      <c r="BD229" s="69"/>
      <c r="BE229" s="69"/>
      <c r="BF229" s="69"/>
      <c r="BG229" s="69"/>
      <c r="BH229" s="69"/>
      <c r="BI229" s="69"/>
      <c r="BJ229" s="69"/>
      <c r="BK229" s="114"/>
      <c r="BL229" s="115"/>
      <c r="BM229" s="69"/>
      <c r="BN229" s="213"/>
      <c r="BO229" s="69"/>
      <c r="BP229" s="69"/>
      <c r="BQ229" s="69"/>
      <c r="BR229" s="69"/>
      <c r="BS229" s="69"/>
      <c r="BT229" s="69"/>
      <c r="BU229" s="69"/>
      <c r="BV229" s="69"/>
      <c r="BW229" s="69"/>
      <c r="BX229" s="100"/>
      <c r="BY229" s="68"/>
      <c r="BZ229" s="179"/>
      <c r="CA229" s="215"/>
      <c r="CB229" s="179"/>
      <c r="CC229" s="179"/>
      <c r="CD229" s="179"/>
      <c r="CE229" s="109">
        <f t="shared" ref="CE229:CJ229" si="655">100000*0.0569/12</f>
        <v>474.16666666666669</v>
      </c>
      <c r="CF229" s="109">
        <f t="shared" si="655"/>
        <v>474.16666666666669</v>
      </c>
      <c r="CG229" s="109">
        <f t="shared" si="655"/>
        <v>474.16666666666669</v>
      </c>
      <c r="CH229" s="109">
        <f t="shared" si="655"/>
        <v>474.16666666666669</v>
      </c>
      <c r="CI229" s="109">
        <f t="shared" si="655"/>
        <v>474.16666666666669</v>
      </c>
      <c r="CJ229" s="109">
        <f t="shared" si="655"/>
        <v>474.16666666666669</v>
      </c>
      <c r="CK229" s="100">
        <f t="shared" si="654"/>
        <v>2845</v>
      </c>
      <c r="CL229" s="100"/>
      <c r="CM229" s="109">
        <f t="shared" ref="CM229" si="656">100000*0.0569/12</f>
        <v>474.16666666666669</v>
      </c>
      <c r="CN229" s="109">
        <v>474.17</v>
      </c>
      <c r="CO229" s="109">
        <v>474.17</v>
      </c>
      <c r="CP229" s="109">
        <v>474.17</v>
      </c>
      <c r="CQ229" s="109">
        <v>474.17</v>
      </c>
      <c r="CR229" s="109">
        <v>474.17</v>
      </c>
      <c r="CS229" s="109"/>
      <c r="CT229" s="109"/>
      <c r="CU229" s="109"/>
      <c r="CV229" s="109"/>
      <c r="CW229" s="109"/>
      <c r="CX229" s="109"/>
      <c r="CY229" s="100">
        <f t="shared" si="650"/>
        <v>2845.0166666666669</v>
      </c>
      <c r="DL229" s="100">
        <f t="shared" si="651"/>
        <v>0</v>
      </c>
    </row>
    <row r="230" spans="2:116">
      <c r="B230" s="317" t="s">
        <v>412</v>
      </c>
      <c r="C230" s="136"/>
      <c r="D230" s="136"/>
      <c r="E230" s="136"/>
      <c r="F230" s="136"/>
      <c r="G230" s="136"/>
      <c r="H230" s="136"/>
      <c r="I230" s="136"/>
      <c r="J230" s="136"/>
      <c r="K230" s="136"/>
      <c r="L230" s="136"/>
      <c r="M230" s="102"/>
      <c r="N230" s="102"/>
      <c r="O230" s="66"/>
      <c r="P230" s="75"/>
      <c r="Q230" s="75"/>
      <c r="R230" s="75"/>
      <c r="S230" s="75"/>
      <c r="T230" s="75"/>
      <c r="U230" s="75"/>
      <c r="V230" s="75"/>
      <c r="W230" s="75"/>
      <c r="X230" s="75"/>
      <c r="Y230" s="75"/>
      <c r="Z230" s="75"/>
      <c r="AA230" s="75"/>
      <c r="AB230" s="114"/>
      <c r="AC230" s="129"/>
      <c r="AD230" s="75"/>
      <c r="AE230" s="75"/>
      <c r="AF230" s="75"/>
      <c r="AG230" s="75"/>
      <c r="AH230" s="75"/>
      <c r="AI230" s="75"/>
      <c r="AJ230" s="75"/>
      <c r="AK230" s="83"/>
      <c r="AL230" s="75"/>
      <c r="AM230" s="75"/>
      <c r="AN230" s="75"/>
      <c r="AO230" s="75"/>
      <c r="AP230" s="75"/>
      <c r="AQ230" s="75"/>
      <c r="AR230" s="75"/>
      <c r="AS230" s="75"/>
      <c r="AT230" s="75"/>
      <c r="AU230" s="75"/>
      <c r="AV230" s="75"/>
      <c r="AW230" s="75"/>
      <c r="AX230" s="114"/>
      <c r="AY230" s="67"/>
      <c r="AZ230" s="69"/>
      <c r="BA230" s="69"/>
      <c r="BB230" s="69"/>
      <c r="BC230" s="69"/>
      <c r="BD230" s="69"/>
      <c r="BE230" s="69"/>
      <c r="BF230" s="69"/>
      <c r="BG230" s="69"/>
      <c r="BH230" s="69"/>
      <c r="BI230" s="69"/>
      <c r="BJ230" s="69"/>
      <c r="BK230" s="114"/>
      <c r="BL230" s="115"/>
      <c r="BM230" s="69"/>
      <c r="BN230" s="213"/>
      <c r="BO230" s="69"/>
      <c r="BP230" s="69"/>
      <c r="BQ230" s="69"/>
      <c r="BR230" s="69"/>
      <c r="BS230" s="69"/>
      <c r="BT230" s="69"/>
      <c r="BU230" s="69"/>
      <c r="BV230" s="69"/>
      <c r="BW230" s="69"/>
      <c r="BX230" s="100"/>
      <c r="BY230" s="69"/>
      <c r="BZ230" s="69"/>
      <c r="CA230" s="213"/>
      <c r="CB230" s="69"/>
      <c r="CC230" s="69"/>
      <c r="CD230" s="69"/>
      <c r="CE230" s="83"/>
      <c r="CF230" s="83"/>
      <c r="CG230" s="83"/>
      <c r="CH230" s="83"/>
      <c r="CI230" s="83"/>
      <c r="CJ230" s="109">
        <v>3365</v>
      </c>
      <c r="CK230" s="100">
        <f t="shared" si="652"/>
        <v>3365</v>
      </c>
      <c r="CL230" s="100"/>
      <c r="CM230" s="83"/>
      <c r="CN230" s="83"/>
      <c r="CO230" s="83"/>
      <c r="CP230" s="83"/>
      <c r="CQ230" s="83"/>
      <c r="CR230" s="83"/>
      <c r="CS230" s="83"/>
      <c r="CT230" s="83"/>
      <c r="CU230" s="83"/>
      <c r="CV230" s="83"/>
      <c r="CW230" s="83"/>
      <c r="CX230" s="109">
        <v>3365</v>
      </c>
      <c r="CY230" s="100">
        <f t="shared" si="650"/>
        <v>3365</v>
      </c>
      <c r="DL230" s="100">
        <f t="shared" si="651"/>
        <v>0</v>
      </c>
    </row>
    <row r="231" spans="2:116">
      <c r="B231" s="317" t="s">
        <v>333</v>
      </c>
      <c r="C231" s="136"/>
      <c r="D231" s="136"/>
      <c r="E231" s="136"/>
      <c r="F231" s="136"/>
      <c r="G231" s="136"/>
      <c r="H231" s="136"/>
      <c r="I231" s="136"/>
      <c r="J231" s="136"/>
      <c r="K231" s="136"/>
      <c r="L231" s="136"/>
      <c r="M231" s="102"/>
      <c r="N231" s="102"/>
      <c r="O231" s="66"/>
      <c r="P231" s="75"/>
      <c r="Q231" s="75"/>
      <c r="R231" s="75"/>
      <c r="S231" s="75"/>
      <c r="T231" s="75"/>
      <c r="U231" s="75"/>
      <c r="V231" s="75"/>
      <c r="W231" s="75"/>
      <c r="X231" s="75"/>
      <c r="Y231" s="75"/>
      <c r="Z231" s="75"/>
      <c r="AA231" s="75"/>
      <c r="AB231" s="114"/>
      <c r="AC231" s="129"/>
      <c r="AD231" s="75"/>
      <c r="AE231" s="75"/>
      <c r="AF231" s="75"/>
      <c r="AG231" s="75"/>
      <c r="AH231" s="75"/>
      <c r="AI231" s="75"/>
      <c r="AJ231" s="75"/>
      <c r="AK231" s="83"/>
      <c r="AL231" s="75"/>
      <c r="AM231" s="75"/>
      <c r="AN231" s="75"/>
      <c r="AO231" s="75"/>
      <c r="AP231" s="75"/>
      <c r="AQ231" s="75"/>
      <c r="AR231" s="75"/>
      <c r="AS231" s="75"/>
      <c r="AT231" s="75"/>
      <c r="AU231" s="75"/>
      <c r="AV231" s="75"/>
      <c r="AW231" s="75"/>
      <c r="AX231" s="114"/>
      <c r="AY231" s="67"/>
      <c r="AZ231" s="69"/>
      <c r="BA231" s="69"/>
      <c r="BB231" s="69"/>
      <c r="BC231" s="69"/>
      <c r="BD231" s="69"/>
      <c r="BE231" s="69"/>
      <c r="BF231" s="69"/>
      <c r="BG231" s="69"/>
      <c r="BH231" s="69"/>
      <c r="BI231" s="69"/>
      <c r="BJ231" s="69"/>
      <c r="BK231" s="114"/>
      <c r="BL231" s="115"/>
      <c r="BM231" s="69"/>
      <c r="BN231" s="213"/>
      <c r="BO231" s="69"/>
      <c r="BP231" s="69"/>
      <c r="BQ231" s="69"/>
      <c r="BR231" s="69"/>
      <c r="BS231" s="69"/>
      <c r="BT231" s="69"/>
      <c r="BU231" s="69"/>
      <c r="BV231" s="69"/>
      <c r="BW231" s="69"/>
      <c r="BX231" s="100"/>
      <c r="BY231" s="67">
        <v>103.2</v>
      </c>
      <c r="BZ231" s="68">
        <v>103.2</v>
      </c>
      <c r="CA231" s="212">
        <v>103.2</v>
      </c>
      <c r="CB231" s="68">
        <v>103.2</v>
      </c>
      <c r="CC231" s="68">
        <v>103.2</v>
      </c>
      <c r="CD231" s="68">
        <v>103.2</v>
      </c>
      <c r="CE231" s="305">
        <v>103.2</v>
      </c>
      <c r="CF231" s="66">
        <v>103.2</v>
      </c>
      <c r="CG231" s="66">
        <v>103.2</v>
      </c>
      <c r="CH231" s="66">
        <v>103.2</v>
      </c>
      <c r="CI231" s="66">
        <v>103.2</v>
      </c>
      <c r="CJ231" s="66">
        <v>103.2</v>
      </c>
      <c r="CK231" s="100">
        <f t="shared" si="652"/>
        <v>1238.4000000000003</v>
      </c>
      <c r="CL231" s="100"/>
      <c r="CM231" s="109">
        <v>103.2</v>
      </c>
      <c r="CN231" s="109">
        <v>103.2</v>
      </c>
      <c r="CO231" s="109">
        <v>103.2</v>
      </c>
      <c r="CP231" s="109">
        <v>103.2</v>
      </c>
      <c r="CQ231" s="109">
        <v>103.2</v>
      </c>
      <c r="CR231" s="109">
        <v>103.2</v>
      </c>
      <c r="CS231" s="109">
        <v>103.2</v>
      </c>
      <c r="CT231" s="109">
        <v>103.2</v>
      </c>
      <c r="CU231" s="109">
        <v>103.2</v>
      </c>
      <c r="CV231" s="109">
        <v>103.2</v>
      </c>
      <c r="CW231" s="109">
        <v>103.2</v>
      </c>
      <c r="CX231" s="109">
        <v>103.2</v>
      </c>
      <c r="CY231" s="100">
        <f t="shared" si="650"/>
        <v>1238.4000000000003</v>
      </c>
      <c r="DL231" s="100">
        <f t="shared" si="651"/>
        <v>0</v>
      </c>
    </row>
    <row r="232" spans="2:116">
      <c r="B232" s="316" t="s">
        <v>378</v>
      </c>
      <c r="C232" s="136"/>
      <c r="D232" s="136"/>
      <c r="E232" s="136"/>
      <c r="F232" s="136"/>
      <c r="G232" s="136"/>
      <c r="H232" s="136"/>
      <c r="I232" s="136"/>
      <c r="J232" s="136"/>
      <c r="K232" s="136"/>
      <c r="L232" s="136"/>
      <c r="M232" s="102"/>
      <c r="N232" s="102"/>
      <c r="O232" s="66"/>
      <c r="P232" s="75"/>
      <c r="Q232" s="75"/>
      <c r="R232" s="75"/>
      <c r="S232" s="75"/>
      <c r="T232" s="75"/>
      <c r="U232" s="75"/>
      <c r="V232" s="75"/>
      <c r="W232" s="75"/>
      <c r="X232" s="75"/>
      <c r="Y232" s="75"/>
      <c r="Z232" s="75"/>
      <c r="AA232" s="75"/>
      <c r="AB232" s="114"/>
      <c r="AC232" s="129"/>
      <c r="AD232" s="75"/>
      <c r="AE232" s="75"/>
      <c r="AF232" s="75"/>
      <c r="AG232" s="75"/>
      <c r="AH232" s="75"/>
      <c r="AI232" s="75"/>
      <c r="AJ232" s="75"/>
      <c r="AK232" s="83"/>
      <c r="AL232" s="75"/>
      <c r="AM232" s="75"/>
      <c r="AN232" s="75"/>
      <c r="AO232" s="75"/>
      <c r="AP232" s="75"/>
      <c r="AQ232" s="75"/>
      <c r="AR232" s="75"/>
      <c r="AS232" s="75"/>
      <c r="AT232" s="75"/>
      <c r="AU232" s="75"/>
      <c r="AV232" s="75"/>
      <c r="AW232" s="75"/>
      <c r="AX232" s="114"/>
      <c r="AY232" s="67"/>
      <c r="AZ232" s="69"/>
      <c r="BA232" s="69"/>
      <c r="BB232" s="69"/>
      <c r="BC232" s="69"/>
      <c r="BD232" s="69"/>
      <c r="BE232" s="69"/>
      <c r="BF232" s="69"/>
      <c r="BG232" s="69"/>
      <c r="BH232" s="69"/>
      <c r="BI232" s="69"/>
      <c r="BJ232" s="69"/>
      <c r="BK232" s="114"/>
      <c r="BL232" s="115"/>
      <c r="BM232" s="69"/>
      <c r="BN232" s="213"/>
      <c r="BO232" s="69"/>
      <c r="BP232" s="69"/>
      <c r="BQ232" s="69"/>
      <c r="BR232" s="69"/>
      <c r="BS232" s="69"/>
      <c r="BT232" s="69"/>
      <c r="BU232" s="69"/>
      <c r="BV232" s="69"/>
      <c r="BW232" s="69"/>
      <c r="BX232" s="100"/>
      <c r="BY232" s="69"/>
      <c r="BZ232" s="69"/>
      <c r="CA232" s="213"/>
      <c r="CB232" s="69"/>
      <c r="CC232" s="69"/>
      <c r="CD232" s="69"/>
      <c r="CE232" s="83"/>
      <c r="CF232" s="83"/>
      <c r="CG232" s="83"/>
      <c r="CH232" s="83"/>
      <c r="CI232" s="83"/>
      <c r="CJ232" s="83"/>
      <c r="CK232" s="100">
        <f t="shared" si="652"/>
        <v>0</v>
      </c>
      <c r="CL232" s="100"/>
      <c r="CM232" s="83"/>
      <c r="CN232" s="83"/>
      <c r="CO232" s="83"/>
      <c r="CP232" s="83"/>
      <c r="CQ232" s="83"/>
      <c r="CR232" s="83"/>
      <c r="CS232" s="83"/>
      <c r="CT232" s="83"/>
      <c r="CU232" s="83"/>
      <c r="CV232" s="83"/>
      <c r="CW232" s="83"/>
      <c r="CX232" s="83"/>
      <c r="CY232" s="100">
        <f t="shared" si="650"/>
        <v>0</v>
      </c>
      <c r="DL232" s="100">
        <f t="shared" si="651"/>
        <v>0</v>
      </c>
    </row>
    <row r="233" spans="2:116">
      <c r="B233" s="316" t="s">
        <v>379</v>
      </c>
      <c r="C233" s="136"/>
      <c r="D233" s="136"/>
      <c r="E233" s="136"/>
      <c r="F233" s="136"/>
      <c r="G233" s="136"/>
      <c r="H233" s="136"/>
      <c r="I233" s="136"/>
      <c r="J233" s="136"/>
      <c r="K233" s="136"/>
      <c r="L233" s="136"/>
      <c r="M233" s="102"/>
      <c r="N233" s="102"/>
      <c r="O233" s="66"/>
      <c r="P233" s="75"/>
      <c r="Q233" s="75"/>
      <c r="R233" s="75"/>
      <c r="S233" s="75"/>
      <c r="T233" s="75"/>
      <c r="U233" s="75"/>
      <c r="V233" s="75"/>
      <c r="W233" s="75"/>
      <c r="X233" s="75"/>
      <c r="Y233" s="75"/>
      <c r="Z233" s="75"/>
      <c r="AA233" s="75"/>
      <c r="AB233" s="114"/>
      <c r="AC233" s="129"/>
      <c r="AD233" s="75"/>
      <c r="AE233" s="75"/>
      <c r="AF233" s="75"/>
      <c r="AG233" s="75"/>
      <c r="AH233" s="75"/>
      <c r="AI233" s="75"/>
      <c r="AJ233" s="75"/>
      <c r="AK233" s="83"/>
      <c r="AL233" s="75"/>
      <c r="AM233" s="75"/>
      <c r="AN233" s="75"/>
      <c r="AO233" s="75"/>
      <c r="AP233" s="75"/>
      <c r="AQ233" s="75"/>
      <c r="AR233" s="75"/>
      <c r="AS233" s="75"/>
      <c r="AT233" s="75"/>
      <c r="AU233" s="75"/>
      <c r="AV233" s="75"/>
      <c r="AW233" s="75"/>
      <c r="AX233" s="114"/>
      <c r="AY233" s="67"/>
      <c r="AZ233" s="69"/>
      <c r="BA233" s="69"/>
      <c r="BB233" s="69"/>
      <c r="BC233" s="69"/>
      <c r="BD233" s="69"/>
      <c r="BE233" s="69"/>
      <c r="BF233" s="69"/>
      <c r="BG233" s="69"/>
      <c r="BH233" s="69"/>
      <c r="BI233" s="69"/>
      <c r="BJ233" s="69"/>
      <c r="BK233" s="114"/>
      <c r="BL233" s="115"/>
      <c r="BM233" s="69"/>
      <c r="BN233" s="213"/>
      <c r="BO233" s="69"/>
      <c r="BP233" s="69"/>
      <c r="BQ233" s="69"/>
      <c r="BR233" s="69"/>
      <c r="BS233" s="69"/>
      <c r="BT233" s="69"/>
      <c r="BU233" s="69"/>
      <c r="BV233" s="69"/>
      <c r="BW233" s="69"/>
      <c r="BX233" s="100"/>
      <c r="BY233" s="69"/>
      <c r="BZ233" s="69"/>
      <c r="CA233" s="213"/>
      <c r="CB233" s="69"/>
      <c r="CC233" s="69"/>
      <c r="CD233" s="69"/>
      <c r="CE233" s="83"/>
      <c r="CF233" s="83"/>
      <c r="CG233" s="83"/>
      <c r="CH233" s="83"/>
      <c r="CI233" s="83"/>
      <c r="CJ233" s="83"/>
      <c r="CK233" s="100">
        <f t="shared" si="652"/>
        <v>0</v>
      </c>
      <c r="CL233" s="100"/>
      <c r="CM233" s="83"/>
      <c r="CN233" s="83"/>
      <c r="CO233" s="83"/>
      <c r="CP233" s="83"/>
      <c r="CQ233" s="83"/>
      <c r="CR233" s="83"/>
      <c r="CS233" s="83"/>
      <c r="CT233" s="83"/>
      <c r="CU233" s="83"/>
      <c r="CV233" s="83"/>
      <c r="CW233" s="83"/>
      <c r="CX233" s="83"/>
      <c r="CY233" s="100">
        <f t="shared" si="650"/>
        <v>0</v>
      </c>
      <c r="DL233" s="100">
        <f t="shared" si="651"/>
        <v>0</v>
      </c>
    </row>
    <row r="234" spans="2:116">
      <c r="B234" s="316" t="s">
        <v>380</v>
      </c>
      <c r="C234" s="136"/>
      <c r="D234" s="136"/>
      <c r="E234" s="136"/>
      <c r="F234" s="136"/>
      <c r="G234" s="136"/>
      <c r="H234" s="136"/>
      <c r="I234" s="136"/>
      <c r="J234" s="136"/>
      <c r="K234" s="136"/>
      <c r="L234" s="136"/>
      <c r="M234" s="102"/>
      <c r="N234" s="102"/>
      <c r="O234" s="66"/>
      <c r="P234" s="75"/>
      <c r="Q234" s="75"/>
      <c r="R234" s="75"/>
      <c r="S234" s="75"/>
      <c r="T234" s="75"/>
      <c r="U234" s="75"/>
      <c r="V234" s="75"/>
      <c r="W234" s="75"/>
      <c r="X234" s="75"/>
      <c r="Y234" s="75"/>
      <c r="Z234" s="75"/>
      <c r="AA234" s="75"/>
      <c r="AB234" s="114"/>
      <c r="AC234" s="129"/>
      <c r="AD234" s="75"/>
      <c r="AE234" s="75"/>
      <c r="AF234" s="75"/>
      <c r="AG234" s="75"/>
      <c r="AH234" s="75"/>
      <c r="AI234" s="75"/>
      <c r="AJ234" s="75"/>
      <c r="AK234" s="83"/>
      <c r="AL234" s="75"/>
      <c r="AM234" s="75"/>
      <c r="AN234" s="75"/>
      <c r="AO234" s="75"/>
      <c r="AP234" s="75"/>
      <c r="AQ234" s="75"/>
      <c r="AR234" s="75"/>
      <c r="AS234" s="75"/>
      <c r="AT234" s="75"/>
      <c r="AU234" s="75"/>
      <c r="AV234" s="75"/>
      <c r="AW234" s="75"/>
      <c r="AX234" s="114"/>
      <c r="AY234" s="67"/>
      <c r="AZ234" s="69"/>
      <c r="BA234" s="69"/>
      <c r="BB234" s="69"/>
      <c r="BC234" s="69"/>
      <c r="BD234" s="69"/>
      <c r="BE234" s="69"/>
      <c r="BF234" s="69"/>
      <c r="BG234" s="69"/>
      <c r="BH234" s="69"/>
      <c r="BI234" s="69"/>
      <c r="BJ234" s="69"/>
      <c r="BK234" s="114"/>
      <c r="BL234" s="115"/>
      <c r="BM234" s="69"/>
      <c r="BN234" s="213"/>
      <c r="BO234" s="69"/>
      <c r="BP234" s="69"/>
      <c r="BQ234" s="69"/>
      <c r="BR234" s="69"/>
      <c r="BS234" s="69"/>
      <c r="BT234" s="69"/>
      <c r="BU234" s="69"/>
      <c r="BV234" s="69"/>
      <c r="BW234" s="69"/>
      <c r="BX234" s="100"/>
      <c r="BY234" s="115"/>
      <c r="BZ234" s="68">
        <f>16.45+31.6+31.6</f>
        <v>79.650000000000006</v>
      </c>
      <c r="CA234" s="213"/>
      <c r="CB234" s="69"/>
      <c r="CC234" s="69"/>
      <c r="CD234" s="69"/>
      <c r="CE234" s="83"/>
      <c r="CF234" s="83"/>
      <c r="CG234" s="83"/>
      <c r="CH234" s="83"/>
      <c r="CI234" s="83"/>
      <c r="CJ234" s="130"/>
      <c r="CK234" s="100">
        <f t="shared" si="652"/>
        <v>79.650000000000006</v>
      </c>
      <c r="CL234" s="100"/>
      <c r="CM234" s="83"/>
      <c r="CN234" s="83"/>
      <c r="CO234" s="83"/>
      <c r="CP234" s="83"/>
      <c r="CQ234" s="83"/>
      <c r="CR234" s="83"/>
      <c r="CS234" s="83"/>
      <c r="CT234" s="83"/>
      <c r="CU234" s="83"/>
      <c r="CV234" s="83"/>
      <c r="CW234" s="83"/>
      <c r="CX234" s="130"/>
      <c r="CY234" s="100">
        <f t="shared" si="650"/>
        <v>0</v>
      </c>
      <c r="DL234" s="100">
        <f t="shared" si="651"/>
        <v>0</v>
      </c>
    </row>
    <row r="235" spans="2:116">
      <c r="B235" s="318" t="s">
        <v>381</v>
      </c>
      <c r="C235" s="136"/>
      <c r="D235" s="136"/>
      <c r="E235" s="136"/>
      <c r="F235" s="136"/>
      <c r="G235" s="136"/>
      <c r="H235" s="136"/>
      <c r="I235" s="136"/>
      <c r="J235" s="136"/>
      <c r="K235" s="136"/>
      <c r="L235" s="136"/>
      <c r="M235" s="102"/>
      <c r="N235" s="102"/>
      <c r="O235" s="66"/>
      <c r="P235" s="75"/>
      <c r="Q235" s="75"/>
      <c r="R235" s="75"/>
      <c r="S235" s="75"/>
      <c r="T235" s="75"/>
      <c r="U235" s="75"/>
      <c r="V235" s="75"/>
      <c r="W235" s="75"/>
      <c r="X235" s="75"/>
      <c r="Y235" s="75"/>
      <c r="Z235" s="75"/>
      <c r="AA235" s="75"/>
      <c r="AB235" s="114"/>
      <c r="AC235" s="129"/>
      <c r="AD235" s="75"/>
      <c r="AE235" s="75"/>
      <c r="AF235" s="75"/>
      <c r="AG235" s="75"/>
      <c r="AH235" s="75"/>
      <c r="AI235" s="75"/>
      <c r="AJ235" s="75"/>
      <c r="AK235" s="83"/>
      <c r="AL235" s="75"/>
      <c r="AM235" s="75"/>
      <c r="AN235" s="75"/>
      <c r="AO235" s="75"/>
      <c r="AP235" s="75"/>
      <c r="AQ235" s="75"/>
      <c r="AR235" s="75"/>
      <c r="AS235" s="75"/>
      <c r="AT235" s="75"/>
      <c r="AU235" s="75"/>
      <c r="AV235" s="75"/>
      <c r="AW235" s="75"/>
      <c r="AX235" s="114"/>
      <c r="AY235" s="67"/>
      <c r="AZ235" s="69"/>
      <c r="BA235" s="69"/>
      <c r="BB235" s="69"/>
      <c r="BC235" s="69"/>
      <c r="BD235" s="69"/>
      <c r="BE235" s="69"/>
      <c r="BF235" s="69"/>
      <c r="BG235" s="69"/>
      <c r="BH235" s="69"/>
      <c r="BI235" s="69"/>
      <c r="BJ235" s="69"/>
      <c r="BK235" s="114"/>
      <c r="BL235" s="115"/>
      <c r="BM235" s="69"/>
      <c r="BN235" s="213"/>
      <c r="BO235" s="69"/>
      <c r="BP235" s="69"/>
      <c r="BQ235" s="69"/>
      <c r="BR235" s="69"/>
      <c r="BS235" s="69"/>
      <c r="BT235" s="69"/>
      <c r="BU235" s="69"/>
      <c r="BV235" s="69"/>
      <c r="BW235" s="69"/>
      <c r="BX235" s="100"/>
      <c r="BY235" s="461">
        <f>114.04+515.56+3702.78</f>
        <v>4332.38</v>
      </c>
      <c r="BZ235" s="77">
        <v>216.63</v>
      </c>
      <c r="CA235" s="77">
        <f>164.3+429.96</f>
        <v>594.26</v>
      </c>
      <c r="CB235" s="77">
        <f>223.31-(474.08+504.59)</f>
        <v>-755.3599999999999</v>
      </c>
      <c r="CC235" s="77">
        <f>(474.08+504.59)</f>
        <v>978.67</v>
      </c>
      <c r="CD235" s="478">
        <v>54.68</v>
      </c>
      <c r="CE235" s="113"/>
      <c r="CF235" s="113"/>
      <c r="CG235" s="113"/>
      <c r="CH235" s="113"/>
      <c r="CI235" s="113"/>
      <c r="CJ235" s="132"/>
      <c r="CK235" s="100">
        <f t="shared" si="652"/>
        <v>5421.2600000000011</v>
      </c>
      <c r="CL235" s="111"/>
      <c r="CM235" s="255"/>
      <c r="CN235" s="113"/>
      <c r="CO235" s="113"/>
      <c r="CP235" s="113"/>
      <c r="CQ235" s="113"/>
      <c r="CR235" s="113"/>
      <c r="CS235" s="113"/>
      <c r="CT235" s="113"/>
      <c r="CU235" s="113"/>
      <c r="CV235" s="113"/>
      <c r="CW235" s="113"/>
      <c r="CX235" s="132"/>
      <c r="CY235" s="100">
        <f t="shared" si="650"/>
        <v>0</v>
      </c>
      <c r="DL235" s="100">
        <f t="shared" si="651"/>
        <v>0</v>
      </c>
    </row>
    <row r="236" spans="2:116">
      <c r="B236" s="1" t="s">
        <v>382</v>
      </c>
      <c r="C236" s="136"/>
      <c r="D236" s="136"/>
      <c r="E236" s="136"/>
      <c r="F236" s="136"/>
      <c r="G236" s="136"/>
      <c r="H236" s="136"/>
      <c r="I236" s="136"/>
      <c r="J236" s="136"/>
      <c r="K236" s="136"/>
      <c r="L236" s="136"/>
      <c r="M236" s="102"/>
      <c r="N236" s="102"/>
      <c r="O236" s="66"/>
      <c r="P236" s="75"/>
      <c r="Q236" s="75"/>
      <c r="R236" s="75"/>
      <c r="S236" s="75"/>
      <c r="T236" s="75"/>
      <c r="U236" s="75"/>
      <c r="V236" s="75"/>
      <c r="W236" s="75"/>
      <c r="X236" s="75"/>
      <c r="Y236" s="75"/>
      <c r="Z236" s="75"/>
      <c r="AA236" s="75"/>
      <c r="AB236" s="114"/>
      <c r="AC236" s="129"/>
      <c r="AD236" s="75"/>
      <c r="AE236" s="75"/>
      <c r="AF236" s="75"/>
      <c r="AG236" s="75"/>
      <c r="AH236" s="75"/>
      <c r="AI236" s="75"/>
      <c r="AJ236" s="75"/>
      <c r="AK236" s="83"/>
      <c r="AL236" s="75"/>
      <c r="AM236" s="75"/>
      <c r="AN236" s="75"/>
      <c r="AO236" s="75"/>
      <c r="AP236" s="75"/>
      <c r="AQ236" s="75"/>
      <c r="AR236" s="75"/>
      <c r="AS236" s="75"/>
      <c r="AT236" s="75"/>
      <c r="AU236" s="75"/>
      <c r="AV236" s="75"/>
      <c r="AW236" s="75"/>
      <c r="AX236" s="114"/>
      <c r="AY236" s="67"/>
      <c r="AZ236" s="69"/>
      <c r="BA236" s="69"/>
      <c r="BB236" s="69"/>
      <c r="BC236" s="69"/>
      <c r="BD236" s="69"/>
      <c r="BE236" s="69"/>
      <c r="BF236" s="69"/>
      <c r="BG236" s="69"/>
      <c r="BH236" s="69"/>
      <c r="BI236" s="69"/>
      <c r="BJ236" s="69"/>
      <c r="BK236" s="114"/>
      <c r="BL236" s="115"/>
      <c r="BM236" s="69"/>
      <c r="BN236" s="213"/>
      <c r="BO236" s="69"/>
      <c r="BP236" s="69"/>
      <c r="BQ236" s="69"/>
      <c r="BR236" s="69"/>
      <c r="BS236" s="69"/>
      <c r="BT236" s="69"/>
      <c r="BU236" s="69"/>
      <c r="BV236" s="69"/>
      <c r="BW236" s="69"/>
      <c r="BX236" s="100"/>
      <c r="BY236" s="69"/>
      <c r="BZ236" s="68">
        <f>-36.86+0.6</f>
        <v>-36.26</v>
      </c>
      <c r="CA236" s="243"/>
      <c r="CB236" s="69"/>
      <c r="CC236" s="69"/>
      <c r="CD236" s="69"/>
      <c r="CE236" s="83"/>
      <c r="CF236" s="83"/>
      <c r="CG236" s="83"/>
      <c r="CH236" s="83"/>
      <c r="CI236" s="83"/>
      <c r="CJ236" s="83"/>
      <c r="CK236" s="88">
        <f t="shared" si="652"/>
        <v>-36.26</v>
      </c>
      <c r="CL236" s="88"/>
      <c r="CM236" s="83"/>
      <c r="CN236" s="66"/>
      <c r="CO236" s="66"/>
      <c r="CP236" s="83"/>
      <c r="CQ236" s="83"/>
      <c r="CR236" s="83"/>
      <c r="CS236" s="83"/>
      <c r="CT236" s="83"/>
      <c r="CU236" s="83"/>
      <c r="CV236" s="83"/>
      <c r="CW236" s="83"/>
      <c r="CX236" s="83"/>
      <c r="CY236" s="88">
        <f t="shared" si="650"/>
        <v>0</v>
      </c>
      <c r="DL236" s="88">
        <f t="shared" si="651"/>
        <v>0</v>
      </c>
    </row>
    <row r="237" spans="2:116">
      <c r="B237" s="1" t="s">
        <v>383</v>
      </c>
      <c r="C237" s="136"/>
      <c r="D237" s="136"/>
      <c r="E237" s="136"/>
      <c r="F237" s="136"/>
      <c r="G237" s="136"/>
      <c r="H237" s="136"/>
      <c r="I237" s="136"/>
      <c r="J237" s="136"/>
      <c r="K237" s="136"/>
      <c r="L237" s="136"/>
      <c r="M237" s="102"/>
      <c r="N237" s="102"/>
      <c r="O237" s="66"/>
      <c r="P237" s="75"/>
      <c r="Q237" s="75"/>
      <c r="R237" s="75"/>
      <c r="S237" s="75"/>
      <c r="T237" s="75"/>
      <c r="U237" s="75"/>
      <c r="V237" s="75"/>
      <c r="W237" s="75"/>
      <c r="X237" s="75"/>
      <c r="Y237" s="75"/>
      <c r="Z237" s="75"/>
      <c r="AA237" s="75"/>
      <c r="AB237" s="114"/>
      <c r="AC237" s="129"/>
      <c r="AD237" s="75"/>
      <c r="AE237" s="75"/>
      <c r="AF237" s="75"/>
      <c r="AG237" s="75"/>
      <c r="AH237" s="75"/>
      <c r="AI237" s="75"/>
      <c r="AJ237" s="75"/>
      <c r="AK237" s="83"/>
      <c r="AL237" s="75"/>
      <c r="AM237" s="75"/>
      <c r="AN237" s="75"/>
      <c r="AO237" s="75"/>
      <c r="AP237" s="75"/>
      <c r="AQ237" s="75"/>
      <c r="AR237" s="75"/>
      <c r="AS237" s="75"/>
      <c r="AT237" s="75"/>
      <c r="AU237" s="75"/>
      <c r="AV237" s="75"/>
      <c r="AW237" s="75"/>
      <c r="AX237" s="114"/>
      <c r="AY237" s="67"/>
      <c r="AZ237" s="69"/>
      <c r="BA237" s="69"/>
      <c r="BB237" s="69"/>
      <c r="BC237" s="69"/>
      <c r="BD237" s="69"/>
      <c r="BE237" s="69"/>
      <c r="BF237" s="69"/>
      <c r="BG237" s="69"/>
      <c r="BH237" s="69"/>
      <c r="BI237" s="69"/>
      <c r="BJ237" s="69"/>
      <c r="BK237" s="114"/>
      <c r="BL237" s="115"/>
      <c r="BM237" s="69"/>
      <c r="BN237" s="213"/>
      <c r="BO237" s="69"/>
      <c r="BP237" s="69"/>
      <c r="BQ237" s="69"/>
      <c r="BR237" s="69"/>
      <c r="BS237" s="69"/>
      <c r="BT237" s="69"/>
      <c r="BU237" s="69"/>
      <c r="BV237" s="69"/>
      <c r="BW237" s="69"/>
      <c r="BX237" s="100"/>
      <c r="BY237" s="67">
        <f>2186</f>
        <v>2186</v>
      </c>
      <c r="BZ237" s="68">
        <f>15050.83</f>
        <v>15050.83</v>
      </c>
      <c r="CA237" s="244">
        <v>7635.16</v>
      </c>
      <c r="CB237" s="67">
        <f>29218.78-25845.6+5350.62</f>
        <v>8723.7999999999993</v>
      </c>
      <c r="CC237" s="68">
        <f>(720+360)*1.1+215*1.21+(13210*1.21)/2</f>
        <v>9440.2000000000007</v>
      </c>
      <c r="CD237" s="68">
        <f>(1310.4*1.1+611*1.21)+1020.01+896+800.05+800.01</f>
        <v>5696.8200000000006</v>
      </c>
      <c r="CE237" s="305">
        <v>656.15</v>
      </c>
      <c r="CF237" s="83">
        <f>725.01+815.01+675+1097.01</f>
        <v>3312.0299999999997</v>
      </c>
      <c r="CG237" s="83"/>
      <c r="CH237" s="83">
        <f>1762.97+1766</f>
        <v>3528.9700000000003</v>
      </c>
      <c r="CI237" s="438">
        <f>(13210+510)*1.21-7992.05</f>
        <v>8609.1500000000015</v>
      </c>
      <c r="CJ237" s="83"/>
      <c r="CK237" s="100">
        <f t="shared" si="652"/>
        <v>64839.110000000008</v>
      </c>
      <c r="CL237" s="100">
        <f>4873.13+1666.17+4277.79</f>
        <v>10817.09</v>
      </c>
      <c r="CM237" s="83"/>
      <c r="CN237" s="109"/>
      <c r="CO237" s="109"/>
      <c r="CP237" s="83"/>
      <c r="CQ237" s="83"/>
      <c r="CR237" s="83"/>
      <c r="CS237" s="83"/>
      <c r="CT237" s="83"/>
      <c r="CU237" s="83"/>
      <c r="CV237" s="83"/>
      <c r="CW237" s="83"/>
      <c r="CX237" s="83"/>
      <c r="CY237" s="100">
        <f t="shared" si="650"/>
        <v>0</v>
      </c>
      <c r="DA237" s="109">
        <v>-179026.56</v>
      </c>
      <c r="DL237" s="100">
        <f t="shared" si="651"/>
        <v>-179026.56</v>
      </c>
    </row>
    <row r="238" spans="2:116">
      <c r="B238" s="1" t="s">
        <v>438</v>
      </c>
      <c r="C238" s="136"/>
      <c r="D238" s="136"/>
      <c r="E238" s="136"/>
      <c r="F238" s="136"/>
      <c r="G238" s="136"/>
      <c r="H238" s="136"/>
      <c r="I238" s="136"/>
      <c r="J238" s="136"/>
      <c r="K238" s="136"/>
      <c r="L238" s="136"/>
      <c r="M238" s="102"/>
      <c r="N238" s="102"/>
      <c r="O238" s="66"/>
      <c r="P238" s="75"/>
      <c r="Q238" s="75"/>
      <c r="R238" s="75"/>
      <c r="S238" s="75"/>
      <c r="T238" s="75"/>
      <c r="U238" s="75"/>
      <c r="V238" s="75"/>
      <c r="W238" s="75"/>
      <c r="X238" s="75"/>
      <c r="Y238" s="75"/>
      <c r="Z238" s="75"/>
      <c r="AA238" s="75"/>
      <c r="AB238" s="114"/>
      <c r="AC238" s="129"/>
      <c r="AD238" s="75"/>
      <c r="AE238" s="75"/>
      <c r="AF238" s="75"/>
      <c r="AG238" s="75"/>
      <c r="AH238" s="75"/>
      <c r="AI238" s="75"/>
      <c r="AJ238" s="75"/>
      <c r="AK238" s="83"/>
      <c r="AL238" s="75"/>
      <c r="AM238" s="75"/>
      <c r="AN238" s="75"/>
      <c r="AO238" s="75"/>
      <c r="AP238" s="75"/>
      <c r="AQ238" s="75"/>
      <c r="AR238" s="75"/>
      <c r="AS238" s="75"/>
      <c r="AT238" s="75"/>
      <c r="AU238" s="75"/>
      <c r="AV238" s="75"/>
      <c r="AW238" s="75"/>
      <c r="AX238" s="114"/>
      <c r="AY238" s="67"/>
      <c r="AZ238" s="69"/>
      <c r="BA238" s="69"/>
      <c r="BB238" s="69"/>
      <c r="BC238" s="69"/>
      <c r="BD238" s="69"/>
      <c r="BE238" s="69"/>
      <c r="BF238" s="69"/>
      <c r="BG238" s="69"/>
      <c r="BH238" s="69"/>
      <c r="BI238" s="69"/>
      <c r="BJ238" s="69"/>
      <c r="BK238" s="114"/>
      <c r="BL238" s="115"/>
      <c r="BM238" s="69"/>
      <c r="BN238" s="213"/>
      <c r="BO238" s="69"/>
      <c r="BP238" s="69"/>
      <c r="BQ238" s="69"/>
      <c r="BR238" s="69"/>
      <c r="BS238" s="69"/>
      <c r="BT238" s="69"/>
      <c r="BU238" s="69"/>
      <c r="BV238" s="69"/>
      <c r="BW238" s="69"/>
      <c r="BX238" s="100"/>
      <c r="BY238" s="69"/>
      <c r="BZ238" s="68">
        <f>-16643.21</f>
        <v>-16643.21</v>
      </c>
      <c r="CA238" s="216"/>
      <c r="CB238" s="74"/>
      <c r="CC238" s="74"/>
      <c r="CD238" s="74"/>
      <c r="CG238" s="66">
        <f>-3718.33</f>
        <v>-3718.33</v>
      </c>
      <c r="CH238" s="83"/>
      <c r="CI238" s="83"/>
      <c r="CJ238" s="83"/>
      <c r="CK238" s="100">
        <f t="shared" si="652"/>
        <v>-20361.54</v>
      </c>
      <c r="CL238" s="100">
        <f>5093.55/2</f>
        <v>2546.7750000000001</v>
      </c>
      <c r="CM238" s="83"/>
      <c r="CN238" s="109"/>
      <c r="CO238" s="109"/>
      <c r="CP238" s="83"/>
      <c r="CQ238" s="83"/>
      <c r="CR238" s="83"/>
      <c r="CS238" s="83"/>
      <c r="CT238" s="83"/>
      <c r="CU238" s="83"/>
      <c r="CV238" s="83"/>
      <c r="CW238" s="83"/>
      <c r="CX238" s="83"/>
      <c r="CY238" s="100">
        <f t="shared" si="650"/>
        <v>0</v>
      </c>
      <c r="DL238" s="100">
        <f t="shared" si="651"/>
        <v>0</v>
      </c>
    </row>
    <row r="239" spans="2:116">
      <c r="B239" s="1" t="s">
        <v>384</v>
      </c>
      <c r="C239" s="136"/>
      <c r="D239" s="136"/>
      <c r="E239" s="136"/>
      <c r="F239" s="136"/>
      <c r="G239" s="136"/>
      <c r="H239" s="136"/>
      <c r="I239" s="136"/>
      <c r="J239" s="136"/>
      <c r="K239" s="136"/>
      <c r="L239" s="136"/>
      <c r="M239" s="102"/>
      <c r="N239" s="102"/>
      <c r="O239" s="66"/>
      <c r="P239" s="75"/>
      <c r="Q239" s="75"/>
      <c r="R239" s="75"/>
      <c r="S239" s="75"/>
      <c r="T239" s="75"/>
      <c r="U239" s="75"/>
      <c r="V239" s="75"/>
      <c r="W239" s="75"/>
      <c r="X239" s="75"/>
      <c r="Y239" s="75"/>
      <c r="Z239" s="75"/>
      <c r="AA239" s="75"/>
      <c r="AB239" s="114"/>
      <c r="AC239" s="129"/>
      <c r="AD239" s="75"/>
      <c r="AE239" s="75"/>
      <c r="AF239" s="75"/>
      <c r="AG239" s="75"/>
      <c r="AH239" s="75"/>
      <c r="AI239" s="75"/>
      <c r="AJ239" s="75"/>
      <c r="AK239" s="83"/>
      <c r="AL239" s="75"/>
      <c r="AM239" s="75"/>
      <c r="AN239" s="75"/>
      <c r="AO239" s="75"/>
      <c r="AP239" s="75"/>
      <c r="AQ239" s="75"/>
      <c r="AR239" s="75"/>
      <c r="AS239" s="75"/>
      <c r="AT239" s="75"/>
      <c r="AU239" s="75"/>
      <c r="AV239" s="75"/>
      <c r="AW239" s="75"/>
      <c r="AX239" s="114"/>
      <c r="AY239" s="67"/>
      <c r="AZ239" s="69"/>
      <c r="BA239" s="69"/>
      <c r="BB239" s="69"/>
      <c r="BC239" s="69"/>
      <c r="BD239" s="69"/>
      <c r="BE239" s="69"/>
      <c r="BF239" s="69"/>
      <c r="BG239" s="69"/>
      <c r="BH239" s="69"/>
      <c r="BI239" s="69"/>
      <c r="BJ239" s="69"/>
      <c r="BK239" s="114"/>
      <c r="BL239" s="115"/>
      <c r="BM239" s="69"/>
      <c r="BN239" s="213"/>
      <c r="BO239" s="69"/>
      <c r="BP239" s="69"/>
      <c r="BQ239" s="69"/>
      <c r="BR239" s="69"/>
      <c r="BS239" s="69"/>
      <c r="BT239" s="69"/>
      <c r="BU239" s="69"/>
      <c r="BV239" s="69"/>
      <c r="BW239" s="69"/>
      <c r="BX239" s="100"/>
      <c r="BY239" s="69"/>
      <c r="BZ239" s="179"/>
      <c r="CA239" s="215"/>
      <c r="CB239" s="69"/>
      <c r="CC239" s="67">
        <f>2250*1.21</f>
        <v>2722.5</v>
      </c>
      <c r="CD239" s="74"/>
      <c r="CF239" s="83">
        <f>1334.03+852.38+1762.96+1766+851.24+3475*2*1.21</f>
        <v>14976.11</v>
      </c>
      <c r="CG239" s="83">
        <v>-18560</v>
      </c>
      <c r="CH239" s="83"/>
      <c r="CI239" s="83"/>
      <c r="CJ239" s="83"/>
      <c r="CK239" s="100">
        <f t="shared" si="652"/>
        <v>-861.38999999999942</v>
      </c>
      <c r="CL239" s="100"/>
      <c r="CM239" s="83"/>
      <c r="CN239" s="109"/>
      <c r="CO239" s="109"/>
      <c r="CP239" s="83"/>
      <c r="CQ239" s="83"/>
      <c r="CR239" s="83"/>
      <c r="CS239" s="83"/>
      <c r="CT239" s="83"/>
      <c r="CU239" s="83"/>
      <c r="CV239" s="83"/>
      <c r="CW239" s="83"/>
      <c r="CX239" s="83"/>
      <c r="CY239" s="100">
        <f t="shared" si="650"/>
        <v>0</v>
      </c>
      <c r="DL239" s="100">
        <f t="shared" si="651"/>
        <v>0</v>
      </c>
    </row>
    <row r="240" spans="2:116" ht="16.5">
      <c r="B240" s="319" t="s">
        <v>385</v>
      </c>
      <c r="C240" s="136"/>
      <c r="D240" s="136"/>
      <c r="E240" s="136"/>
      <c r="F240" s="136"/>
      <c r="G240" s="136"/>
      <c r="H240" s="136"/>
      <c r="I240" s="136"/>
      <c r="J240" s="136"/>
      <c r="K240" s="136"/>
      <c r="L240" s="136"/>
      <c r="M240" s="102"/>
      <c r="N240" s="102"/>
      <c r="O240" s="66"/>
      <c r="P240" s="75"/>
      <c r="Q240" s="75"/>
      <c r="R240" s="75"/>
      <c r="S240" s="75"/>
      <c r="T240" s="75"/>
      <c r="U240" s="75"/>
      <c r="V240" s="75"/>
      <c r="W240" s="75"/>
      <c r="X240" s="75"/>
      <c r="Y240" s="75"/>
      <c r="Z240" s="75"/>
      <c r="AA240" s="75"/>
      <c r="AB240" s="114"/>
      <c r="AC240" s="129"/>
      <c r="AD240" s="75"/>
      <c r="AE240" s="75"/>
      <c r="AF240" s="75"/>
      <c r="AG240" s="75"/>
      <c r="AH240" s="75"/>
      <c r="AI240" s="75"/>
      <c r="AJ240" s="75"/>
      <c r="AK240" s="83"/>
      <c r="AL240" s="75"/>
      <c r="AM240" s="75"/>
      <c r="AN240" s="75"/>
      <c r="AO240" s="75"/>
      <c r="AP240" s="75"/>
      <c r="AQ240" s="75"/>
      <c r="AR240" s="75"/>
      <c r="AS240" s="75"/>
      <c r="AT240" s="75"/>
      <c r="AU240" s="75"/>
      <c r="AV240" s="75"/>
      <c r="AW240" s="75"/>
      <c r="AX240" s="114"/>
      <c r="AY240" s="67"/>
      <c r="AZ240" s="69"/>
      <c r="BA240" s="69"/>
      <c r="BB240" s="69"/>
      <c r="BC240" s="69"/>
      <c r="BD240" s="69"/>
      <c r="BE240" s="69"/>
      <c r="BF240" s="69"/>
      <c r="BG240" s="69"/>
      <c r="BH240" s="69"/>
      <c r="BI240" s="69"/>
      <c r="BJ240" s="69"/>
      <c r="BK240" s="114"/>
      <c r="BL240" s="115"/>
      <c r="BM240" s="69"/>
      <c r="BN240" s="213"/>
      <c r="BO240" s="69"/>
      <c r="BP240" s="69"/>
      <c r="BQ240" s="69"/>
      <c r="BR240" s="69"/>
      <c r="BS240" s="69"/>
      <c r="BT240" s="69"/>
      <c r="BU240" s="69"/>
      <c r="BV240" s="69"/>
      <c r="BW240" s="69"/>
      <c r="BX240" s="100"/>
      <c r="BY240" s="329">
        <f t="shared" ref="BY240:CK240" si="657">SUM(BY216:BY239)</f>
        <v>48409.689999999995</v>
      </c>
      <c r="BZ240" s="329">
        <f t="shared" si="657"/>
        <v>182.90000000000146</v>
      </c>
      <c r="CA240" s="423">
        <f t="shared" si="657"/>
        <v>12842.545</v>
      </c>
      <c r="CB240" s="329">
        <f t="shared" si="657"/>
        <v>19276.699999999997</v>
      </c>
      <c r="CC240" s="329">
        <f t="shared" si="657"/>
        <v>15737.77</v>
      </c>
      <c r="CD240" s="329">
        <f t="shared" si="657"/>
        <v>9640.11</v>
      </c>
      <c r="CE240" s="331">
        <f>SUM(CE216:CE239)</f>
        <v>2143.8666666666668</v>
      </c>
      <c r="CF240" s="331">
        <f>SUM(CF216:CF239)</f>
        <v>19918.176666666666</v>
      </c>
      <c r="CG240" s="331">
        <f>SUM(CG216:CG239)</f>
        <v>-17623.903333333335</v>
      </c>
      <c r="CH240" s="331">
        <f t="shared" si="657"/>
        <v>4901.4066666666668</v>
      </c>
      <c r="CI240" s="331">
        <f t="shared" si="657"/>
        <v>9828.6166666666686</v>
      </c>
      <c r="CJ240" s="331">
        <f t="shared" si="657"/>
        <v>7118.3766666666661</v>
      </c>
      <c r="CK240" s="331">
        <f t="shared" si="657"/>
        <v>132376.255</v>
      </c>
      <c r="CL240" s="333"/>
      <c r="CM240" s="331">
        <f t="shared" ref="CM240:CY240" si="658">SUM(CM216:CM239)</f>
        <v>21692.531666666669</v>
      </c>
      <c r="CN240" s="331">
        <f t="shared" si="658"/>
        <v>1407.44</v>
      </c>
      <c r="CO240" s="331">
        <f t="shared" si="658"/>
        <v>2912.04</v>
      </c>
      <c r="CP240" s="331">
        <f t="shared" si="658"/>
        <v>1405.1200000000001</v>
      </c>
      <c r="CQ240" s="331">
        <f t="shared" si="658"/>
        <v>1889.2900000000002</v>
      </c>
      <c r="CR240" s="331">
        <f t="shared" si="658"/>
        <v>1249.1200000000001</v>
      </c>
      <c r="CS240" s="331">
        <f t="shared" si="658"/>
        <v>771.74</v>
      </c>
      <c r="CT240" s="331">
        <f t="shared" si="658"/>
        <v>768.53</v>
      </c>
      <c r="CU240" s="331">
        <f t="shared" si="658"/>
        <v>2191.64</v>
      </c>
      <c r="CV240" s="331">
        <f t="shared" si="658"/>
        <v>762.07</v>
      </c>
      <c r="CW240" s="331">
        <f t="shared" si="658"/>
        <v>758.83</v>
      </c>
      <c r="CX240" s="331">
        <f t="shared" si="658"/>
        <v>5420.57</v>
      </c>
      <c r="CY240" s="333">
        <f t="shared" si="658"/>
        <v>41228.921666666676</v>
      </c>
      <c r="DL240" s="333">
        <f t="shared" ref="DL240" si="659">SUM(DL216:DL239)</f>
        <v>-154399.72</v>
      </c>
    </row>
    <row r="241" spans="2:116">
      <c r="C241" s="136"/>
      <c r="D241" s="136"/>
      <c r="E241" s="136"/>
      <c r="F241" s="136"/>
      <c r="G241" s="136"/>
      <c r="H241" s="136"/>
      <c r="I241" s="136"/>
      <c r="J241" s="136"/>
      <c r="K241" s="136"/>
      <c r="L241" s="136"/>
      <c r="M241" s="102"/>
      <c r="N241" s="102"/>
      <c r="O241" s="66"/>
      <c r="P241" s="75"/>
      <c r="Q241" s="75"/>
      <c r="R241" s="75"/>
      <c r="S241" s="75"/>
      <c r="T241" s="75"/>
      <c r="U241" s="75"/>
      <c r="V241" s="75"/>
      <c r="W241" s="75"/>
      <c r="X241" s="75"/>
      <c r="Y241" s="75"/>
      <c r="Z241" s="75"/>
      <c r="AA241" s="75"/>
      <c r="AB241" s="114"/>
      <c r="AC241" s="129"/>
      <c r="AD241" s="75"/>
      <c r="AE241" s="75"/>
      <c r="AF241" s="75"/>
      <c r="AG241" s="75"/>
      <c r="AH241" s="75"/>
      <c r="AI241" s="75"/>
      <c r="AJ241" s="75"/>
      <c r="AK241" s="83"/>
      <c r="AL241" s="75"/>
      <c r="AM241" s="75"/>
      <c r="AN241" s="75"/>
      <c r="AO241" s="75"/>
      <c r="AP241" s="75"/>
      <c r="AQ241" s="75"/>
      <c r="AR241" s="75"/>
      <c r="AS241" s="75"/>
      <c r="AT241" s="75"/>
      <c r="AU241" s="75"/>
      <c r="AV241" s="75"/>
      <c r="AW241" s="75"/>
      <c r="AX241" s="114"/>
      <c r="AY241" s="67"/>
      <c r="AZ241" s="69"/>
      <c r="BA241" s="69"/>
      <c r="BB241" s="69"/>
      <c r="BC241" s="69"/>
      <c r="BD241" s="69"/>
      <c r="BE241" s="69"/>
      <c r="BF241" s="69"/>
      <c r="BG241" s="69"/>
      <c r="BH241" s="69"/>
      <c r="BI241" s="69"/>
      <c r="BJ241" s="69"/>
      <c r="BK241" s="114"/>
      <c r="BL241" s="115"/>
      <c r="BM241" s="69"/>
      <c r="BN241" s="213"/>
      <c r="BO241" s="69"/>
      <c r="BP241" s="69"/>
      <c r="BQ241" s="69"/>
      <c r="BR241" s="69"/>
      <c r="BS241" s="69"/>
      <c r="BT241" s="69"/>
      <c r="BU241" s="69"/>
      <c r="BV241" s="69"/>
      <c r="BW241" s="69"/>
      <c r="BX241" s="100"/>
      <c r="BY241" s="69"/>
      <c r="BZ241" s="69"/>
      <c r="CA241" s="213"/>
      <c r="CB241" s="69"/>
      <c r="CC241" s="69"/>
      <c r="CD241" s="69"/>
      <c r="CE241" s="83"/>
      <c r="CF241" s="83"/>
      <c r="CG241" s="83"/>
      <c r="CH241" s="83"/>
      <c r="CI241" s="83"/>
      <c r="CJ241" s="83"/>
      <c r="CK241" s="100"/>
      <c r="CL241" s="130"/>
      <c r="CM241" s="83"/>
      <c r="CN241" s="83"/>
      <c r="CO241" s="83"/>
      <c r="CP241" s="83"/>
      <c r="CQ241" s="83"/>
      <c r="CR241" s="83"/>
      <c r="CS241" s="83"/>
      <c r="CT241" s="83"/>
      <c r="CU241" s="83"/>
      <c r="CV241" s="83"/>
      <c r="CW241" s="83"/>
      <c r="CX241" s="83"/>
      <c r="CY241" s="100"/>
      <c r="DL241" s="100"/>
    </row>
    <row r="242" spans="2:116">
      <c r="B242" s="320" t="s">
        <v>388</v>
      </c>
      <c r="C242" s="136"/>
      <c r="D242" s="136"/>
      <c r="E242" s="136"/>
      <c r="F242" s="136"/>
      <c r="G242" s="136"/>
      <c r="H242" s="136"/>
      <c r="I242" s="136"/>
      <c r="J242" s="136"/>
      <c r="K242" s="136"/>
      <c r="L242" s="136"/>
      <c r="M242" s="102"/>
      <c r="N242" s="102"/>
      <c r="O242" s="66"/>
      <c r="P242" s="75"/>
      <c r="Q242" s="75"/>
      <c r="R242" s="75"/>
      <c r="S242" s="75"/>
      <c r="T242" s="75"/>
      <c r="U242" s="75"/>
      <c r="V242" s="75"/>
      <c r="W242" s="75"/>
      <c r="X242" s="75"/>
      <c r="Y242" s="75"/>
      <c r="Z242" s="75"/>
      <c r="AA242" s="75"/>
      <c r="AB242" s="114"/>
      <c r="AC242" s="129"/>
      <c r="AD242" s="75"/>
      <c r="AE242" s="75"/>
      <c r="AF242" s="75"/>
      <c r="AG242" s="75"/>
      <c r="AH242" s="75"/>
      <c r="AI242" s="75"/>
      <c r="AJ242" s="75"/>
      <c r="AK242" s="83"/>
      <c r="AL242" s="75"/>
      <c r="AM242" s="75"/>
      <c r="AN242" s="75"/>
      <c r="AO242" s="75"/>
      <c r="AP242" s="75"/>
      <c r="AQ242" s="75"/>
      <c r="AR242" s="75"/>
      <c r="AS242" s="75"/>
      <c r="AT242" s="75"/>
      <c r="AU242" s="75"/>
      <c r="AV242" s="75"/>
      <c r="AW242" s="75"/>
      <c r="AX242" s="114"/>
      <c r="AY242" s="67"/>
      <c r="AZ242" s="69"/>
      <c r="BA242" s="69"/>
      <c r="BB242" s="69"/>
      <c r="BC242" s="69"/>
      <c r="BD242" s="69"/>
      <c r="BE242" s="69"/>
      <c r="BF242" s="69"/>
      <c r="BG242" s="69"/>
      <c r="BH242" s="69"/>
      <c r="BI242" s="69"/>
      <c r="BJ242" s="69"/>
      <c r="BK242" s="114"/>
      <c r="BL242" s="115"/>
      <c r="BM242" s="69"/>
      <c r="BN242" s="213"/>
      <c r="BO242" s="69"/>
      <c r="BP242" s="69"/>
      <c r="BQ242" s="69"/>
      <c r="BR242" s="69"/>
      <c r="BS242" s="69"/>
      <c r="BT242" s="69"/>
      <c r="BU242" s="69"/>
      <c r="BV242" s="69"/>
      <c r="BW242" s="69"/>
      <c r="BX242" s="100"/>
      <c r="BY242" s="69">
        <v>-806887.01</v>
      </c>
      <c r="BZ242" s="69">
        <f>BY245</f>
        <v>-856938.11</v>
      </c>
      <c r="CA242" s="213">
        <f>BZ245</f>
        <v>-858576.15</v>
      </c>
      <c r="CB242" s="69">
        <f t="shared" ref="CB242:CJ242" si="660">CA245</f>
        <v>-884170.58499999996</v>
      </c>
      <c r="CC242" s="69">
        <f t="shared" si="660"/>
        <v>-897502.41299999994</v>
      </c>
      <c r="CD242" s="69">
        <f t="shared" si="660"/>
        <v>-927253.02299999993</v>
      </c>
      <c r="CE242" s="83">
        <f t="shared" si="660"/>
        <v>-963330.93299999996</v>
      </c>
      <c r="CF242" s="83">
        <f t="shared" si="660"/>
        <v>-976016.50966666662</v>
      </c>
      <c r="CG242" s="83">
        <f t="shared" si="660"/>
        <v>-972180.88633333321</v>
      </c>
      <c r="CH242" s="83">
        <f t="shared" si="660"/>
        <v>-954556.98299999989</v>
      </c>
      <c r="CI242" s="83">
        <f t="shared" si="660"/>
        <v>-959458.38966666651</v>
      </c>
      <c r="CJ242" s="83">
        <f t="shared" si="660"/>
        <v>-969287.00633333321</v>
      </c>
      <c r="CK242" s="100">
        <f>BY242</f>
        <v>-806887.01</v>
      </c>
      <c r="CL242" s="130"/>
      <c r="CM242" s="83">
        <f>CK245</f>
        <v>-976405.38299999991</v>
      </c>
      <c r="CN242" s="83">
        <f t="shared" ref="CN242" si="661">CM245</f>
        <v>-998097.91466666653</v>
      </c>
      <c r="CO242" s="83">
        <f t="shared" ref="CO242" si="662">CN245</f>
        <v>-999505.35466666648</v>
      </c>
      <c r="CP242" s="83">
        <f t="shared" ref="CP242" si="663">CO245</f>
        <v>-1002417.3946666665</v>
      </c>
      <c r="CQ242" s="83">
        <f t="shared" ref="CQ242" si="664">CP245</f>
        <v>-1003822.5146666665</v>
      </c>
      <c r="CR242" s="83">
        <f t="shared" ref="CR242" si="665">CQ245</f>
        <v>-1005711.8046666665</v>
      </c>
      <c r="CS242" s="83">
        <f t="shared" ref="CS242" si="666">CR245</f>
        <v>-1006960.9246666665</v>
      </c>
      <c r="CT242" s="83">
        <f t="shared" ref="CT242" si="667">CS245</f>
        <v>-1007732.6646666665</v>
      </c>
      <c r="CU242" s="83">
        <f t="shared" ref="CU242" si="668">CT245</f>
        <v>-1008501.1946666666</v>
      </c>
      <c r="CV242" s="83">
        <f t="shared" ref="CV242" si="669">CU245</f>
        <v>-1010692.8346666666</v>
      </c>
      <c r="CW242" s="83">
        <f t="shared" ref="CW242" si="670">CV245</f>
        <v>-1011454.9046666665</v>
      </c>
      <c r="CX242" s="83">
        <f t="shared" ref="CX242" si="671">CW245</f>
        <v>-1012213.7346666665</v>
      </c>
      <c r="CY242" s="100">
        <f>CM242</f>
        <v>-976405.38299999991</v>
      </c>
      <c r="DL242" s="100">
        <f>CZ242</f>
        <v>0</v>
      </c>
    </row>
    <row r="243" spans="2:116">
      <c r="B243" s="320" t="s">
        <v>389</v>
      </c>
      <c r="C243" s="136"/>
      <c r="D243" s="136"/>
      <c r="E243" s="136"/>
      <c r="F243" s="136"/>
      <c r="G243" s="136"/>
      <c r="H243" s="136"/>
      <c r="I243" s="136"/>
      <c r="J243" s="136"/>
      <c r="K243" s="136"/>
      <c r="L243" s="136"/>
      <c r="M243" s="102"/>
      <c r="N243" s="102"/>
      <c r="O243" s="66"/>
      <c r="P243" s="75"/>
      <c r="Q243" s="75"/>
      <c r="R243" s="75"/>
      <c r="S243" s="75"/>
      <c r="T243" s="75"/>
      <c r="U243" s="75"/>
      <c r="V243" s="75"/>
      <c r="W243" s="75"/>
      <c r="X243" s="75"/>
      <c r="Y243" s="75"/>
      <c r="Z243" s="75"/>
      <c r="AA243" s="75"/>
      <c r="AB243" s="114"/>
      <c r="AC243" s="129"/>
      <c r="AD243" s="75"/>
      <c r="AE243" s="75"/>
      <c r="AF243" s="75"/>
      <c r="AG243" s="75"/>
      <c r="AH243" s="75"/>
      <c r="AI243" s="75"/>
      <c r="AJ243" s="75"/>
      <c r="AK243" s="83"/>
      <c r="AL243" s="75"/>
      <c r="AM243" s="75"/>
      <c r="AN243" s="75"/>
      <c r="AO243" s="75"/>
      <c r="AP243" s="75"/>
      <c r="AQ243" s="75"/>
      <c r="AR243" s="75"/>
      <c r="AS243" s="75"/>
      <c r="AT243" s="75"/>
      <c r="AU243" s="75"/>
      <c r="AV243" s="75"/>
      <c r="AW243" s="75"/>
      <c r="AX243" s="114"/>
      <c r="AY243" s="67"/>
      <c r="AZ243" s="69"/>
      <c r="BA243" s="69"/>
      <c r="BB243" s="69"/>
      <c r="BC243" s="69"/>
      <c r="BD243" s="69"/>
      <c r="BE243" s="69"/>
      <c r="BF243" s="69"/>
      <c r="BG243" s="69"/>
      <c r="BH243" s="69"/>
      <c r="BI243" s="69"/>
      <c r="BJ243" s="69"/>
      <c r="BK243" s="114"/>
      <c r="BL243" s="115"/>
      <c r="BM243" s="69"/>
      <c r="BN243" s="213"/>
      <c r="BO243" s="69"/>
      <c r="BP243" s="69"/>
      <c r="BQ243" s="69"/>
      <c r="BR243" s="69"/>
      <c r="BS243" s="69"/>
      <c r="BT243" s="69"/>
      <c r="BU243" s="69"/>
      <c r="BV243" s="69"/>
      <c r="BW243" s="69"/>
      <c r="BX243" s="100"/>
      <c r="BY243" s="69">
        <f t="shared" ref="BY243:CJ243" si="672">BY199</f>
        <v>2277.0300000000002</v>
      </c>
      <c r="BZ243" s="69">
        <f t="shared" si="672"/>
        <v>0</v>
      </c>
      <c r="CA243" s="213">
        <f t="shared" si="672"/>
        <v>0</v>
      </c>
      <c r="CB243" s="69">
        <f t="shared" si="672"/>
        <v>0</v>
      </c>
      <c r="CC243" s="69">
        <f t="shared" si="672"/>
        <v>509.17</v>
      </c>
      <c r="CD243" s="69">
        <f t="shared" si="672"/>
        <v>134.58000000000001</v>
      </c>
      <c r="CE243" s="83">
        <f t="shared" si="672"/>
        <v>0</v>
      </c>
      <c r="CF243" s="83">
        <f t="shared" si="672"/>
        <v>737.53</v>
      </c>
      <c r="CG243" s="83">
        <f t="shared" si="672"/>
        <v>0</v>
      </c>
      <c r="CH243" s="83">
        <f t="shared" si="672"/>
        <v>0</v>
      </c>
      <c r="CI243" s="83">
        <f t="shared" si="672"/>
        <v>0</v>
      </c>
      <c r="CJ243" s="83">
        <f t="shared" si="672"/>
        <v>0</v>
      </c>
      <c r="CK243" s="100">
        <f>SUM(BY243:CJ243)</f>
        <v>3658.3100000000004</v>
      </c>
      <c r="CL243" s="130"/>
      <c r="CM243" s="83">
        <f t="shared" ref="CM243:CX243" si="673">CM199</f>
        <v>0</v>
      </c>
      <c r="CN243" s="83">
        <f t="shared" si="673"/>
        <v>0</v>
      </c>
      <c r="CO243" s="83">
        <f t="shared" si="673"/>
        <v>0</v>
      </c>
      <c r="CP243" s="83">
        <f t="shared" si="673"/>
        <v>0</v>
      </c>
      <c r="CQ243" s="83">
        <f t="shared" si="673"/>
        <v>0</v>
      </c>
      <c r="CR243" s="83">
        <f t="shared" si="673"/>
        <v>0</v>
      </c>
      <c r="CS243" s="83">
        <f t="shared" si="673"/>
        <v>0</v>
      </c>
      <c r="CT243" s="83">
        <f t="shared" si="673"/>
        <v>0</v>
      </c>
      <c r="CU243" s="83">
        <f t="shared" si="673"/>
        <v>0</v>
      </c>
      <c r="CV243" s="83">
        <f t="shared" si="673"/>
        <v>0</v>
      </c>
      <c r="CW243" s="83">
        <f t="shared" si="673"/>
        <v>0</v>
      </c>
      <c r="CX243" s="83">
        <f t="shared" si="673"/>
        <v>0</v>
      </c>
      <c r="CY243" s="100">
        <f>SUM(CM243:CX243)</f>
        <v>0</v>
      </c>
      <c r="DL243" s="100">
        <f>SUM(CZ243:DK243)</f>
        <v>0</v>
      </c>
    </row>
    <row r="244" spans="2:116" ht="15.75" thickBot="1">
      <c r="B244" s="320" t="s">
        <v>390</v>
      </c>
      <c r="C244" s="136"/>
      <c r="D244" s="136"/>
      <c r="E244" s="136"/>
      <c r="F244" s="136"/>
      <c r="G244" s="136"/>
      <c r="H244" s="136"/>
      <c r="I244" s="136"/>
      <c r="J244" s="136"/>
      <c r="K244" s="136"/>
      <c r="L244" s="136"/>
      <c r="M244" s="102"/>
      <c r="N244" s="102"/>
      <c r="O244" s="66"/>
      <c r="P244" s="75"/>
      <c r="Q244" s="75"/>
      <c r="R244" s="75"/>
      <c r="S244" s="75"/>
      <c r="T244" s="75"/>
      <c r="U244" s="75"/>
      <c r="V244" s="75"/>
      <c r="W244" s="75"/>
      <c r="X244" s="75"/>
      <c r="Y244" s="75"/>
      <c r="Z244" s="75"/>
      <c r="AA244" s="75"/>
      <c r="AB244" s="114"/>
      <c r="AC244" s="129"/>
      <c r="AD244" s="75"/>
      <c r="AE244" s="75"/>
      <c r="AF244" s="75"/>
      <c r="AG244" s="75"/>
      <c r="AH244" s="75"/>
      <c r="AI244" s="75"/>
      <c r="AJ244" s="75"/>
      <c r="AK244" s="83"/>
      <c r="AL244" s="75"/>
      <c r="AM244" s="75"/>
      <c r="AN244" s="75"/>
      <c r="AO244" s="75"/>
      <c r="AP244" s="75"/>
      <c r="AQ244" s="75"/>
      <c r="AR244" s="75"/>
      <c r="AS244" s="75"/>
      <c r="AT244" s="75"/>
      <c r="AU244" s="75"/>
      <c r="AV244" s="75"/>
      <c r="AW244" s="75"/>
      <c r="AX244" s="114"/>
      <c r="AY244" s="67"/>
      <c r="AZ244" s="69"/>
      <c r="BA244" s="69"/>
      <c r="BB244" s="69"/>
      <c r="BC244" s="69"/>
      <c r="BD244" s="69"/>
      <c r="BE244" s="69"/>
      <c r="BF244" s="69"/>
      <c r="BG244" s="69"/>
      <c r="BH244" s="69"/>
      <c r="BI244" s="69"/>
      <c r="BJ244" s="69"/>
      <c r="BK244" s="114"/>
      <c r="BL244" s="115"/>
      <c r="BM244" s="69"/>
      <c r="BN244" s="213"/>
      <c r="BO244" s="69"/>
      <c r="BP244" s="69"/>
      <c r="BQ244" s="69"/>
      <c r="BR244" s="69"/>
      <c r="BS244" s="69"/>
      <c r="BT244" s="69"/>
      <c r="BU244" s="69"/>
      <c r="BV244" s="69"/>
      <c r="BW244" s="69"/>
      <c r="BX244" s="100"/>
      <c r="BY244" s="69">
        <f t="shared" ref="BY244:CJ244" si="674">-(BY212+BY240)</f>
        <v>-52328.13</v>
      </c>
      <c r="BZ244" s="69">
        <f t="shared" si="674"/>
        <v>-1638.0400000000016</v>
      </c>
      <c r="CA244" s="213">
        <f t="shared" si="674"/>
        <v>-25594.434999999998</v>
      </c>
      <c r="CB244" s="69">
        <f t="shared" si="674"/>
        <v>-13331.827999999998</v>
      </c>
      <c r="CC244" s="69">
        <f t="shared" si="674"/>
        <v>-30259.780000000002</v>
      </c>
      <c r="CD244" s="69">
        <f t="shared" si="674"/>
        <v>-36212.490000000005</v>
      </c>
      <c r="CE244" s="83">
        <f t="shared" si="674"/>
        <v>-12685.576666666664</v>
      </c>
      <c r="CF244" s="83">
        <f t="shared" si="674"/>
        <v>3098.0933333333305</v>
      </c>
      <c r="CG244" s="83">
        <f t="shared" si="674"/>
        <v>17623.903333333335</v>
      </c>
      <c r="CH244" s="83">
        <f t="shared" si="674"/>
        <v>-4901.4066666666668</v>
      </c>
      <c r="CI244" s="83">
        <f t="shared" si="674"/>
        <v>-9828.6166666666686</v>
      </c>
      <c r="CJ244" s="83">
        <f t="shared" si="674"/>
        <v>-7118.3766666666661</v>
      </c>
      <c r="CK244" s="100">
        <f>SUM(BY244:CJ244)</f>
        <v>-173176.68300000002</v>
      </c>
      <c r="CL244" s="130"/>
      <c r="CM244" s="83">
        <f t="shared" ref="CM244:CX244" si="675">-(CM212+CM240)</f>
        <v>-21692.531666666669</v>
      </c>
      <c r="CN244" s="83">
        <f t="shared" si="675"/>
        <v>-1407.44</v>
      </c>
      <c r="CO244" s="83">
        <f t="shared" si="675"/>
        <v>-2912.04</v>
      </c>
      <c r="CP244" s="83">
        <f t="shared" si="675"/>
        <v>-1405.1200000000001</v>
      </c>
      <c r="CQ244" s="83">
        <f t="shared" si="675"/>
        <v>-1889.2900000000002</v>
      </c>
      <c r="CR244" s="83">
        <f t="shared" si="675"/>
        <v>-1249.1200000000001</v>
      </c>
      <c r="CS244" s="83">
        <f t="shared" si="675"/>
        <v>-771.74</v>
      </c>
      <c r="CT244" s="83">
        <f t="shared" si="675"/>
        <v>-768.53</v>
      </c>
      <c r="CU244" s="83">
        <f t="shared" si="675"/>
        <v>-2191.64</v>
      </c>
      <c r="CV244" s="83">
        <f t="shared" si="675"/>
        <v>-762.07</v>
      </c>
      <c r="CW244" s="83">
        <f t="shared" si="675"/>
        <v>-758.83</v>
      </c>
      <c r="CX244" s="83">
        <f t="shared" si="675"/>
        <v>-5420.57</v>
      </c>
      <c r="CY244" s="100">
        <f>SUM(CM244:CX244)</f>
        <v>-41228.921666666669</v>
      </c>
      <c r="DL244" s="100">
        <f>SUM(CZ244:DK244)</f>
        <v>0</v>
      </c>
    </row>
    <row r="245" spans="2:116" s="43" customFormat="1" ht="17.25" thickBot="1">
      <c r="B245" s="424" t="s">
        <v>436</v>
      </c>
      <c r="C245" s="425"/>
      <c r="D245" s="425"/>
      <c r="E245" s="425"/>
      <c r="F245" s="425"/>
      <c r="G245" s="425"/>
      <c r="H245" s="425"/>
      <c r="I245" s="425"/>
      <c r="J245" s="425"/>
      <c r="K245" s="425"/>
      <c r="L245" s="425"/>
      <c r="M245" s="426"/>
      <c r="N245" s="426"/>
      <c r="O245" s="427"/>
      <c r="P245" s="401"/>
      <c r="Q245" s="401"/>
      <c r="R245" s="401"/>
      <c r="S245" s="401"/>
      <c r="T245" s="401"/>
      <c r="U245" s="401"/>
      <c r="V245" s="401"/>
      <c r="W245" s="401"/>
      <c r="X245" s="401"/>
      <c r="Y245" s="401"/>
      <c r="Z245" s="401"/>
      <c r="AA245" s="401"/>
      <c r="AB245" s="403"/>
      <c r="AC245" s="404"/>
      <c r="AD245" s="401"/>
      <c r="AE245" s="401"/>
      <c r="AF245" s="401"/>
      <c r="AG245" s="401"/>
      <c r="AH245" s="401"/>
      <c r="AI245" s="401"/>
      <c r="AJ245" s="401"/>
      <c r="AK245" s="428"/>
      <c r="AL245" s="401"/>
      <c r="AM245" s="401"/>
      <c r="AN245" s="401"/>
      <c r="AO245" s="401"/>
      <c r="AP245" s="401"/>
      <c r="AQ245" s="401"/>
      <c r="AR245" s="401"/>
      <c r="AS245" s="401"/>
      <c r="AT245" s="401"/>
      <c r="AU245" s="401"/>
      <c r="AV245" s="401"/>
      <c r="AW245" s="401"/>
      <c r="AX245" s="403"/>
      <c r="AY245" s="209"/>
      <c r="AZ245" s="407"/>
      <c r="BA245" s="407"/>
      <c r="BB245" s="407"/>
      <c r="BC245" s="407"/>
      <c r="BD245" s="407"/>
      <c r="BE245" s="407"/>
      <c r="BF245" s="407"/>
      <c r="BG245" s="407"/>
      <c r="BH245" s="407"/>
      <c r="BI245" s="407"/>
      <c r="BJ245" s="407"/>
      <c r="BK245" s="403"/>
      <c r="BL245" s="406"/>
      <c r="BM245" s="407"/>
      <c r="BN245" s="429"/>
      <c r="BO245" s="407"/>
      <c r="BP245" s="407"/>
      <c r="BQ245" s="407"/>
      <c r="BR245" s="407"/>
      <c r="BS245" s="407"/>
      <c r="BT245" s="407"/>
      <c r="BU245" s="407"/>
      <c r="BV245" s="407"/>
      <c r="BW245" s="407"/>
      <c r="BX245" s="405"/>
      <c r="BY245" s="462">
        <f>SUM(BY242:BY244)</f>
        <v>-856938.11</v>
      </c>
      <c r="BZ245" s="458">
        <f>SUM(BZ242:BZ244)</f>
        <v>-858576.15</v>
      </c>
      <c r="CA245" s="468">
        <f t="shared" ref="CA245:CJ245" si="676">SUM(CA242:CA244)</f>
        <v>-884170.58499999996</v>
      </c>
      <c r="CB245" s="458">
        <f t="shared" si="676"/>
        <v>-897502.41299999994</v>
      </c>
      <c r="CC245" s="458">
        <f t="shared" si="676"/>
        <v>-927253.02299999993</v>
      </c>
      <c r="CD245" s="458">
        <f t="shared" si="676"/>
        <v>-963330.93299999996</v>
      </c>
      <c r="CE245" s="430">
        <f t="shared" si="676"/>
        <v>-976016.50966666662</v>
      </c>
      <c r="CF245" s="430">
        <f t="shared" si="676"/>
        <v>-972180.88633333321</v>
      </c>
      <c r="CG245" s="430">
        <f t="shared" si="676"/>
        <v>-954556.98299999989</v>
      </c>
      <c r="CH245" s="430">
        <f t="shared" si="676"/>
        <v>-959458.38966666651</v>
      </c>
      <c r="CI245" s="430">
        <f t="shared" si="676"/>
        <v>-969287.00633333321</v>
      </c>
      <c r="CJ245" s="430">
        <f t="shared" si="676"/>
        <v>-976405.38299999991</v>
      </c>
      <c r="CK245" s="431">
        <f>SUM(CK242:CK244)</f>
        <v>-976405.38299999991</v>
      </c>
      <c r="CL245" s="432"/>
      <c r="CM245" s="430">
        <f t="shared" ref="CM245:CX245" si="677">SUM(CM242:CM244)</f>
        <v>-998097.91466666653</v>
      </c>
      <c r="CN245" s="430">
        <f t="shared" si="677"/>
        <v>-999505.35466666648</v>
      </c>
      <c r="CO245" s="430">
        <f t="shared" si="677"/>
        <v>-1002417.3946666665</v>
      </c>
      <c r="CP245" s="430">
        <f t="shared" si="677"/>
        <v>-1003822.5146666665</v>
      </c>
      <c r="CQ245" s="430">
        <f t="shared" si="677"/>
        <v>-1005711.8046666665</v>
      </c>
      <c r="CR245" s="430">
        <f t="shared" si="677"/>
        <v>-1006960.9246666665</v>
      </c>
      <c r="CS245" s="430">
        <f t="shared" si="677"/>
        <v>-1007732.6646666665</v>
      </c>
      <c r="CT245" s="430">
        <f t="shared" si="677"/>
        <v>-1008501.1946666666</v>
      </c>
      <c r="CU245" s="430">
        <f t="shared" si="677"/>
        <v>-1010692.8346666666</v>
      </c>
      <c r="CV245" s="430">
        <f t="shared" si="677"/>
        <v>-1011454.9046666665</v>
      </c>
      <c r="CW245" s="430">
        <f t="shared" si="677"/>
        <v>-1012213.7346666665</v>
      </c>
      <c r="CX245" s="430">
        <f t="shared" si="677"/>
        <v>-1017634.3046666664</v>
      </c>
      <c r="CY245" s="431">
        <f>SUM(CY242:CY244)</f>
        <v>-1017634.3046666665</v>
      </c>
      <c r="DL245" s="431">
        <f>SUM(DL242:DL244)</f>
        <v>0</v>
      </c>
    </row>
    <row r="246" spans="2:116">
      <c r="B246" s="152" t="s">
        <v>391</v>
      </c>
      <c r="C246" s="136"/>
      <c r="D246" s="136"/>
      <c r="E246" s="136"/>
      <c r="F246" s="136"/>
      <c r="G246" s="136"/>
      <c r="H246" s="136"/>
      <c r="I246" s="136"/>
      <c r="J246" s="136"/>
      <c r="K246" s="136"/>
      <c r="L246" s="136"/>
      <c r="M246" s="102"/>
      <c r="N246" s="102"/>
      <c r="O246" s="66"/>
      <c r="P246" s="75"/>
      <c r="Q246" s="75"/>
      <c r="R246" s="75"/>
      <c r="S246" s="75"/>
      <c r="T246" s="75"/>
      <c r="U246" s="75"/>
      <c r="V246" s="75"/>
      <c r="W246" s="75"/>
      <c r="X246" s="75"/>
      <c r="Y246" s="75"/>
      <c r="Z246" s="75"/>
      <c r="AA246" s="75"/>
      <c r="AB246" s="114"/>
      <c r="AC246" s="129"/>
      <c r="AD246" s="75"/>
      <c r="AE246" s="75"/>
      <c r="AF246" s="75"/>
      <c r="AG246" s="75"/>
      <c r="AH246" s="75"/>
      <c r="AI246" s="75"/>
      <c r="AJ246" s="75"/>
      <c r="AK246" s="83"/>
      <c r="AL246" s="75"/>
      <c r="AM246" s="75"/>
      <c r="AN246" s="75"/>
      <c r="AO246" s="75"/>
      <c r="AP246" s="75"/>
      <c r="AQ246" s="75"/>
      <c r="AR246" s="75"/>
      <c r="AS246" s="75"/>
      <c r="AT246" s="75"/>
      <c r="AU246" s="75"/>
      <c r="AV246" s="75"/>
      <c r="AW246" s="75"/>
      <c r="AX246" s="114"/>
      <c r="AY246" s="67"/>
      <c r="AZ246" s="69"/>
      <c r="BA246" s="69"/>
      <c r="BB246" s="69"/>
      <c r="BC246" s="69"/>
      <c r="BD246" s="69"/>
      <c r="BE246" s="69"/>
      <c r="BF246" s="69"/>
      <c r="BG246" s="69"/>
      <c r="BH246" s="69"/>
      <c r="BI246" s="69"/>
      <c r="BJ246" s="69"/>
      <c r="BK246" s="114"/>
      <c r="BL246" s="115"/>
      <c r="BM246" s="69"/>
      <c r="BN246" s="213"/>
      <c r="BO246" s="69"/>
      <c r="BP246" s="69"/>
      <c r="BQ246" s="69"/>
      <c r="BR246" s="69"/>
      <c r="BS246" s="69"/>
      <c r="BT246" s="69"/>
      <c r="BU246" s="69"/>
      <c r="BV246" s="69"/>
      <c r="BW246" s="69"/>
      <c r="BX246" s="100"/>
      <c r="BY246" s="69"/>
      <c r="BZ246" s="69"/>
      <c r="CA246" s="213"/>
      <c r="CB246" s="69"/>
      <c r="CC246" s="69"/>
      <c r="CD246" s="69"/>
      <c r="CE246" s="83"/>
      <c r="CF246" s="83"/>
      <c r="CG246" s="83"/>
      <c r="CH246" s="83"/>
      <c r="CI246" s="83"/>
      <c r="CJ246" s="83"/>
      <c r="CK246" s="351"/>
      <c r="CL246" s="376"/>
      <c r="CY246" s="351"/>
      <c r="DL246" s="351"/>
    </row>
    <row r="247" spans="2:116" s="307" customFormat="1">
      <c r="C247" s="308"/>
      <c r="D247" s="308"/>
      <c r="E247" s="308"/>
      <c r="F247" s="308"/>
      <c r="G247" s="308"/>
      <c r="H247" s="308"/>
      <c r="I247" s="308"/>
      <c r="J247" s="308"/>
      <c r="K247" s="308"/>
      <c r="L247" s="308"/>
      <c r="M247" s="308"/>
      <c r="N247" s="308"/>
      <c r="O247" s="309"/>
      <c r="P247" s="310"/>
      <c r="Q247" s="310"/>
      <c r="R247" s="310"/>
      <c r="S247" s="310"/>
      <c r="T247" s="310"/>
      <c r="U247" s="310"/>
      <c r="V247" s="310"/>
      <c r="W247" s="310"/>
      <c r="X247" s="310"/>
      <c r="Y247" s="310"/>
      <c r="Z247" s="310"/>
      <c r="AA247" s="310"/>
      <c r="AB247" s="312"/>
      <c r="AC247" s="345"/>
      <c r="AD247" s="310"/>
      <c r="AE247" s="310"/>
      <c r="AF247" s="310"/>
      <c r="AG247" s="310"/>
      <c r="AH247" s="310"/>
      <c r="AI247" s="310"/>
      <c r="AJ247" s="310"/>
      <c r="AK247" s="311"/>
      <c r="AL247" s="310"/>
      <c r="AM247" s="310"/>
      <c r="AN247" s="310"/>
      <c r="AO247" s="310"/>
      <c r="AP247" s="310"/>
      <c r="AQ247" s="310"/>
      <c r="AR247" s="310"/>
      <c r="AS247" s="310"/>
      <c r="AT247" s="310"/>
      <c r="AU247" s="310"/>
      <c r="AV247" s="310"/>
      <c r="AW247" s="310"/>
      <c r="AX247" s="312"/>
      <c r="AY247" s="313"/>
      <c r="AZ247" s="311"/>
      <c r="BA247" s="311"/>
      <c r="BB247" s="311"/>
      <c r="BC247" s="311"/>
      <c r="BD247" s="311"/>
      <c r="BE247" s="311"/>
      <c r="BF247" s="311"/>
      <c r="BG247" s="311"/>
      <c r="BH247" s="311"/>
      <c r="BI247" s="311"/>
      <c r="BJ247" s="311"/>
      <c r="BK247" s="312"/>
      <c r="BL247" s="312"/>
      <c r="BM247" s="311"/>
      <c r="BN247" s="311"/>
      <c r="BO247" s="311"/>
      <c r="BP247" s="311"/>
      <c r="BQ247" s="311"/>
      <c r="BR247" s="311"/>
      <c r="BS247" s="311"/>
      <c r="BT247" s="311"/>
      <c r="BU247" s="311"/>
      <c r="BV247" s="311"/>
      <c r="BW247" s="311"/>
      <c r="BX247" s="100"/>
      <c r="BY247" s="311"/>
      <c r="BZ247" s="311"/>
      <c r="CA247" s="311"/>
      <c r="CB247" s="311"/>
      <c r="CC247" s="311"/>
      <c r="CD247" s="311"/>
      <c r="CE247" s="311"/>
      <c r="CF247" s="311"/>
      <c r="CG247" s="311"/>
      <c r="CH247" s="311"/>
      <c r="CI247" s="311"/>
      <c r="CJ247" s="311"/>
      <c r="CK247" s="314"/>
      <c r="CM247" s="311"/>
      <c r="CN247" s="311"/>
      <c r="CO247" s="311"/>
      <c r="CP247" s="311"/>
      <c r="CQ247" s="311"/>
      <c r="CR247" s="311"/>
      <c r="CS247" s="311"/>
      <c r="CT247" s="311"/>
      <c r="CU247" s="311"/>
      <c r="CV247" s="311"/>
      <c r="CW247" s="311"/>
      <c r="CX247" s="311"/>
      <c r="CY247" s="314"/>
      <c r="DL247" s="314"/>
    </row>
    <row r="248" spans="2:116">
      <c r="B248" s="321" t="s">
        <v>220</v>
      </c>
      <c r="C248" s="136"/>
      <c r="D248" s="136"/>
      <c r="E248" s="136"/>
      <c r="F248" s="136"/>
      <c r="G248" s="136"/>
      <c r="H248" s="136"/>
      <c r="I248" s="136"/>
      <c r="J248" s="136"/>
      <c r="K248" s="136"/>
      <c r="L248" s="136"/>
      <c r="M248" s="102"/>
      <c r="N248" s="102"/>
      <c r="O248" s="66"/>
      <c r="P248" s="75"/>
      <c r="Q248" s="75"/>
      <c r="R248" s="75"/>
      <c r="S248" s="75"/>
      <c r="T248" s="75"/>
      <c r="U248" s="75"/>
      <c r="V248" s="75"/>
      <c r="W248" s="75"/>
      <c r="X248" s="75"/>
      <c r="Y248" s="75"/>
      <c r="Z248" s="75"/>
      <c r="AA248" s="75"/>
      <c r="AB248" s="114"/>
      <c r="AC248" s="129"/>
      <c r="AD248" s="75"/>
      <c r="AE248" s="75"/>
      <c r="AF248" s="75"/>
      <c r="AG248" s="75"/>
      <c r="AH248" s="75"/>
      <c r="AI248" s="75"/>
      <c r="AJ248" s="75"/>
      <c r="AK248" s="83"/>
      <c r="AL248" s="75"/>
      <c r="AM248" s="75"/>
      <c r="AN248" s="75"/>
      <c r="AO248" s="75"/>
      <c r="AP248" s="75"/>
      <c r="AQ248" s="75"/>
      <c r="AR248" s="75"/>
      <c r="AS248" s="75"/>
      <c r="AT248" s="75"/>
      <c r="AU248" s="75"/>
      <c r="AV248" s="75"/>
      <c r="AW248" s="75"/>
      <c r="AX248" s="114"/>
      <c r="AY248" s="67"/>
      <c r="AZ248" s="69"/>
      <c r="BA248" s="69"/>
      <c r="BB248" s="69"/>
      <c r="BC248" s="69"/>
      <c r="BD248" s="69"/>
      <c r="BE248" s="69"/>
      <c r="BF248" s="69"/>
      <c r="BG248" s="69"/>
      <c r="BH248" s="69"/>
      <c r="BI248" s="69"/>
      <c r="BJ248" s="69"/>
      <c r="BK248" s="114"/>
      <c r="BL248" s="115"/>
      <c r="BM248" s="69"/>
      <c r="BN248" s="213"/>
      <c r="BO248" s="69"/>
      <c r="BP248" s="69"/>
      <c r="BQ248" s="69"/>
      <c r="BR248" s="69"/>
      <c r="BS248" s="69"/>
      <c r="BT248" s="69"/>
      <c r="BU248" s="69"/>
      <c r="BV248" s="69"/>
      <c r="BW248" s="69"/>
      <c r="BX248" s="114"/>
      <c r="BY248" s="201"/>
      <c r="BZ248" s="195"/>
      <c r="CA248" s="214"/>
      <c r="CB248" s="195"/>
      <c r="CC248" s="195"/>
      <c r="CD248" s="195"/>
      <c r="CE248" s="347"/>
      <c r="CF248" s="347"/>
      <c r="CG248" s="347"/>
      <c r="CH248" s="347"/>
      <c r="CI248" s="347"/>
      <c r="CJ248" s="347"/>
      <c r="CK248" s="292"/>
      <c r="CL248" s="88"/>
      <c r="CM248" s="347"/>
      <c r="CN248" s="347"/>
      <c r="CO248" s="347"/>
      <c r="CP248" s="347"/>
      <c r="CQ248" s="347"/>
      <c r="CR248" s="347"/>
      <c r="CS248" s="347"/>
      <c r="CT248" s="347"/>
      <c r="CU248" s="347"/>
      <c r="CV248" s="347"/>
      <c r="CW248" s="347"/>
      <c r="CX248" s="347"/>
      <c r="CY248" s="88"/>
      <c r="DL248" s="88"/>
    </row>
    <row r="249" spans="2:116">
      <c r="B249" s="152" t="s">
        <v>402</v>
      </c>
      <c r="C249" s="136"/>
      <c r="D249" s="136"/>
      <c r="E249" s="136"/>
      <c r="F249" s="136"/>
      <c r="G249" s="136"/>
      <c r="H249" s="136"/>
      <c r="I249" s="136"/>
      <c r="J249" s="136"/>
      <c r="K249" s="136"/>
      <c r="L249" s="136"/>
      <c r="M249" s="102"/>
      <c r="N249" s="102"/>
      <c r="O249" s="66"/>
      <c r="P249" s="75"/>
      <c r="Q249" s="75"/>
      <c r="R249" s="75"/>
      <c r="S249" s="75"/>
      <c r="T249" s="75"/>
      <c r="U249" s="75"/>
      <c r="V249" s="75"/>
      <c r="W249" s="75"/>
      <c r="X249" s="75"/>
      <c r="Y249" s="75"/>
      <c r="Z249" s="75"/>
      <c r="AA249" s="75"/>
      <c r="AB249" s="114"/>
      <c r="AC249" s="129"/>
      <c r="AD249" s="75"/>
      <c r="AE249" s="75"/>
      <c r="AF249" s="75"/>
      <c r="AG249" s="75"/>
      <c r="AH249" s="75"/>
      <c r="AI249" s="75"/>
      <c r="AJ249" s="75"/>
      <c r="AK249" s="83"/>
      <c r="AL249" s="75"/>
      <c r="AM249" s="75"/>
      <c r="AN249" s="75"/>
      <c r="AO249" s="75"/>
      <c r="AP249" s="75"/>
      <c r="AQ249" s="75"/>
      <c r="AR249" s="75"/>
      <c r="AS249" s="75"/>
      <c r="AT249" s="75"/>
      <c r="AU249" s="75"/>
      <c r="AV249" s="75"/>
      <c r="AW249" s="75"/>
      <c r="AX249" s="114"/>
      <c r="AY249" s="67"/>
      <c r="AZ249" s="69"/>
      <c r="BA249" s="69"/>
      <c r="BB249" s="69"/>
      <c r="BC249" s="69"/>
      <c r="BD249" s="69"/>
      <c r="BE249" s="69"/>
      <c r="BF249" s="69"/>
      <c r="BG249" s="69"/>
      <c r="BH249" s="69"/>
      <c r="BI249" s="69"/>
      <c r="BJ249" s="69"/>
      <c r="BK249" s="114"/>
      <c r="BL249" s="115"/>
      <c r="BM249" s="69"/>
      <c r="BN249" s="213"/>
      <c r="BO249" s="69"/>
      <c r="BP249" s="69"/>
      <c r="BQ249" s="69"/>
      <c r="BR249" s="69"/>
      <c r="BS249" s="69"/>
      <c r="BT249" s="69"/>
      <c r="BU249" s="69"/>
      <c r="BV249" s="69"/>
      <c r="BW249" s="69"/>
      <c r="BX249" s="114"/>
      <c r="BY249" s="240">
        <v>810.29</v>
      </c>
      <c r="BZ249" s="68">
        <v>806.36</v>
      </c>
      <c r="CA249" s="212">
        <v>802.41</v>
      </c>
      <c r="CB249" s="68">
        <v>798.48</v>
      </c>
      <c r="CC249" s="68">
        <v>794.53</v>
      </c>
      <c r="CD249" s="68">
        <v>790.59</v>
      </c>
      <c r="CE249" s="305">
        <v>786.02</v>
      </c>
      <c r="CF249" s="66">
        <v>782.71</v>
      </c>
      <c r="CG249" s="66">
        <v>778.78</v>
      </c>
      <c r="CH249" s="66">
        <v>774.84</v>
      </c>
      <c r="CI249" s="66">
        <v>770.89</v>
      </c>
      <c r="CJ249" s="66">
        <v>766.96</v>
      </c>
      <c r="CK249" s="114">
        <f t="shared" ref="CK249:CK258" si="678">SUM(BY249:CJ249)</f>
        <v>9462.86</v>
      </c>
      <c r="CL249" s="100"/>
      <c r="CM249" s="109">
        <f>CJ249-4</f>
        <v>762.96</v>
      </c>
      <c r="CN249" s="109">
        <f>CM249-4</f>
        <v>758.96</v>
      </c>
      <c r="CO249" s="109">
        <f t="shared" ref="CO249:CX249" si="679">CN249-4</f>
        <v>754.96</v>
      </c>
      <c r="CP249" s="109">
        <f t="shared" si="679"/>
        <v>750.96</v>
      </c>
      <c r="CQ249" s="109">
        <f t="shared" si="679"/>
        <v>746.96</v>
      </c>
      <c r="CR249" s="109">
        <f t="shared" si="679"/>
        <v>742.96</v>
      </c>
      <c r="CS249" s="109">
        <f t="shared" si="679"/>
        <v>738.96</v>
      </c>
      <c r="CT249" s="109">
        <f t="shared" si="679"/>
        <v>734.96</v>
      </c>
      <c r="CU249" s="109">
        <f t="shared" si="679"/>
        <v>730.96</v>
      </c>
      <c r="CV249" s="109">
        <f t="shared" si="679"/>
        <v>726.96</v>
      </c>
      <c r="CW249" s="109">
        <f t="shared" si="679"/>
        <v>722.96</v>
      </c>
      <c r="CX249" s="109">
        <f t="shared" si="679"/>
        <v>718.96</v>
      </c>
      <c r="CY249" s="100">
        <f>SUM(CM249:CX249)</f>
        <v>8891.52</v>
      </c>
      <c r="DL249" s="100">
        <f>SUM(CZ249:DK249)</f>
        <v>0</v>
      </c>
    </row>
    <row r="250" spans="2:116">
      <c r="B250" s="315" t="s">
        <v>392</v>
      </c>
      <c r="C250" s="136"/>
      <c r="D250" s="136"/>
      <c r="E250" s="136"/>
      <c r="F250" s="136"/>
      <c r="G250" s="136"/>
      <c r="H250" s="136"/>
      <c r="I250" s="136"/>
      <c r="J250" s="136"/>
      <c r="K250" s="136"/>
      <c r="L250" s="136"/>
      <c r="M250" s="102"/>
      <c r="N250" s="102"/>
      <c r="O250" s="66"/>
      <c r="P250" s="75"/>
      <c r="Q250" s="75"/>
      <c r="R250" s="75"/>
      <c r="S250" s="75"/>
      <c r="T250" s="75"/>
      <c r="U250" s="75"/>
      <c r="V250" s="75"/>
      <c r="W250" s="75"/>
      <c r="X250" s="75"/>
      <c r="Y250" s="75"/>
      <c r="Z250" s="75"/>
      <c r="AA250" s="75"/>
      <c r="AB250" s="114"/>
      <c r="AC250" s="129"/>
      <c r="AD250" s="75"/>
      <c r="AE250" s="75"/>
      <c r="AF250" s="75"/>
      <c r="AG250" s="75"/>
      <c r="AH250" s="75"/>
      <c r="AI250" s="75"/>
      <c r="AJ250" s="75"/>
      <c r="AK250" s="83"/>
      <c r="AL250" s="75"/>
      <c r="AM250" s="75"/>
      <c r="AN250" s="75"/>
      <c r="AO250" s="75"/>
      <c r="AP250" s="75"/>
      <c r="AQ250" s="75"/>
      <c r="AR250" s="75"/>
      <c r="AS250" s="75"/>
      <c r="AT250" s="75"/>
      <c r="AU250" s="75"/>
      <c r="AV250" s="75"/>
      <c r="AW250" s="75"/>
      <c r="AX250" s="114"/>
      <c r="AY250" s="67"/>
      <c r="AZ250" s="69"/>
      <c r="BA250" s="69"/>
      <c r="BB250" s="69"/>
      <c r="BC250" s="69"/>
      <c r="BD250" s="69"/>
      <c r="BE250" s="69"/>
      <c r="BF250" s="69"/>
      <c r="BG250" s="69"/>
      <c r="BH250" s="69"/>
      <c r="BI250" s="69"/>
      <c r="BJ250" s="69"/>
      <c r="BK250" s="114"/>
      <c r="BL250" s="115"/>
      <c r="BM250" s="69"/>
      <c r="BN250" s="213"/>
      <c r="BO250" s="69"/>
      <c r="BP250" s="69"/>
      <c r="BQ250" s="69"/>
      <c r="BR250" s="69"/>
      <c r="BS250" s="69"/>
      <c r="BT250" s="69"/>
      <c r="BU250" s="69"/>
      <c r="BV250" s="69"/>
      <c r="BW250" s="69"/>
      <c r="BX250" s="100"/>
      <c r="BY250" s="68">
        <f>(2039.01+736.76)</f>
        <v>2775.77</v>
      </c>
      <c r="BZ250" s="68">
        <f>(2304.2+894.23)</f>
        <v>3198.43</v>
      </c>
      <c r="CA250" s="244"/>
      <c r="CB250" s="69"/>
      <c r="CC250" s="69"/>
      <c r="CD250" s="69"/>
      <c r="CE250" s="83"/>
      <c r="CF250" s="83"/>
      <c r="CG250" s="83"/>
      <c r="CH250" s="83"/>
      <c r="CI250" s="83"/>
      <c r="CJ250" s="83"/>
      <c r="CK250" s="114">
        <f t="shared" si="678"/>
        <v>5974.2</v>
      </c>
      <c r="CL250" s="100"/>
      <c r="CM250" s="109">
        <f>(2039.01+736.76)</f>
        <v>2775.77</v>
      </c>
      <c r="CN250" s="109">
        <f>(2304.2+894.23)</f>
        <v>3198.43</v>
      </c>
      <c r="CO250" s="83"/>
      <c r="CP250" s="83"/>
      <c r="CQ250" s="83"/>
      <c r="CR250" s="83"/>
      <c r="CS250" s="83"/>
      <c r="CT250" s="83"/>
      <c r="CU250" s="83"/>
      <c r="CV250" s="83"/>
      <c r="CW250" s="83"/>
      <c r="CX250" s="83"/>
      <c r="CY250" s="100">
        <f>SUM(CM250:CX250)</f>
        <v>5974.2</v>
      </c>
      <c r="DL250" s="100">
        <f>SUM(CZ250:DK250)</f>
        <v>0</v>
      </c>
    </row>
    <row r="251" spans="2:116">
      <c r="B251" s="1" t="s">
        <v>393</v>
      </c>
      <c r="C251" s="136"/>
      <c r="D251" s="136"/>
      <c r="E251" s="136"/>
      <c r="F251" s="136"/>
      <c r="G251" s="136"/>
      <c r="H251" s="136"/>
      <c r="I251" s="136"/>
      <c r="J251" s="136"/>
      <c r="K251" s="136"/>
      <c r="L251" s="136"/>
      <c r="M251" s="102"/>
      <c r="N251" s="102"/>
      <c r="O251" s="66"/>
      <c r="P251" s="75"/>
      <c r="Q251" s="75"/>
      <c r="R251" s="75"/>
      <c r="S251" s="75"/>
      <c r="T251" s="75"/>
      <c r="U251" s="75"/>
      <c r="V251" s="75"/>
      <c r="W251" s="75"/>
      <c r="X251" s="75"/>
      <c r="Y251" s="75"/>
      <c r="Z251" s="75"/>
      <c r="AA251" s="75"/>
      <c r="AB251" s="114"/>
      <c r="AC251" s="129"/>
      <c r="AD251" s="75"/>
      <c r="AE251" s="75"/>
      <c r="AF251" s="75"/>
      <c r="AG251" s="75"/>
      <c r="AH251" s="75"/>
      <c r="AI251" s="75"/>
      <c r="AJ251" s="75"/>
      <c r="AK251" s="83"/>
      <c r="AL251" s="75"/>
      <c r="AM251" s="75"/>
      <c r="AN251" s="75"/>
      <c r="AO251" s="75"/>
      <c r="AP251" s="75"/>
      <c r="AQ251" s="75"/>
      <c r="AR251" s="75"/>
      <c r="AS251" s="75"/>
      <c r="AT251" s="75"/>
      <c r="AU251" s="75"/>
      <c r="AV251" s="75"/>
      <c r="AW251" s="75"/>
      <c r="AX251" s="114"/>
      <c r="AY251" s="67"/>
      <c r="AZ251" s="69"/>
      <c r="BA251" s="69"/>
      <c r="BB251" s="69"/>
      <c r="BC251" s="69"/>
      <c r="BD251" s="69"/>
      <c r="BE251" s="69"/>
      <c r="BF251" s="69"/>
      <c r="BG251" s="69"/>
      <c r="BH251" s="69"/>
      <c r="BI251" s="69"/>
      <c r="BJ251" s="69"/>
      <c r="BK251" s="114"/>
      <c r="BL251" s="115"/>
      <c r="BM251" s="69"/>
      <c r="BN251" s="213"/>
      <c r="BO251" s="69"/>
      <c r="BP251" s="69"/>
      <c r="BQ251" s="69"/>
      <c r="BR251" s="69"/>
      <c r="BS251" s="69"/>
      <c r="BT251" s="69"/>
      <c r="BU251" s="69"/>
      <c r="BV251" s="69"/>
      <c r="BW251" s="69"/>
      <c r="BX251" s="100"/>
      <c r="BY251" s="67">
        <v>600</v>
      </c>
      <c r="BZ251" s="67"/>
      <c r="CA251" s="212">
        <f>1207.58</f>
        <v>1207.58</v>
      </c>
      <c r="CB251" s="67"/>
      <c r="CC251" s="68">
        <f>2292.95+1283.65</f>
        <v>3576.6</v>
      </c>
      <c r="CD251" s="72"/>
      <c r="CE251" s="83"/>
      <c r="CF251" s="83"/>
      <c r="CG251" s="83"/>
      <c r="CH251" s="83"/>
      <c r="CI251" s="83"/>
      <c r="CJ251" s="83"/>
      <c r="CK251" s="114">
        <f t="shared" si="678"/>
        <v>5384.18</v>
      </c>
      <c r="CL251" s="472"/>
      <c r="CM251" s="83"/>
      <c r="CN251" s="254"/>
      <c r="CO251" s="254"/>
      <c r="CP251" s="254"/>
      <c r="CQ251" s="83"/>
      <c r="CR251" s="83"/>
      <c r="CS251" s="83"/>
      <c r="CT251" s="83"/>
      <c r="CU251" s="83"/>
      <c r="CV251" s="83"/>
      <c r="CW251" s="83"/>
      <c r="CX251" s="83"/>
      <c r="CY251" s="100">
        <f t="shared" ref="CY251:CY259" si="680">SUM(CM251:CX251)</f>
        <v>0</v>
      </c>
      <c r="DL251" s="100">
        <f t="shared" ref="DL251:DL259" si="681">SUM(CZ251:DK251)</f>
        <v>0</v>
      </c>
    </row>
    <row r="252" spans="2:116">
      <c r="B252" s="1" t="s">
        <v>394</v>
      </c>
      <c r="C252" s="136"/>
      <c r="D252" s="136"/>
      <c r="E252" s="136"/>
      <c r="F252" s="136"/>
      <c r="G252" s="136"/>
      <c r="H252" s="136"/>
      <c r="I252" s="136"/>
      <c r="J252" s="136"/>
      <c r="K252" s="136"/>
      <c r="L252" s="136"/>
      <c r="M252" s="102"/>
      <c r="N252" s="102"/>
      <c r="O252" s="66"/>
      <c r="P252" s="75"/>
      <c r="Q252" s="75"/>
      <c r="R252" s="75"/>
      <c r="S252" s="75"/>
      <c r="T252" s="75"/>
      <c r="U252" s="75"/>
      <c r="V252" s="75"/>
      <c r="W252" s="75"/>
      <c r="X252" s="75"/>
      <c r="Y252" s="75"/>
      <c r="Z252" s="75"/>
      <c r="AA252" s="75"/>
      <c r="AB252" s="114"/>
      <c r="AC252" s="129"/>
      <c r="AD252" s="75"/>
      <c r="AE252" s="75"/>
      <c r="AF252" s="75"/>
      <c r="AG252" s="75"/>
      <c r="AH252" s="75"/>
      <c r="AI252" s="75"/>
      <c r="AJ252" s="75"/>
      <c r="AK252" s="83"/>
      <c r="AL252" s="75"/>
      <c r="AM252" s="75"/>
      <c r="AN252" s="75"/>
      <c r="AO252" s="75"/>
      <c r="AP252" s="75"/>
      <c r="AQ252" s="75"/>
      <c r="AR252" s="75"/>
      <c r="AS252" s="75"/>
      <c r="AT252" s="75"/>
      <c r="AU252" s="75"/>
      <c r="AV252" s="75"/>
      <c r="AW252" s="75"/>
      <c r="AX252" s="114"/>
      <c r="AY252" s="67"/>
      <c r="AZ252" s="69"/>
      <c r="BA252" s="69"/>
      <c r="BB252" s="69"/>
      <c r="BC252" s="69"/>
      <c r="BD252" s="69"/>
      <c r="BE252" s="69"/>
      <c r="BF252" s="69"/>
      <c r="BG252" s="69"/>
      <c r="BH252" s="69"/>
      <c r="BI252" s="69"/>
      <c r="BJ252" s="69"/>
      <c r="BK252" s="114"/>
      <c r="BL252" s="115"/>
      <c r="BM252" s="69"/>
      <c r="BN252" s="213"/>
      <c r="BO252" s="69"/>
      <c r="BP252" s="69"/>
      <c r="BQ252" s="69"/>
      <c r="BR252" s="69"/>
      <c r="BS252" s="69"/>
      <c r="BT252" s="69"/>
      <c r="BU252" s="69"/>
      <c r="BV252" s="69"/>
      <c r="BW252" s="69"/>
      <c r="BX252" s="100"/>
      <c r="BY252" s="69"/>
      <c r="BZ252" s="69"/>
      <c r="CA252" s="213"/>
      <c r="CB252" s="69"/>
      <c r="CC252" s="69"/>
      <c r="CD252" s="69"/>
      <c r="CE252" s="83"/>
      <c r="CF252" s="83"/>
      <c r="CG252" s="83"/>
      <c r="CH252" s="83"/>
      <c r="CI252" s="83"/>
      <c r="CJ252" s="83"/>
      <c r="CK252" s="114">
        <f t="shared" si="678"/>
        <v>0</v>
      </c>
      <c r="CL252" s="100"/>
      <c r="CM252" s="83"/>
      <c r="CN252" s="83"/>
      <c r="CO252" s="83"/>
      <c r="CP252" s="83"/>
      <c r="CQ252" s="83"/>
      <c r="CR252" s="83"/>
      <c r="CS252" s="83"/>
      <c r="CT252" s="83"/>
      <c r="CU252" s="83"/>
      <c r="CV252" s="83"/>
      <c r="CW252" s="83"/>
      <c r="CX252" s="83"/>
      <c r="CY252" s="100">
        <f t="shared" si="680"/>
        <v>0</v>
      </c>
      <c r="DL252" s="100">
        <f t="shared" si="681"/>
        <v>0</v>
      </c>
    </row>
    <row r="253" spans="2:116">
      <c r="B253" s="1" t="s">
        <v>395</v>
      </c>
      <c r="C253" s="136"/>
      <c r="D253" s="136"/>
      <c r="E253" s="136"/>
      <c r="F253" s="136"/>
      <c r="G253" s="136"/>
      <c r="H253" s="136"/>
      <c r="I253" s="136"/>
      <c r="J253" s="136"/>
      <c r="K253" s="136"/>
      <c r="L253" s="136"/>
      <c r="M253" s="102"/>
      <c r="N253" s="102"/>
      <c r="O253" s="66"/>
      <c r="P253" s="75"/>
      <c r="Q253" s="75"/>
      <c r="R253" s="75"/>
      <c r="S253" s="75"/>
      <c r="T253" s="75"/>
      <c r="U253" s="75"/>
      <c r="V253" s="75"/>
      <c r="W253" s="75"/>
      <c r="X253" s="75"/>
      <c r="Y253" s="75"/>
      <c r="Z253" s="75"/>
      <c r="AA253" s="75"/>
      <c r="AB253" s="114"/>
      <c r="AC253" s="129"/>
      <c r="AD253" s="75"/>
      <c r="AE253" s="75"/>
      <c r="AF253" s="75"/>
      <c r="AG253" s="75"/>
      <c r="AH253" s="75"/>
      <c r="AI253" s="75"/>
      <c r="AJ253" s="75"/>
      <c r="AK253" s="83"/>
      <c r="AL253" s="75"/>
      <c r="AM253" s="75"/>
      <c r="AN253" s="75"/>
      <c r="AO253" s="75"/>
      <c r="AP253" s="75"/>
      <c r="AQ253" s="75"/>
      <c r="AR253" s="75"/>
      <c r="AS253" s="75"/>
      <c r="AT253" s="75"/>
      <c r="AU253" s="75"/>
      <c r="AV253" s="75"/>
      <c r="AW253" s="75"/>
      <c r="AX253" s="114"/>
      <c r="AY253" s="67"/>
      <c r="AZ253" s="69"/>
      <c r="BA253" s="69"/>
      <c r="BB253" s="69"/>
      <c r="BC253" s="69"/>
      <c r="BD253" s="69"/>
      <c r="BE253" s="69"/>
      <c r="BF253" s="69"/>
      <c r="BG253" s="69"/>
      <c r="BH253" s="69"/>
      <c r="BI253" s="69"/>
      <c r="BJ253" s="69"/>
      <c r="BK253" s="114"/>
      <c r="BL253" s="115"/>
      <c r="BM253" s="69"/>
      <c r="BN253" s="213"/>
      <c r="BO253" s="69"/>
      <c r="BP253" s="69"/>
      <c r="BQ253" s="69"/>
      <c r="BR253" s="69"/>
      <c r="BS253" s="69"/>
      <c r="BT253" s="69"/>
      <c r="BU253" s="69"/>
      <c r="BV253" s="69"/>
      <c r="BW253" s="69"/>
      <c r="BX253" s="100"/>
      <c r="BY253" s="69"/>
      <c r="BZ253" s="69"/>
      <c r="CA253" s="213"/>
      <c r="CB253" s="69"/>
      <c r="CC253" s="69"/>
      <c r="CD253" s="69"/>
      <c r="CE253" s="83"/>
      <c r="CF253" s="83"/>
      <c r="CG253" s="83"/>
      <c r="CH253" s="83"/>
      <c r="CI253" s="83"/>
      <c r="CJ253" s="83"/>
      <c r="CK253" s="114">
        <f t="shared" si="678"/>
        <v>0</v>
      </c>
      <c r="CL253" s="100"/>
      <c r="CM253" s="83"/>
      <c r="CN253" s="83"/>
      <c r="CO253" s="83"/>
      <c r="CP253" s="83"/>
      <c r="CQ253" s="83"/>
      <c r="CR253" s="83"/>
      <c r="CS253" s="83"/>
      <c r="CT253" s="83"/>
      <c r="CU253" s="83"/>
      <c r="CV253" s="83"/>
      <c r="CW253" s="83"/>
      <c r="CX253" s="83"/>
      <c r="CY253" s="100">
        <f t="shared" si="680"/>
        <v>0</v>
      </c>
      <c r="DL253" s="100">
        <f t="shared" si="681"/>
        <v>0</v>
      </c>
    </row>
    <row r="254" spans="2:116">
      <c r="B254" s="1" t="s">
        <v>396</v>
      </c>
      <c r="C254" s="136"/>
      <c r="D254" s="136"/>
      <c r="E254" s="136"/>
      <c r="F254" s="136"/>
      <c r="G254" s="136"/>
      <c r="H254" s="136"/>
      <c r="I254" s="136"/>
      <c r="J254" s="136"/>
      <c r="K254" s="136"/>
      <c r="L254" s="136"/>
      <c r="M254" s="102"/>
      <c r="N254" s="102"/>
      <c r="O254" s="66"/>
      <c r="P254" s="75"/>
      <c r="Q254" s="75"/>
      <c r="R254" s="75"/>
      <c r="S254" s="75"/>
      <c r="T254" s="75"/>
      <c r="U254" s="75"/>
      <c r="V254" s="75"/>
      <c r="W254" s="75"/>
      <c r="X254" s="75"/>
      <c r="Y254" s="75"/>
      <c r="Z254" s="75"/>
      <c r="AA254" s="75"/>
      <c r="AB254" s="114"/>
      <c r="AC254" s="129"/>
      <c r="AD254" s="75"/>
      <c r="AE254" s="75"/>
      <c r="AF254" s="75"/>
      <c r="AG254" s="75"/>
      <c r="AH254" s="75"/>
      <c r="AI254" s="75"/>
      <c r="AJ254" s="75"/>
      <c r="AK254" s="83"/>
      <c r="AL254" s="75"/>
      <c r="AM254" s="75"/>
      <c r="AN254" s="75"/>
      <c r="AO254" s="75"/>
      <c r="AP254" s="75"/>
      <c r="AQ254" s="75"/>
      <c r="AR254" s="75"/>
      <c r="AS254" s="75"/>
      <c r="AT254" s="75"/>
      <c r="AU254" s="75"/>
      <c r="AV254" s="75"/>
      <c r="AW254" s="75"/>
      <c r="AX254" s="114"/>
      <c r="AY254" s="67"/>
      <c r="AZ254" s="69"/>
      <c r="BA254" s="69"/>
      <c r="BB254" s="69"/>
      <c r="BC254" s="69"/>
      <c r="BD254" s="69"/>
      <c r="BE254" s="69"/>
      <c r="BF254" s="69"/>
      <c r="BG254" s="69"/>
      <c r="BH254" s="69"/>
      <c r="BI254" s="69"/>
      <c r="BJ254" s="69"/>
      <c r="BK254" s="114"/>
      <c r="BL254" s="115"/>
      <c r="BM254" s="69"/>
      <c r="BN254" s="213"/>
      <c r="BO254" s="69"/>
      <c r="BP254" s="69"/>
      <c r="BQ254" s="69"/>
      <c r="BR254" s="69"/>
      <c r="BS254" s="69"/>
      <c r="BT254" s="69"/>
      <c r="BU254" s="69"/>
      <c r="BV254" s="69"/>
      <c r="BW254" s="69"/>
      <c r="BX254" s="100"/>
      <c r="BY254" s="179"/>
      <c r="BZ254" s="74"/>
      <c r="CA254" s="213"/>
      <c r="CB254" s="69"/>
      <c r="CC254" s="67">
        <v>2057</v>
      </c>
      <c r="CD254" s="69"/>
      <c r="CE254" s="83"/>
      <c r="CF254" s="83"/>
      <c r="CG254" s="83"/>
      <c r="CH254" s="83"/>
      <c r="CI254" s="83"/>
      <c r="CJ254" s="83"/>
      <c r="CK254" s="114">
        <f t="shared" si="678"/>
        <v>2057</v>
      </c>
      <c r="CL254" s="100"/>
      <c r="CM254" s="109"/>
      <c r="CN254" s="109"/>
      <c r="CO254" s="83"/>
      <c r="CP254" s="83"/>
      <c r="CQ254" s="83"/>
      <c r="CR254" s="83"/>
      <c r="CS254" s="83"/>
      <c r="CT254" s="83"/>
      <c r="CU254" s="83"/>
      <c r="CV254" s="83"/>
      <c r="CW254" s="83"/>
      <c r="CX254" s="83"/>
      <c r="CY254" s="100">
        <f t="shared" si="680"/>
        <v>0</v>
      </c>
      <c r="DL254" s="100">
        <f t="shared" si="681"/>
        <v>0</v>
      </c>
    </row>
    <row r="255" spans="2:116">
      <c r="B255" s="1" t="s">
        <v>397</v>
      </c>
      <c r="C255" s="136"/>
      <c r="D255" s="136"/>
      <c r="E255" s="136"/>
      <c r="F255" s="136"/>
      <c r="G255" s="136"/>
      <c r="H255" s="136"/>
      <c r="I255" s="136"/>
      <c r="J255" s="136"/>
      <c r="K255" s="136"/>
      <c r="L255" s="136"/>
      <c r="M255" s="102"/>
      <c r="N255" s="102"/>
      <c r="O255" s="66"/>
      <c r="P255" s="75"/>
      <c r="Q255" s="75"/>
      <c r="R255" s="75"/>
      <c r="S255" s="75"/>
      <c r="T255" s="75"/>
      <c r="U255" s="75"/>
      <c r="V255" s="75"/>
      <c r="W255" s="75"/>
      <c r="X255" s="75"/>
      <c r="Y255" s="75"/>
      <c r="Z255" s="75"/>
      <c r="AA255" s="75"/>
      <c r="AB255" s="114"/>
      <c r="AC255" s="129"/>
      <c r="AD255" s="75"/>
      <c r="AE255" s="75"/>
      <c r="AF255" s="75"/>
      <c r="AG255" s="75"/>
      <c r="AH255" s="75"/>
      <c r="AI255" s="75"/>
      <c r="AJ255" s="75"/>
      <c r="AK255" s="83"/>
      <c r="AL255" s="75"/>
      <c r="AM255" s="75"/>
      <c r="AN255" s="75"/>
      <c r="AO255" s="75"/>
      <c r="AP255" s="75"/>
      <c r="AQ255" s="75"/>
      <c r="AR255" s="75"/>
      <c r="AS255" s="75"/>
      <c r="AT255" s="75"/>
      <c r="AU255" s="75"/>
      <c r="AV255" s="75"/>
      <c r="AW255" s="75"/>
      <c r="AX255" s="114"/>
      <c r="AY255" s="67"/>
      <c r="AZ255" s="69"/>
      <c r="BA255" s="69"/>
      <c r="BB255" s="69"/>
      <c r="BC255" s="69"/>
      <c r="BD255" s="69"/>
      <c r="BE255" s="69"/>
      <c r="BF255" s="69"/>
      <c r="BG255" s="69"/>
      <c r="BH255" s="69"/>
      <c r="BI255" s="69"/>
      <c r="BJ255" s="69"/>
      <c r="BK255" s="114"/>
      <c r="BL255" s="115"/>
      <c r="BM255" s="69"/>
      <c r="BN255" s="213"/>
      <c r="BO255" s="69"/>
      <c r="BP255" s="69"/>
      <c r="BQ255" s="69"/>
      <c r="BR255" s="69"/>
      <c r="BS255" s="69"/>
      <c r="BT255" s="69"/>
      <c r="BU255" s="69"/>
      <c r="BV255" s="69"/>
      <c r="BW255" s="69"/>
      <c r="BX255" s="100"/>
      <c r="BY255" s="67">
        <v>106000</v>
      </c>
      <c r="BZ255" s="74"/>
      <c r="CA255" s="212">
        <f>(4770-954)</f>
        <v>3816</v>
      </c>
      <c r="CB255" s="452"/>
      <c r="CC255" s="74"/>
      <c r="CD255" s="439">
        <f>4873.05+5252.06+954+954</f>
        <v>12033.11</v>
      </c>
      <c r="CF255" s="66">
        <f>(152000-6000-12889.6-2650-9400-2650-558-508.03-508.03-212-1139.57-500-868.16-1622.7-3185.45-133.98-10461.71-4770-954-10000+38000-2000-2000-3000-5000)*0</f>
        <v>0</v>
      </c>
      <c r="CG255" s="83"/>
      <c r="CH255" s="83"/>
      <c r="CI255" s="83"/>
      <c r="CJ255" s="83"/>
      <c r="CK255" s="114">
        <f t="shared" si="678"/>
        <v>121849.11</v>
      </c>
      <c r="CL255" s="100"/>
      <c r="CM255" s="83"/>
      <c r="CN255" s="83"/>
      <c r="CO255" s="83"/>
      <c r="CP255" s="83"/>
      <c r="CQ255" s="83"/>
      <c r="CR255" s="83"/>
      <c r="CS255" s="83"/>
      <c r="CT255" s="83"/>
      <c r="CU255" s="83"/>
      <c r="CV255" s="83"/>
      <c r="CW255" s="83"/>
      <c r="CX255" s="83"/>
      <c r="CY255" s="100">
        <f t="shared" si="680"/>
        <v>0</v>
      </c>
      <c r="DL255" s="100">
        <f t="shared" si="681"/>
        <v>0</v>
      </c>
    </row>
    <row r="256" spans="2:116">
      <c r="B256" s="1" t="s">
        <v>398</v>
      </c>
      <c r="C256" s="136"/>
      <c r="D256" s="136"/>
      <c r="E256" s="136"/>
      <c r="F256" s="136"/>
      <c r="G256" s="136"/>
      <c r="H256" s="136"/>
      <c r="I256" s="136"/>
      <c r="J256" s="136"/>
      <c r="K256" s="136"/>
      <c r="L256" s="136"/>
      <c r="M256" s="102"/>
      <c r="N256" s="102"/>
      <c r="O256" s="66"/>
      <c r="P256" s="75"/>
      <c r="Q256" s="75"/>
      <c r="R256" s="75"/>
      <c r="S256" s="75"/>
      <c r="T256" s="75"/>
      <c r="U256" s="75"/>
      <c r="V256" s="75"/>
      <c r="W256" s="75"/>
      <c r="X256" s="75"/>
      <c r="Y256" s="75"/>
      <c r="Z256" s="75"/>
      <c r="AA256" s="75"/>
      <c r="AB256" s="114"/>
      <c r="AC256" s="129"/>
      <c r="AD256" s="75"/>
      <c r="AE256" s="75"/>
      <c r="AF256" s="75"/>
      <c r="AG256" s="75"/>
      <c r="AH256" s="75"/>
      <c r="AI256" s="75"/>
      <c r="AJ256" s="75"/>
      <c r="AK256" s="83"/>
      <c r="AL256" s="75"/>
      <c r="AM256" s="75"/>
      <c r="AN256" s="75"/>
      <c r="AO256" s="75"/>
      <c r="AP256" s="75"/>
      <c r="AQ256" s="75"/>
      <c r="AR256" s="75"/>
      <c r="AS256" s="75"/>
      <c r="AT256" s="75"/>
      <c r="AU256" s="75"/>
      <c r="AV256" s="75"/>
      <c r="AW256" s="75"/>
      <c r="AX256" s="114"/>
      <c r="AY256" s="67"/>
      <c r="AZ256" s="69"/>
      <c r="BA256" s="69"/>
      <c r="BB256" s="69"/>
      <c r="BC256" s="69"/>
      <c r="BD256" s="69"/>
      <c r="BE256" s="69"/>
      <c r="BF256" s="69"/>
      <c r="BG256" s="69"/>
      <c r="BH256" s="69"/>
      <c r="BI256" s="69"/>
      <c r="BJ256" s="69"/>
      <c r="BK256" s="114"/>
      <c r="BL256" s="115"/>
      <c r="BM256" s="69"/>
      <c r="BN256" s="213"/>
      <c r="BO256" s="69"/>
      <c r="BP256" s="69"/>
      <c r="BQ256" s="69"/>
      <c r="BR256" s="69"/>
      <c r="BS256" s="69"/>
      <c r="BT256" s="69"/>
      <c r="BU256" s="69"/>
      <c r="BV256" s="69"/>
      <c r="BW256" s="69"/>
      <c r="BX256" s="100"/>
      <c r="BY256" s="69"/>
      <c r="BZ256" s="69"/>
      <c r="CA256" s="213"/>
      <c r="CB256" s="68">
        <f>318+(126000-6000)</f>
        <v>120318</v>
      </c>
      <c r="CC256" s="67">
        <f>1260*1.21</f>
        <v>1524.6</v>
      </c>
      <c r="CD256" s="68">
        <f>1260*1.21*2</f>
        <v>3049.2</v>
      </c>
      <c r="CE256" s="66"/>
      <c r="CF256" s="83"/>
      <c r="CG256" s="83"/>
      <c r="CH256" s="83"/>
      <c r="CI256" s="83"/>
      <c r="CJ256" s="83"/>
      <c r="CK256" s="114">
        <f t="shared" si="678"/>
        <v>124891.8</v>
      </c>
      <c r="CL256" s="472"/>
      <c r="CM256" s="83"/>
      <c r="CN256" s="83"/>
      <c r="CO256" s="83"/>
      <c r="CP256" s="83"/>
      <c r="CQ256" s="83"/>
      <c r="CR256" s="83"/>
      <c r="CS256" s="83"/>
      <c r="CT256" s="83"/>
      <c r="CU256" s="83"/>
      <c r="CV256" s="83"/>
      <c r="CW256" s="83"/>
      <c r="CX256" s="83"/>
      <c r="CY256" s="100">
        <f t="shared" si="680"/>
        <v>0</v>
      </c>
      <c r="DL256" s="100">
        <f t="shared" si="681"/>
        <v>0</v>
      </c>
    </row>
    <row r="257" spans="2:116">
      <c r="B257" s="1" t="s">
        <v>399</v>
      </c>
      <c r="C257" s="136"/>
      <c r="D257" s="136"/>
      <c r="E257" s="136"/>
      <c r="F257" s="136"/>
      <c r="G257" s="136"/>
      <c r="H257" s="136"/>
      <c r="I257" s="136"/>
      <c r="J257" s="136"/>
      <c r="K257" s="136"/>
      <c r="L257" s="136"/>
      <c r="M257" s="102"/>
      <c r="N257" s="102"/>
      <c r="O257" s="66"/>
      <c r="P257" s="75"/>
      <c r="Q257" s="75"/>
      <c r="R257" s="75"/>
      <c r="S257" s="75"/>
      <c r="T257" s="75"/>
      <c r="U257" s="75"/>
      <c r="V257" s="75"/>
      <c r="W257" s="75"/>
      <c r="X257" s="75"/>
      <c r="Y257" s="75"/>
      <c r="Z257" s="75"/>
      <c r="AA257" s="75"/>
      <c r="AB257" s="114"/>
      <c r="AC257" s="129"/>
      <c r="AD257" s="75"/>
      <c r="AE257" s="75"/>
      <c r="AF257" s="75"/>
      <c r="AG257" s="75"/>
      <c r="AH257" s="75"/>
      <c r="AI257" s="75"/>
      <c r="AJ257" s="75"/>
      <c r="AK257" s="83"/>
      <c r="AL257" s="75"/>
      <c r="AM257" s="75"/>
      <c r="AN257" s="75"/>
      <c r="AO257" s="75"/>
      <c r="AP257" s="75"/>
      <c r="AQ257" s="75"/>
      <c r="AR257" s="75"/>
      <c r="AS257" s="75"/>
      <c r="AT257" s="75"/>
      <c r="AU257" s="75"/>
      <c r="AV257" s="75"/>
      <c r="AW257" s="75"/>
      <c r="AX257" s="114"/>
      <c r="AY257" s="67"/>
      <c r="AZ257" s="69"/>
      <c r="BA257" s="69"/>
      <c r="BB257" s="69"/>
      <c r="BC257" s="69"/>
      <c r="BD257" s="69"/>
      <c r="BE257" s="69"/>
      <c r="BF257" s="69"/>
      <c r="BG257" s="69"/>
      <c r="BH257" s="69"/>
      <c r="BI257" s="69"/>
      <c r="BJ257" s="69"/>
      <c r="BK257" s="114"/>
      <c r="BL257" s="115"/>
      <c r="BM257" s="69"/>
      <c r="BN257" s="213"/>
      <c r="BO257" s="69"/>
      <c r="BP257" s="69"/>
      <c r="BQ257" s="69"/>
      <c r="BR257" s="69"/>
      <c r="BS257" s="69"/>
      <c r="BT257" s="69"/>
      <c r="BU257" s="69"/>
      <c r="BV257" s="69"/>
      <c r="BW257" s="69"/>
      <c r="BX257" s="100"/>
      <c r="BY257" s="69"/>
      <c r="BZ257" s="69"/>
      <c r="CA257" s="213"/>
      <c r="CB257" s="69"/>
      <c r="CC257" s="69"/>
      <c r="CD257" s="69"/>
      <c r="CE257" s="83"/>
      <c r="CF257" s="83"/>
      <c r="CG257" s="83"/>
      <c r="CH257" s="83"/>
      <c r="CI257" s="83"/>
      <c r="CJ257" s="83"/>
      <c r="CK257" s="114">
        <f t="shared" si="678"/>
        <v>0</v>
      </c>
      <c r="CL257" s="100"/>
      <c r="CM257" s="83"/>
      <c r="CN257" s="83"/>
      <c r="CO257" s="83"/>
      <c r="CP257" s="83"/>
      <c r="CQ257" s="83"/>
      <c r="CR257" s="83"/>
      <c r="CS257" s="83"/>
      <c r="CT257" s="83"/>
      <c r="CU257" s="83"/>
      <c r="CV257" s="83"/>
      <c r="CW257" s="83"/>
      <c r="CX257" s="83"/>
      <c r="CY257" s="100">
        <f t="shared" si="680"/>
        <v>0</v>
      </c>
      <c r="DL257" s="100">
        <f t="shared" si="681"/>
        <v>0</v>
      </c>
    </row>
    <row r="258" spans="2:116">
      <c r="B258" s="1" t="s">
        <v>400</v>
      </c>
      <c r="C258" s="136"/>
      <c r="D258" s="136"/>
      <c r="E258" s="136"/>
      <c r="F258" s="136"/>
      <c r="G258" s="136"/>
      <c r="H258" s="136"/>
      <c r="I258" s="136"/>
      <c r="J258" s="136"/>
      <c r="K258" s="136"/>
      <c r="L258" s="136"/>
      <c r="M258" s="102"/>
      <c r="N258" s="102"/>
      <c r="O258" s="66"/>
      <c r="P258" s="75"/>
      <c r="Q258" s="75"/>
      <c r="R258" s="75"/>
      <c r="S258" s="75"/>
      <c r="T258" s="75"/>
      <c r="U258" s="75"/>
      <c r="V258" s="75"/>
      <c r="W258" s="75"/>
      <c r="X258" s="75"/>
      <c r="Y258" s="75"/>
      <c r="Z258" s="75"/>
      <c r="AA258" s="75"/>
      <c r="AB258" s="114"/>
      <c r="AC258" s="129"/>
      <c r="AD258" s="75"/>
      <c r="AE258" s="75"/>
      <c r="AF258" s="75"/>
      <c r="AG258" s="75"/>
      <c r="AH258" s="75"/>
      <c r="AI258" s="75"/>
      <c r="AJ258" s="75"/>
      <c r="AK258" s="83"/>
      <c r="AL258" s="75"/>
      <c r="AM258" s="75"/>
      <c r="AN258" s="75"/>
      <c r="AO258" s="75"/>
      <c r="AP258" s="75"/>
      <c r="AQ258" s="75"/>
      <c r="AR258" s="75"/>
      <c r="AS258" s="75"/>
      <c r="AT258" s="75"/>
      <c r="AU258" s="75"/>
      <c r="AV258" s="75"/>
      <c r="AW258" s="75"/>
      <c r="AX258" s="114"/>
      <c r="AY258" s="67"/>
      <c r="AZ258" s="69"/>
      <c r="BA258" s="69"/>
      <c r="BB258" s="69"/>
      <c r="BC258" s="69"/>
      <c r="BD258" s="69"/>
      <c r="BE258" s="69"/>
      <c r="BF258" s="69"/>
      <c r="BG258" s="69"/>
      <c r="BH258" s="69"/>
      <c r="BI258" s="69"/>
      <c r="BJ258" s="69"/>
      <c r="BK258" s="114"/>
      <c r="BL258" s="115"/>
      <c r="BM258" s="69"/>
      <c r="BN258" s="213"/>
      <c r="BO258" s="69"/>
      <c r="BP258" s="69"/>
      <c r="BQ258" s="69"/>
      <c r="BR258" s="69"/>
      <c r="BS258" s="69"/>
      <c r="BT258" s="69"/>
      <c r="BU258" s="69"/>
      <c r="BV258" s="69"/>
      <c r="BW258" s="69"/>
      <c r="BX258" s="100"/>
      <c r="BY258" s="67">
        <v>304000</v>
      </c>
      <c r="BZ258" s="69">
        <f>404000*0</f>
        <v>0</v>
      </c>
      <c r="CA258" s="216"/>
      <c r="CB258" s="67">
        <f>17.87+5.4</f>
        <v>23.270000000000003</v>
      </c>
      <c r="CC258" s="67">
        <f>(81.02+268.11)+(1.56+24)</f>
        <v>374.69</v>
      </c>
      <c r="CD258" s="81">
        <f>291.77+85.47</f>
        <v>377.24</v>
      </c>
      <c r="CE258" s="1">
        <f>291.77+85.47</f>
        <v>377.24</v>
      </c>
      <c r="CF258" s="83">
        <f>100000*0+26.46+26.46</f>
        <v>52.92</v>
      </c>
      <c r="CG258" s="83"/>
      <c r="CH258" s="83"/>
      <c r="CI258" s="83"/>
      <c r="CJ258" s="83"/>
      <c r="CK258" s="114">
        <f t="shared" si="678"/>
        <v>305205.36</v>
      </c>
      <c r="CL258" s="111">
        <f>-(17.87+1.56+5.4)-(268.11+24+81.02)-(291.77+85.47+26.46)*2</f>
        <v>-1205.3599999999999</v>
      </c>
      <c r="CM258" s="83"/>
      <c r="CN258" s="83"/>
      <c r="CO258" s="83"/>
      <c r="CP258" s="83"/>
      <c r="CQ258" s="83"/>
      <c r="CR258" s="83"/>
      <c r="CS258" s="83"/>
      <c r="CT258" s="83"/>
      <c r="CU258" s="83"/>
      <c r="CV258" s="83"/>
      <c r="CW258" s="83"/>
      <c r="CX258" s="83"/>
      <c r="CY258" s="100">
        <f t="shared" si="680"/>
        <v>0</v>
      </c>
      <c r="DL258" s="100">
        <f t="shared" si="681"/>
        <v>0</v>
      </c>
    </row>
    <row r="259" spans="2:116" ht="16.5">
      <c r="B259" s="323" t="s">
        <v>401</v>
      </c>
      <c r="C259" s="136"/>
      <c r="D259" s="136"/>
      <c r="E259" s="136"/>
      <c r="F259" s="136"/>
      <c r="G259" s="136"/>
      <c r="H259" s="136"/>
      <c r="I259" s="136"/>
      <c r="J259" s="136"/>
      <c r="K259" s="136"/>
      <c r="L259" s="136"/>
      <c r="M259" s="102"/>
      <c r="N259" s="102"/>
      <c r="O259" s="66"/>
      <c r="P259" s="75"/>
      <c r="Q259" s="75"/>
      <c r="R259" s="75"/>
      <c r="S259" s="75"/>
      <c r="T259" s="75"/>
      <c r="U259" s="75"/>
      <c r="V259" s="75"/>
      <c r="W259" s="75"/>
      <c r="X259" s="75"/>
      <c r="Y259" s="75"/>
      <c r="Z259" s="75"/>
      <c r="AA259" s="75"/>
      <c r="AB259" s="114"/>
      <c r="AC259" s="129"/>
      <c r="AD259" s="75"/>
      <c r="AE259" s="75"/>
      <c r="AF259" s="75"/>
      <c r="AG259" s="75"/>
      <c r="AH259" s="75"/>
      <c r="AI259" s="75"/>
      <c r="AJ259" s="75"/>
      <c r="AK259" s="83"/>
      <c r="AL259" s="75"/>
      <c r="AM259" s="75"/>
      <c r="AN259" s="75"/>
      <c r="AO259" s="75"/>
      <c r="AP259" s="75"/>
      <c r="AQ259" s="75"/>
      <c r="AR259" s="75"/>
      <c r="AS259" s="75"/>
      <c r="AT259" s="75"/>
      <c r="AU259" s="75"/>
      <c r="AV259" s="75"/>
      <c r="AW259" s="75"/>
      <c r="AX259" s="114"/>
      <c r="AY259" s="67"/>
      <c r="AZ259" s="69"/>
      <c r="BA259" s="69"/>
      <c r="BB259" s="69"/>
      <c r="BC259" s="69"/>
      <c r="BD259" s="69"/>
      <c r="BE259" s="69"/>
      <c r="BF259" s="69"/>
      <c r="BG259" s="69"/>
      <c r="BH259" s="69"/>
      <c r="BI259" s="69"/>
      <c r="BJ259" s="69"/>
      <c r="BK259" s="114"/>
      <c r="BL259" s="115"/>
      <c r="BM259" s="69"/>
      <c r="BN259" s="213"/>
      <c r="BO259" s="69"/>
      <c r="BP259" s="69"/>
      <c r="BQ259" s="69"/>
      <c r="BR259" s="69"/>
      <c r="BS259" s="69"/>
      <c r="BT259" s="69"/>
      <c r="BU259" s="69"/>
      <c r="BV259" s="69"/>
      <c r="BW259" s="69"/>
      <c r="BX259" s="100"/>
      <c r="BY259" s="422">
        <f>514607.48+SUM(BY249:BY258)</f>
        <v>928793.54</v>
      </c>
      <c r="BZ259" s="329">
        <f>BY259+SUM(BZ249:BZ258)</f>
        <v>932798.33000000007</v>
      </c>
      <c r="CA259" s="423">
        <f t="shared" ref="CA259:CJ259" si="682">BZ259+SUM(CA249:CA258)</f>
        <v>938624.32000000007</v>
      </c>
      <c r="CB259" s="329">
        <f>CA259+SUM(CB249:CB258)</f>
        <v>1059764.07</v>
      </c>
      <c r="CC259" s="329">
        <f>CB259+SUM(CC249:CC258)</f>
        <v>1068091.49</v>
      </c>
      <c r="CD259" s="329">
        <f t="shared" si="682"/>
        <v>1084341.6299999999</v>
      </c>
      <c r="CE259" s="331">
        <f>CD259+SUM(CE249:CE258)</f>
        <v>1085504.8899999999</v>
      </c>
      <c r="CF259" s="331">
        <f t="shared" si="682"/>
        <v>1086340.5199999998</v>
      </c>
      <c r="CG259" s="331">
        <f>CF259+SUM(CG249:CG258)</f>
        <v>1087119.2999999998</v>
      </c>
      <c r="CH259" s="331">
        <f t="shared" si="682"/>
        <v>1087894.1399999999</v>
      </c>
      <c r="CI259" s="331">
        <f t="shared" si="682"/>
        <v>1088665.0299999998</v>
      </c>
      <c r="CJ259" s="331">
        <f t="shared" si="682"/>
        <v>1089431.9899999998</v>
      </c>
      <c r="CK259" s="333">
        <f>CJ259</f>
        <v>1089431.9899999998</v>
      </c>
      <c r="CL259" s="282"/>
      <c r="CM259" s="331">
        <f>CK259+SUM(CM249:CM258)</f>
        <v>1092970.7199999997</v>
      </c>
      <c r="CN259" s="331">
        <f t="shared" ref="CN259" si="683">CM259+SUM(CN249:CN258)</f>
        <v>1096928.1099999996</v>
      </c>
      <c r="CO259" s="331">
        <f t="shared" ref="CO259" si="684">CN259+SUM(CO249:CO258)</f>
        <v>1097683.0699999996</v>
      </c>
      <c r="CP259" s="331">
        <f t="shared" ref="CP259" si="685">CO259+SUM(CP249:CP258)</f>
        <v>1098434.0299999996</v>
      </c>
      <c r="CQ259" s="331">
        <f t="shared" ref="CQ259" si="686">CP259+SUM(CQ249:CQ258)</f>
        <v>1099180.9899999995</v>
      </c>
      <c r="CR259" s="331">
        <f t="shared" ref="CR259" si="687">CQ259+SUM(CR249:CR258)</f>
        <v>1099923.9499999995</v>
      </c>
      <c r="CS259" s="331">
        <f t="shared" ref="CS259" si="688">CR259+SUM(CS249:CS258)</f>
        <v>1100662.9099999995</v>
      </c>
      <c r="CT259" s="331">
        <f t="shared" ref="CT259" si="689">CS259+SUM(CT249:CT258)</f>
        <v>1101397.8699999994</v>
      </c>
      <c r="CU259" s="331">
        <f t="shared" ref="CU259" si="690">CT259+SUM(CU249:CU258)</f>
        <v>1102128.8299999994</v>
      </c>
      <c r="CV259" s="331">
        <f t="shared" ref="CV259" si="691">CU259+SUM(CV249:CV258)</f>
        <v>1102855.7899999993</v>
      </c>
      <c r="CW259" s="331">
        <f t="shared" ref="CW259" si="692">CV259+SUM(CW249:CW258)</f>
        <v>1103578.7499999993</v>
      </c>
      <c r="CX259" s="331">
        <f t="shared" ref="CX259" si="693">CW259+SUM(CX249:CX258)</f>
        <v>1104297.7099999993</v>
      </c>
      <c r="CY259" s="333">
        <f t="shared" si="680"/>
        <v>13200042.729999993</v>
      </c>
      <c r="DL259" s="333">
        <f t="shared" si="681"/>
        <v>0</v>
      </c>
    </row>
    <row r="260" spans="2:116">
      <c r="B260" s="152"/>
      <c r="C260" s="136"/>
      <c r="D260" s="136"/>
      <c r="E260" s="136"/>
      <c r="F260" s="136"/>
      <c r="G260" s="136"/>
      <c r="H260" s="136"/>
      <c r="I260" s="136"/>
      <c r="J260" s="136"/>
      <c r="K260" s="136"/>
      <c r="L260" s="136"/>
      <c r="M260" s="102"/>
      <c r="N260" s="102"/>
      <c r="O260" s="66"/>
      <c r="P260" s="75"/>
      <c r="Q260" s="75"/>
      <c r="R260" s="75"/>
      <c r="S260" s="75"/>
      <c r="T260" s="75"/>
      <c r="U260" s="75"/>
      <c r="V260" s="75"/>
      <c r="W260" s="75"/>
      <c r="X260" s="75"/>
      <c r="Y260" s="75"/>
      <c r="Z260" s="75"/>
      <c r="AA260" s="75"/>
      <c r="AB260" s="114"/>
      <c r="AC260" s="129"/>
      <c r="AD260" s="75"/>
      <c r="AE260" s="75"/>
      <c r="AF260" s="75"/>
      <c r="AG260" s="75"/>
      <c r="AH260" s="75"/>
      <c r="AI260" s="75"/>
      <c r="AJ260" s="75"/>
      <c r="AK260" s="83"/>
      <c r="AL260" s="75"/>
      <c r="AM260" s="75"/>
      <c r="AN260" s="75"/>
      <c r="AO260" s="75"/>
      <c r="AP260" s="75"/>
      <c r="AQ260" s="75"/>
      <c r="AR260" s="75"/>
      <c r="AS260" s="75"/>
      <c r="AT260" s="75"/>
      <c r="AU260" s="75"/>
      <c r="AV260" s="75"/>
      <c r="AW260" s="75"/>
      <c r="AX260" s="114"/>
      <c r="AY260" s="67"/>
      <c r="AZ260" s="69"/>
      <c r="BA260" s="69"/>
      <c r="BB260" s="69"/>
      <c r="BC260" s="69"/>
      <c r="BD260" s="69"/>
      <c r="BE260" s="69"/>
      <c r="BF260" s="69"/>
      <c r="BG260" s="69"/>
      <c r="BH260" s="69"/>
      <c r="BI260" s="69"/>
      <c r="BJ260" s="69"/>
      <c r="BK260" s="114"/>
      <c r="BL260" s="115"/>
      <c r="BM260" s="69"/>
      <c r="BN260" s="213"/>
      <c r="BO260" s="69"/>
      <c r="BP260" s="69"/>
      <c r="BQ260" s="69"/>
      <c r="BR260" s="69"/>
      <c r="BS260" s="69"/>
      <c r="BT260" s="69"/>
      <c r="BU260" s="69"/>
      <c r="BV260" s="69"/>
      <c r="BW260" s="69"/>
      <c r="BX260" s="100"/>
      <c r="BY260" s="69"/>
      <c r="BZ260" s="69"/>
      <c r="CA260" s="213"/>
      <c r="CB260" s="69"/>
      <c r="CC260" s="69"/>
      <c r="CD260" s="69"/>
      <c r="CE260" s="83"/>
      <c r="CF260" s="83"/>
      <c r="CG260" s="83"/>
      <c r="CH260" s="83"/>
      <c r="CI260" s="83"/>
      <c r="CJ260" s="83"/>
      <c r="CK260" s="100"/>
      <c r="CL260" s="130"/>
      <c r="CY260" s="100"/>
      <c r="DL260" s="100"/>
    </row>
    <row r="261" spans="2:116">
      <c r="B261" s="321" t="s">
        <v>224</v>
      </c>
      <c r="C261" s="136"/>
      <c r="D261" s="136"/>
      <c r="E261" s="136"/>
      <c r="F261" s="136"/>
      <c r="G261" s="136"/>
      <c r="H261" s="136"/>
      <c r="I261" s="136"/>
      <c r="J261" s="136"/>
      <c r="K261" s="136"/>
      <c r="L261" s="136"/>
      <c r="M261" s="102"/>
      <c r="N261" s="102"/>
      <c r="O261" s="66"/>
      <c r="P261" s="75"/>
      <c r="Q261" s="75"/>
      <c r="R261" s="75"/>
      <c r="S261" s="75"/>
      <c r="T261" s="75"/>
      <c r="U261" s="75"/>
      <c r="V261" s="75"/>
      <c r="W261" s="75"/>
      <c r="X261" s="75"/>
      <c r="Y261" s="75"/>
      <c r="Z261" s="75"/>
      <c r="AA261" s="75"/>
      <c r="AB261" s="114"/>
      <c r="AC261" s="129"/>
      <c r="AD261" s="75"/>
      <c r="AE261" s="75"/>
      <c r="AF261" s="75"/>
      <c r="AG261" s="75"/>
      <c r="AH261" s="75"/>
      <c r="AI261" s="75"/>
      <c r="AJ261" s="75"/>
      <c r="AK261" s="83"/>
      <c r="AL261" s="75"/>
      <c r="AM261" s="75"/>
      <c r="AN261" s="75"/>
      <c r="AO261" s="75"/>
      <c r="AP261" s="75"/>
      <c r="AQ261" s="75"/>
      <c r="AR261" s="75"/>
      <c r="AS261" s="75"/>
      <c r="AT261" s="75"/>
      <c r="AU261" s="75"/>
      <c r="AV261" s="75"/>
      <c r="AW261" s="75"/>
      <c r="AX261" s="114"/>
      <c r="AY261" s="67"/>
      <c r="AZ261" s="69"/>
      <c r="BA261" s="69"/>
      <c r="BB261" s="69"/>
      <c r="BC261" s="69"/>
      <c r="BD261" s="69"/>
      <c r="BE261" s="69"/>
      <c r="BF261" s="69"/>
      <c r="BG261" s="69"/>
      <c r="BH261" s="69"/>
      <c r="BI261" s="69"/>
      <c r="BJ261" s="69"/>
      <c r="BK261" s="114"/>
      <c r="BL261" s="115"/>
      <c r="BM261" s="69"/>
      <c r="BN261" s="213"/>
      <c r="BO261" s="69"/>
      <c r="BP261" s="69"/>
      <c r="BQ261" s="69"/>
      <c r="BR261" s="69"/>
      <c r="BS261" s="69"/>
      <c r="BT261" s="69"/>
      <c r="BU261" s="69"/>
      <c r="BV261" s="69"/>
      <c r="BW261" s="69"/>
      <c r="BX261" s="100"/>
      <c r="BY261" s="69"/>
      <c r="BZ261" s="69"/>
      <c r="CA261" s="213"/>
      <c r="CB261" s="69"/>
      <c r="CC261" s="69"/>
      <c r="CD261" s="69"/>
      <c r="CE261" s="83"/>
      <c r="CF261" s="83"/>
      <c r="CG261" s="83"/>
      <c r="CH261" s="83"/>
      <c r="CI261" s="83"/>
      <c r="CJ261" s="83"/>
      <c r="CK261" s="100"/>
      <c r="CL261" s="130"/>
      <c r="CY261" s="100"/>
      <c r="DL261" s="100"/>
    </row>
    <row r="262" spans="2:116">
      <c r="B262" s="324" t="s">
        <v>403</v>
      </c>
      <c r="C262" s="136"/>
      <c r="D262" s="136"/>
      <c r="E262" s="136"/>
      <c r="F262" s="136"/>
      <c r="G262" s="136"/>
      <c r="H262" s="136"/>
      <c r="I262" s="136"/>
      <c r="J262" s="136"/>
      <c r="K262" s="136"/>
      <c r="L262" s="136"/>
      <c r="M262" s="102"/>
      <c r="N262" s="102"/>
      <c r="O262" s="66"/>
      <c r="P262" s="75"/>
      <c r="Q262" s="75"/>
      <c r="R262" s="75"/>
      <c r="S262" s="75"/>
      <c r="T262" s="75"/>
      <c r="U262" s="75"/>
      <c r="V262" s="75"/>
      <c r="W262" s="75"/>
      <c r="X262" s="75"/>
      <c r="Y262" s="75"/>
      <c r="Z262" s="75"/>
      <c r="AA262" s="75"/>
      <c r="AB262" s="114"/>
      <c r="AC262" s="129"/>
      <c r="AD262" s="75"/>
      <c r="AE262" s="75"/>
      <c r="AF262" s="75"/>
      <c r="AG262" s="75"/>
      <c r="AH262" s="75"/>
      <c r="AI262" s="75"/>
      <c r="AJ262" s="75"/>
      <c r="AK262" s="83"/>
      <c r="AL262" s="75"/>
      <c r="AM262" s="75"/>
      <c r="AN262" s="75"/>
      <c r="AO262" s="75"/>
      <c r="AP262" s="75"/>
      <c r="AQ262" s="75"/>
      <c r="AR262" s="75"/>
      <c r="AS262" s="75"/>
      <c r="AT262" s="75"/>
      <c r="AU262" s="75"/>
      <c r="AV262" s="75"/>
      <c r="AW262" s="75"/>
      <c r="AX262" s="114"/>
      <c r="AY262" s="67"/>
      <c r="AZ262" s="69"/>
      <c r="BA262" s="69"/>
      <c r="BB262" s="69"/>
      <c r="BC262" s="69"/>
      <c r="BD262" s="69"/>
      <c r="BE262" s="69"/>
      <c r="BF262" s="69"/>
      <c r="BG262" s="69"/>
      <c r="BH262" s="69"/>
      <c r="BI262" s="69"/>
      <c r="BJ262" s="69"/>
      <c r="BK262" s="114"/>
      <c r="BL262" s="115"/>
      <c r="BM262" s="69"/>
      <c r="BN262" s="213"/>
      <c r="BO262" s="69"/>
      <c r="BP262" s="69"/>
      <c r="BQ262" s="69"/>
      <c r="BR262" s="69"/>
      <c r="BS262" s="69"/>
      <c r="BT262" s="69"/>
      <c r="BU262" s="69"/>
      <c r="BV262" s="69"/>
      <c r="BW262" s="69"/>
      <c r="BX262" s="100"/>
      <c r="BY262" s="195"/>
      <c r="BZ262" s="195"/>
      <c r="CA262" s="214"/>
      <c r="CB262" s="195"/>
      <c r="CC262" s="195"/>
      <c r="CD262" s="195"/>
      <c r="CE262" s="347"/>
      <c r="CF262" s="347"/>
      <c r="CG262" s="347"/>
      <c r="CH262" s="347"/>
      <c r="CI262" s="347"/>
      <c r="CJ262" s="347"/>
      <c r="CK262" s="88"/>
      <c r="CL262" s="348"/>
      <c r="CM262" s="347"/>
      <c r="CN262" s="347"/>
      <c r="CO262" s="347"/>
      <c r="CP262" s="347"/>
      <c r="CQ262" s="347"/>
      <c r="CR262" s="347"/>
      <c r="CS262" s="347"/>
      <c r="CT262" s="347"/>
      <c r="CU262" s="347"/>
      <c r="CV262" s="347"/>
      <c r="CW262" s="347"/>
      <c r="CX262" s="347"/>
      <c r="CY262" s="88"/>
      <c r="DL262" s="88"/>
    </row>
    <row r="263" spans="2:116">
      <c r="B263" s="315" t="s">
        <v>226</v>
      </c>
      <c r="C263" s="136"/>
      <c r="D263" s="136"/>
      <c r="E263" s="136"/>
      <c r="F263" s="136"/>
      <c r="G263" s="136"/>
      <c r="H263" s="136"/>
      <c r="I263" s="136"/>
      <c r="J263" s="136"/>
      <c r="K263" s="136"/>
      <c r="L263" s="136"/>
      <c r="M263" s="102"/>
      <c r="N263" s="102"/>
      <c r="O263" s="66"/>
      <c r="P263" s="75"/>
      <c r="Q263" s="75"/>
      <c r="R263" s="75"/>
      <c r="S263" s="75"/>
      <c r="T263" s="75"/>
      <c r="U263" s="75"/>
      <c r="V263" s="75"/>
      <c r="W263" s="75"/>
      <c r="X263" s="75"/>
      <c r="Y263" s="75"/>
      <c r="Z263" s="75"/>
      <c r="AA263" s="75"/>
      <c r="AB263" s="114"/>
      <c r="AC263" s="129"/>
      <c r="AD263" s="75"/>
      <c r="AE263" s="75"/>
      <c r="AF263" s="75"/>
      <c r="AG263" s="75"/>
      <c r="AH263" s="75"/>
      <c r="AI263" s="75"/>
      <c r="AJ263" s="75"/>
      <c r="AK263" s="83"/>
      <c r="AL263" s="75"/>
      <c r="AM263" s="75"/>
      <c r="AN263" s="75"/>
      <c r="AO263" s="75"/>
      <c r="AP263" s="75"/>
      <c r="AQ263" s="75"/>
      <c r="AR263" s="75"/>
      <c r="AS263" s="75"/>
      <c r="AT263" s="75"/>
      <c r="AU263" s="75"/>
      <c r="AV263" s="75"/>
      <c r="AW263" s="75"/>
      <c r="AX263" s="114"/>
      <c r="AY263" s="67"/>
      <c r="AZ263" s="69"/>
      <c r="BA263" s="69"/>
      <c r="BB263" s="69"/>
      <c r="BC263" s="69"/>
      <c r="BD263" s="69"/>
      <c r="BE263" s="69"/>
      <c r="BF263" s="69"/>
      <c r="BG263" s="69"/>
      <c r="BH263" s="69"/>
      <c r="BI263" s="69"/>
      <c r="BJ263" s="69"/>
      <c r="BK263" s="114"/>
      <c r="BL263" s="115"/>
      <c r="BM263" s="69"/>
      <c r="BN263" s="213"/>
      <c r="BO263" s="69"/>
      <c r="BP263" s="69"/>
      <c r="BQ263" s="69"/>
      <c r="BR263" s="69"/>
      <c r="BS263" s="69"/>
      <c r="BT263" s="69"/>
      <c r="BU263" s="69"/>
      <c r="BV263" s="69"/>
      <c r="BW263" s="69"/>
      <c r="BX263" s="114"/>
      <c r="BY263" s="115"/>
      <c r="BZ263" s="69"/>
      <c r="CA263" s="212">
        <v>-6670.41</v>
      </c>
      <c r="CB263" s="69"/>
      <c r="CC263" s="69"/>
      <c r="CD263" s="68">
        <v>-6826.72</v>
      </c>
      <c r="CE263" s="66"/>
      <c r="CF263" s="66"/>
      <c r="CG263" s="66">
        <v>-6910.39</v>
      </c>
      <c r="CH263" s="66"/>
      <c r="CI263" s="66"/>
      <c r="CJ263" s="66">
        <v>-7033.26</v>
      </c>
      <c r="CK263" s="100">
        <f>SUM(BY263:CJ263)</f>
        <v>-27440.78</v>
      </c>
      <c r="CL263" s="100"/>
      <c r="CM263" s="114"/>
      <c r="CN263" s="83"/>
      <c r="CO263" s="109">
        <f>CJ263+40</f>
        <v>-6993.26</v>
      </c>
      <c r="CP263" s="83"/>
      <c r="CQ263" s="83"/>
      <c r="CR263" s="109">
        <f>CO263+40</f>
        <v>-6953.26</v>
      </c>
      <c r="CS263" s="83"/>
      <c r="CT263" s="83"/>
      <c r="CU263" s="109">
        <f>CR263+40</f>
        <v>-6913.26</v>
      </c>
      <c r="CV263" s="83"/>
      <c r="CW263" s="83"/>
      <c r="CX263" s="109">
        <f>CU263+40</f>
        <v>-6873.26</v>
      </c>
      <c r="CY263" s="100">
        <f>SUM(CM263:CX263)</f>
        <v>-27733.040000000001</v>
      </c>
      <c r="DL263" s="100">
        <f>SUM(CZ263:DK263)</f>
        <v>0</v>
      </c>
    </row>
    <row r="264" spans="2:116">
      <c r="B264" s="322" t="s">
        <v>404</v>
      </c>
      <c r="C264" s="136"/>
      <c r="D264" s="136"/>
      <c r="E264" s="136"/>
      <c r="F264" s="136"/>
      <c r="G264" s="136"/>
      <c r="H264" s="136"/>
      <c r="I264" s="136"/>
      <c r="J264" s="136"/>
      <c r="K264" s="136"/>
      <c r="L264" s="136"/>
      <c r="M264" s="102"/>
      <c r="N264" s="102"/>
      <c r="O264" s="66"/>
      <c r="P264" s="75"/>
      <c r="Q264" s="75"/>
      <c r="R264" s="75"/>
      <c r="S264" s="75"/>
      <c r="T264" s="75"/>
      <c r="U264" s="75"/>
      <c r="V264" s="75"/>
      <c r="W264" s="75"/>
      <c r="X264" s="75"/>
      <c r="Y264" s="75"/>
      <c r="Z264" s="75"/>
      <c r="AA264" s="75"/>
      <c r="AB264" s="114"/>
      <c r="AC264" s="129"/>
      <c r="AD264" s="75"/>
      <c r="AE264" s="75"/>
      <c r="AF264" s="75"/>
      <c r="AG264" s="75"/>
      <c r="AH264" s="75"/>
      <c r="AI264" s="75"/>
      <c r="AJ264" s="75"/>
      <c r="AK264" s="83"/>
      <c r="AL264" s="75"/>
      <c r="AM264" s="75"/>
      <c r="AN264" s="75"/>
      <c r="AO264" s="75"/>
      <c r="AP264" s="75"/>
      <c r="AQ264" s="75"/>
      <c r="AR264" s="75"/>
      <c r="AS264" s="75"/>
      <c r="AT264" s="75"/>
      <c r="AU264" s="75"/>
      <c r="AV264" s="75"/>
      <c r="AW264" s="75"/>
      <c r="AX264" s="114"/>
      <c r="AY264" s="67"/>
      <c r="AZ264" s="69"/>
      <c r="BA264" s="69"/>
      <c r="BB264" s="69"/>
      <c r="BC264" s="69"/>
      <c r="BD264" s="69"/>
      <c r="BE264" s="69"/>
      <c r="BF264" s="69"/>
      <c r="BG264" s="69"/>
      <c r="BH264" s="69"/>
      <c r="BI264" s="69"/>
      <c r="BJ264" s="69"/>
      <c r="BK264" s="114"/>
      <c r="BL264" s="115"/>
      <c r="BM264" s="69"/>
      <c r="BN264" s="213"/>
      <c r="BO264" s="69"/>
      <c r="BP264" s="69"/>
      <c r="BQ264" s="69"/>
      <c r="BR264" s="69"/>
      <c r="BS264" s="69"/>
      <c r="BT264" s="69"/>
      <c r="BU264" s="69"/>
      <c r="BV264" s="69"/>
      <c r="BW264" s="69"/>
      <c r="BX264" s="114"/>
      <c r="BY264" s="204">
        <f>197520.03</f>
        <v>197520.03</v>
      </c>
      <c r="BZ264" s="112">
        <f t="shared" ref="BZ264:CJ264" si="694">BY264+BZ263</f>
        <v>197520.03</v>
      </c>
      <c r="CA264" s="112">
        <f t="shared" si="694"/>
        <v>190849.62</v>
      </c>
      <c r="CB264" s="112">
        <f t="shared" si="694"/>
        <v>190849.62</v>
      </c>
      <c r="CC264" s="112">
        <f t="shared" si="694"/>
        <v>190849.62</v>
      </c>
      <c r="CD264" s="112">
        <f t="shared" si="694"/>
        <v>184022.9</v>
      </c>
      <c r="CE264" s="113">
        <f t="shared" si="694"/>
        <v>184022.9</v>
      </c>
      <c r="CF264" s="113">
        <f t="shared" si="694"/>
        <v>184022.9</v>
      </c>
      <c r="CG264" s="113">
        <f t="shared" si="694"/>
        <v>177112.50999999998</v>
      </c>
      <c r="CH264" s="113">
        <f t="shared" si="694"/>
        <v>177112.50999999998</v>
      </c>
      <c r="CI264" s="113">
        <f t="shared" si="694"/>
        <v>177112.50999999998</v>
      </c>
      <c r="CJ264" s="113">
        <f t="shared" si="694"/>
        <v>170079.24999999997</v>
      </c>
      <c r="CK264" s="111">
        <f>CJ264</f>
        <v>170079.24999999997</v>
      </c>
      <c r="CL264" s="111"/>
      <c r="CM264" s="113">
        <f>CK264+CM263</f>
        <v>170079.24999999997</v>
      </c>
      <c r="CN264" s="113">
        <f>CM264+CN263</f>
        <v>170079.24999999997</v>
      </c>
      <c r="CO264" s="113">
        <f t="shared" ref="CO264" si="695">CN264+CO263</f>
        <v>163085.98999999996</v>
      </c>
      <c r="CP264" s="113">
        <f t="shared" ref="CP264" si="696">CO264+CP263</f>
        <v>163085.98999999996</v>
      </c>
      <c r="CQ264" s="113">
        <f t="shared" ref="CQ264" si="697">CP264+CQ263</f>
        <v>163085.98999999996</v>
      </c>
      <c r="CR264" s="113">
        <f t="shared" ref="CR264" si="698">CQ264+CR263</f>
        <v>156132.72999999995</v>
      </c>
      <c r="CS264" s="113">
        <f t="shared" ref="CS264" si="699">CR264+CS263</f>
        <v>156132.72999999995</v>
      </c>
      <c r="CT264" s="113">
        <f t="shared" ref="CT264" si="700">CS264+CT263</f>
        <v>156132.72999999995</v>
      </c>
      <c r="CU264" s="113">
        <f t="shared" ref="CU264" si="701">CT264+CU263</f>
        <v>149219.46999999994</v>
      </c>
      <c r="CV264" s="113">
        <f t="shared" ref="CV264" si="702">CU264+CV263</f>
        <v>149219.46999999994</v>
      </c>
      <c r="CW264" s="113">
        <f t="shared" ref="CW264" si="703">CV264+CW263</f>
        <v>149219.46999999994</v>
      </c>
      <c r="CX264" s="113">
        <f t="shared" ref="CX264" si="704">CW264+CX263</f>
        <v>142346.20999999993</v>
      </c>
      <c r="CY264" s="111">
        <f>CX264</f>
        <v>142346.20999999993</v>
      </c>
      <c r="DL264" s="111">
        <f>DK264</f>
        <v>0</v>
      </c>
    </row>
    <row r="265" spans="2:116">
      <c r="B265" s="325" t="s">
        <v>446</v>
      </c>
      <c r="C265" s="136"/>
      <c r="D265" s="136"/>
      <c r="E265" s="136"/>
      <c r="F265" s="136"/>
      <c r="G265" s="136"/>
      <c r="H265" s="136"/>
      <c r="I265" s="136"/>
      <c r="J265" s="136"/>
      <c r="K265" s="136"/>
      <c r="L265" s="136"/>
      <c r="M265" s="102"/>
      <c r="N265" s="102"/>
      <c r="O265" s="66"/>
      <c r="P265" s="75"/>
      <c r="Q265" s="75"/>
      <c r="R265" s="75"/>
      <c r="S265" s="75"/>
      <c r="T265" s="75"/>
      <c r="U265" s="75"/>
      <c r="V265" s="75"/>
      <c r="W265" s="75"/>
      <c r="X265" s="75"/>
      <c r="Y265" s="75"/>
      <c r="Z265" s="75"/>
      <c r="AA265" s="75"/>
      <c r="AB265" s="114"/>
      <c r="AC265" s="129"/>
      <c r="AD265" s="75"/>
      <c r="AE265" s="75"/>
      <c r="AF265" s="75"/>
      <c r="AG265" s="75"/>
      <c r="AH265" s="75"/>
      <c r="AI265" s="75"/>
      <c r="AJ265" s="75"/>
      <c r="AK265" s="83"/>
      <c r="AL265" s="75"/>
      <c r="AM265" s="75"/>
      <c r="AN265" s="75"/>
      <c r="AO265" s="75"/>
      <c r="AP265" s="75"/>
      <c r="AQ265" s="75"/>
      <c r="AR265" s="75"/>
      <c r="AS265" s="75"/>
      <c r="AT265" s="75"/>
      <c r="AU265" s="75"/>
      <c r="AV265" s="75"/>
      <c r="AW265" s="75"/>
      <c r="AX265" s="114"/>
      <c r="AY265" s="67"/>
      <c r="AZ265" s="69"/>
      <c r="BA265" s="69"/>
      <c r="BB265" s="69"/>
      <c r="BC265" s="69"/>
      <c r="BD265" s="69"/>
      <c r="BE265" s="69"/>
      <c r="BF265" s="69"/>
      <c r="BG265" s="69"/>
      <c r="BH265" s="69"/>
      <c r="BI265" s="69"/>
      <c r="BJ265" s="69"/>
      <c r="BK265" s="114"/>
      <c r="BL265" s="115"/>
      <c r="BM265" s="69"/>
      <c r="BN265" s="213"/>
      <c r="BO265" s="69"/>
      <c r="BP265" s="69"/>
      <c r="BQ265" s="69"/>
      <c r="BR265" s="69"/>
      <c r="BS265" s="69"/>
      <c r="BT265" s="69"/>
      <c r="BU265" s="69"/>
      <c r="BV265" s="69"/>
      <c r="BW265" s="69"/>
      <c r="BX265" s="114"/>
      <c r="BY265" s="115"/>
      <c r="BZ265" s="69"/>
      <c r="CA265" s="69"/>
      <c r="CB265" s="69"/>
      <c r="CC265" s="69"/>
      <c r="CD265" s="69"/>
      <c r="CE265" s="83"/>
      <c r="CF265" s="83"/>
      <c r="CG265" s="83"/>
      <c r="CH265" s="83"/>
      <c r="CI265" s="83"/>
      <c r="CJ265" s="83"/>
      <c r="CK265" s="100"/>
      <c r="CL265" s="100"/>
      <c r="CM265" s="83"/>
      <c r="CN265" s="83"/>
      <c r="CO265" s="83"/>
      <c r="CP265" s="83"/>
      <c r="CQ265" s="83"/>
      <c r="CR265" s="83"/>
      <c r="CS265" s="83"/>
      <c r="CT265" s="83"/>
      <c r="CU265" s="83"/>
      <c r="CV265" s="83"/>
      <c r="CW265" s="83"/>
      <c r="CX265" s="83"/>
      <c r="CY265" s="100"/>
      <c r="DL265" s="100"/>
    </row>
    <row r="266" spans="2:116">
      <c r="B266" s="315" t="s">
        <v>226</v>
      </c>
      <c r="C266" s="136"/>
      <c r="D266" s="136"/>
      <c r="E266" s="136"/>
      <c r="F266" s="136"/>
      <c r="G266" s="136"/>
      <c r="H266" s="136"/>
      <c r="I266" s="136"/>
      <c r="J266" s="136"/>
      <c r="K266" s="136"/>
      <c r="L266" s="136"/>
      <c r="M266" s="102"/>
      <c r="N266" s="102"/>
      <c r="O266" s="66"/>
      <c r="P266" s="75"/>
      <c r="Q266" s="75"/>
      <c r="R266" s="75"/>
      <c r="S266" s="75"/>
      <c r="T266" s="75"/>
      <c r="U266" s="75"/>
      <c r="V266" s="75"/>
      <c r="W266" s="75"/>
      <c r="X266" s="75"/>
      <c r="Y266" s="75"/>
      <c r="Z266" s="75"/>
      <c r="AA266" s="75"/>
      <c r="AB266" s="114"/>
      <c r="AC266" s="129"/>
      <c r="AD266" s="75"/>
      <c r="AE266" s="75"/>
      <c r="AF266" s="75"/>
      <c r="AG266" s="75"/>
      <c r="AH266" s="75"/>
      <c r="AI266" s="75"/>
      <c r="AJ266" s="75"/>
      <c r="AK266" s="83"/>
      <c r="AL266" s="75"/>
      <c r="AM266" s="75"/>
      <c r="AN266" s="75"/>
      <c r="AO266" s="75"/>
      <c r="AP266" s="75"/>
      <c r="AQ266" s="75"/>
      <c r="AR266" s="75"/>
      <c r="AS266" s="75"/>
      <c r="AT266" s="75"/>
      <c r="AU266" s="75"/>
      <c r="AV266" s="75"/>
      <c r="AW266" s="75"/>
      <c r="AX266" s="114"/>
      <c r="AY266" s="67"/>
      <c r="AZ266" s="69"/>
      <c r="BA266" s="69"/>
      <c r="BB266" s="69"/>
      <c r="BC266" s="69"/>
      <c r="BD266" s="69"/>
      <c r="BE266" s="69"/>
      <c r="BF266" s="69"/>
      <c r="BG266" s="69"/>
      <c r="BH266" s="69"/>
      <c r="BI266" s="69"/>
      <c r="BJ266" s="69"/>
      <c r="BK266" s="114"/>
      <c r="BL266" s="115"/>
      <c r="BM266" s="69"/>
      <c r="BN266" s="213"/>
      <c r="BO266" s="69"/>
      <c r="BP266" s="69"/>
      <c r="BQ266" s="69"/>
      <c r="BR266" s="69"/>
      <c r="BS266" s="69"/>
      <c r="BT266" s="69"/>
      <c r="BU266" s="69"/>
      <c r="BV266" s="69"/>
      <c r="BW266" s="69"/>
      <c r="BX266" s="114"/>
      <c r="BY266" s="441"/>
      <c r="BZ266" s="72"/>
      <c r="CA266" s="179"/>
      <c r="CB266" s="179"/>
      <c r="CC266" s="179"/>
      <c r="CD266" s="179"/>
      <c r="CE266" s="109"/>
      <c r="CF266" s="109"/>
      <c r="CG266" s="109"/>
      <c r="CH266" s="109"/>
      <c r="CI266" s="109"/>
      <c r="CJ266" s="109"/>
      <c r="CK266" s="100">
        <f>SUM(BY266:CJ266)</f>
        <v>0</v>
      </c>
      <c r="CL266" s="100"/>
      <c r="CM266" s="109"/>
      <c r="CN266" s="434">
        <v>-100000</v>
      </c>
      <c r="CO266" s="109"/>
      <c r="CP266" s="109"/>
      <c r="CQ266" s="109"/>
      <c r="CR266" s="109"/>
      <c r="CS266" s="109"/>
      <c r="CT266" s="109"/>
      <c r="CU266" s="109"/>
      <c r="CV266" s="109"/>
      <c r="CW266" s="109"/>
      <c r="CX266" s="109"/>
      <c r="CY266" s="100">
        <f>SUM(CM266:CX266)</f>
        <v>-100000</v>
      </c>
      <c r="DL266" s="100">
        <f>SUM(CZ266:DK266)</f>
        <v>0</v>
      </c>
    </row>
    <row r="267" spans="2:116">
      <c r="B267" s="322" t="s">
        <v>404</v>
      </c>
      <c r="C267" s="136"/>
      <c r="D267" s="136"/>
      <c r="E267" s="136"/>
      <c r="F267" s="136"/>
      <c r="G267" s="136"/>
      <c r="H267" s="136"/>
      <c r="I267" s="136"/>
      <c r="J267" s="136"/>
      <c r="K267" s="136"/>
      <c r="L267" s="136"/>
      <c r="M267" s="102"/>
      <c r="N267" s="102"/>
      <c r="O267" s="66"/>
      <c r="P267" s="75"/>
      <c r="Q267" s="75"/>
      <c r="R267" s="75"/>
      <c r="S267" s="75"/>
      <c r="T267" s="75"/>
      <c r="U267" s="75"/>
      <c r="V267" s="75"/>
      <c r="W267" s="75"/>
      <c r="X267" s="75"/>
      <c r="Y267" s="75"/>
      <c r="Z267" s="75"/>
      <c r="AA267" s="75"/>
      <c r="AB267" s="114"/>
      <c r="AC267" s="129"/>
      <c r="AD267" s="75"/>
      <c r="AE267" s="75"/>
      <c r="AF267" s="75"/>
      <c r="AG267" s="75"/>
      <c r="AH267" s="75"/>
      <c r="AI267" s="75"/>
      <c r="AJ267" s="75"/>
      <c r="AK267" s="83"/>
      <c r="AL267" s="75"/>
      <c r="AM267" s="75"/>
      <c r="AN267" s="75"/>
      <c r="AO267" s="75"/>
      <c r="AP267" s="75"/>
      <c r="AQ267" s="75"/>
      <c r="AR267" s="75"/>
      <c r="AS267" s="75"/>
      <c r="AT267" s="75"/>
      <c r="AU267" s="75"/>
      <c r="AV267" s="75"/>
      <c r="AW267" s="75"/>
      <c r="AX267" s="114"/>
      <c r="AY267" s="67"/>
      <c r="AZ267" s="69"/>
      <c r="BA267" s="69"/>
      <c r="BB267" s="69"/>
      <c r="BC267" s="69"/>
      <c r="BD267" s="69"/>
      <c r="BE267" s="69"/>
      <c r="BF267" s="69"/>
      <c r="BG267" s="69"/>
      <c r="BH267" s="69"/>
      <c r="BI267" s="69"/>
      <c r="BJ267" s="69"/>
      <c r="BK267" s="114"/>
      <c r="BL267" s="115"/>
      <c r="BM267" s="69"/>
      <c r="BN267" s="213"/>
      <c r="BO267" s="69"/>
      <c r="BP267" s="69"/>
      <c r="BQ267" s="69"/>
      <c r="BR267" s="69"/>
      <c r="BS267" s="69"/>
      <c r="BT267" s="69"/>
      <c r="BU267" s="69"/>
      <c r="BV267" s="69"/>
      <c r="BW267" s="69"/>
      <c r="BX267" s="114"/>
      <c r="BY267" s="442">
        <f>BV267+BY266</f>
        <v>0</v>
      </c>
      <c r="BZ267" s="459">
        <f t="shared" ref="BZ267:CJ267" si="705">BY267+BZ266</f>
        <v>0</v>
      </c>
      <c r="CA267" s="459">
        <f t="shared" si="705"/>
        <v>0</v>
      </c>
      <c r="CB267" s="459">
        <f t="shared" si="705"/>
        <v>0</v>
      </c>
      <c r="CC267" s="459">
        <f t="shared" si="705"/>
        <v>0</v>
      </c>
      <c r="CD267" s="459">
        <f t="shared" si="705"/>
        <v>0</v>
      </c>
      <c r="CE267" s="352">
        <f t="shared" si="705"/>
        <v>0</v>
      </c>
      <c r="CF267" s="352">
        <f t="shared" si="705"/>
        <v>0</v>
      </c>
      <c r="CG267" s="352">
        <f t="shared" si="705"/>
        <v>0</v>
      </c>
      <c r="CH267" s="352">
        <f t="shared" si="705"/>
        <v>0</v>
      </c>
      <c r="CI267" s="352">
        <f t="shared" si="705"/>
        <v>0</v>
      </c>
      <c r="CJ267" s="352">
        <f t="shared" si="705"/>
        <v>0</v>
      </c>
      <c r="CK267" s="111">
        <f>CJ267</f>
        <v>0</v>
      </c>
      <c r="CL267" s="111"/>
      <c r="CM267" s="210">
        <f>CK267+CM266</f>
        <v>0</v>
      </c>
      <c r="CN267" s="210">
        <f t="shared" ref="CN267" si="706">CM267+CN266</f>
        <v>-100000</v>
      </c>
      <c r="CO267" s="210">
        <f t="shared" ref="CO267" si="707">CN267+CO266</f>
        <v>-100000</v>
      </c>
      <c r="CP267" s="210">
        <f t="shared" ref="CP267" si="708">CO267+CP266</f>
        <v>-100000</v>
      </c>
      <c r="CQ267" s="210">
        <f t="shared" ref="CQ267" si="709">CP267+CQ266</f>
        <v>-100000</v>
      </c>
      <c r="CR267" s="210">
        <f t="shared" ref="CR267" si="710">CQ267+CR266</f>
        <v>-100000</v>
      </c>
      <c r="CS267" s="210">
        <f t="shared" ref="CS267" si="711">CR267+CS266</f>
        <v>-100000</v>
      </c>
      <c r="CT267" s="210">
        <f t="shared" ref="CT267" si="712">CS267+CT266</f>
        <v>-100000</v>
      </c>
      <c r="CU267" s="210">
        <f t="shared" ref="CU267" si="713">CT267+CU266</f>
        <v>-100000</v>
      </c>
      <c r="CV267" s="210">
        <f t="shared" ref="CV267" si="714">CU267+CV266</f>
        <v>-100000</v>
      </c>
      <c r="CW267" s="210">
        <f t="shared" ref="CW267" si="715">CV267+CW266</f>
        <v>-100000</v>
      </c>
      <c r="CX267" s="210">
        <f t="shared" ref="CX267" si="716">CW267+CX266</f>
        <v>-100000</v>
      </c>
      <c r="CY267" s="111">
        <f>CX267</f>
        <v>-100000</v>
      </c>
      <c r="DL267" s="111">
        <f>DK267</f>
        <v>0</v>
      </c>
    </row>
    <row r="268" spans="2:116">
      <c r="B268" s="11" t="s">
        <v>346</v>
      </c>
      <c r="C268" s="136"/>
      <c r="D268" s="136"/>
      <c r="E268" s="136"/>
      <c r="F268" s="136"/>
      <c r="G268" s="136"/>
      <c r="H268" s="136"/>
      <c r="I268" s="136"/>
      <c r="J268" s="136"/>
      <c r="K268" s="136"/>
      <c r="L268" s="136"/>
      <c r="M268" s="102"/>
      <c r="N268" s="102"/>
      <c r="O268" s="66"/>
      <c r="P268" s="75"/>
      <c r="Q268" s="75"/>
      <c r="R268" s="75"/>
      <c r="S268" s="75"/>
      <c r="T268" s="75"/>
      <c r="U268" s="75"/>
      <c r="V268" s="75"/>
      <c r="W268" s="75"/>
      <c r="X268" s="75"/>
      <c r="Y268" s="75"/>
      <c r="Z268" s="75"/>
      <c r="AA268" s="75"/>
      <c r="AB268" s="114"/>
      <c r="AC268" s="129"/>
      <c r="AD268" s="75"/>
      <c r="AE268" s="75"/>
      <c r="AF268" s="75"/>
      <c r="AG268" s="75"/>
      <c r="AH268" s="75"/>
      <c r="AI268" s="75"/>
      <c r="AJ268" s="75"/>
      <c r="AK268" s="83"/>
      <c r="AL268" s="75"/>
      <c r="AM268" s="75"/>
      <c r="AN268" s="75"/>
      <c r="AO268" s="75"/>
      <c r="AP268" s="75"/>
      <c r="AQ268" s="75"/>
      <c r="AR268" s="75"/>
      <c r="AS268" s="75"/>
      <c r="AT268" s="75"/>
      <c r="AU268" s="75"/>
      <c r="AV268" s="75"/>
      <c r="AW268" s="75"/>
      <c r="AX268" s="114"/>
      <c r="AY268" s="67"/>
      <c r="AZ268" s="69"/>
      <c r="BA268" s="69"/>
      <c r="BB268" s="69"/>
      <c r="BC268" s="69"/>
      <c r="BD268" s="69"/>
      <c r="BE268" s="69"/>
      <c r="BF268" s="69"/>
      <c r="BG268" s="69"/>
      <c r="BH268" s="69"/>
      <c r="BI268" s="69"/>
      <c r="BJ268" s="69"/>
      <c r="BK268" s="114"/>
      <c r="BL268" s="115"/>
      <c r="BM268" s="69"/>
      <c r="BN268" s="213"/>
      <c r="BO268" s="69"/>
      <c r="BP268" s="69"/>
      <c r="BQ268" s="69"/>
      <c r="BR268" s="69"/>
      <c r="BS268" s="69"/>
      <c r="BT268" s="69"/>
      <c r="BU268" s="69"/>
      <c r="BV268" s="69"/>
      <c r="BW268" s="69"/>
      <c r="BX268" s="114"/>
      <c r="BY268" s="115"/>
      <c r="BZ268" s="69"/>
      <c r="CA268" s="69"/>
      <c r="CB268" s="69"/>
      <c r="CC268" s="69"/>
      <c r="CD268" s="69"/>
      <c r="CE268" s="83"/>
      <c r="CF268" s="83"/>
      <c r="CG268" s="83"/>
      <c r="CH268" s="83"/>
      <c r="CI268" s="83"/>
      <c r="CJ268" s="83"/>
      <c r="CK268" s="100"/>
      <c r="CL268" s="100"/>
      <c r="CM268" s="66"/>
      <c r="CN268" s="66"/>
      <c r="CO268" s="66"/>
      <c r="CP268" s="66"/>
      <c r="CQ268" s="66"/>
      <c r="CR268" s="66"/>
      <c r="CS268" s="66"/>
      <c r="CT268" s="66"/>
      <c r="CU268" s="66"/>
      <c r="CV268" s="66"/>
      <c r="CW268" s="66"/>
      <c r="CX268" s="66"/>
      <c r="CY268" s="100"/>
      <c r="DL268" s="100"/>
    </row>
    <row r="269" spans="2:116">
      <c r="B269" s="1" t="s">
        <v>226</v>
      </c>
      <c r="C269" s="136"/>
      <c r="D269" s="136"/>
      <c r="E269" s="136"/>
      <c r="F269" s="136"/>
      <c r="G269" s="136"/>
      <c r="H269" s="136"/>
      <c r="I269" s="136"/>
      <c r="J269" s="136"/>
      <c r="K269" s="136"/>
      <c r="L269" s="136"/>
      <c r="M269" s="102"/>
      <c r="N269" s="102"/>
      <c r="O269" s="66"/>
      <c r="P269" s="75"/>
      <c r="Q269" s="75"/>
      <c r="R269" s="75"/>
      <c r="S269" s="75"/>
      <c r="T269" s="75"/>
      <c r="U269" s="75"/>
      <c r="V269" s="75"/>
      <c r="W269" s="75"/>
      <c r="X269" s="75"/>
      <c r="Y269" s="75"/>
      <c r="Z269" s="75"/>
      <c r="AA269" s="75"/>
      <c r="AB269" s="114"/>
      <c r="AC269" s="129"/>
      <c r="AD269" s="75"/>
      <c r="AE269" s="75"/>
      <c r="AF269" s="75"/>
      <c r="AG269" s="75"/>
      <c r="AH269" s="75"/>
      <c r="AI269" s="75"/>
      <c r="AJ269" s="75"/>
      <c r="AK269" s="83"/>
      <c r="AL269" s="75"/>
      <c r="AM269" s="75"/>
      <c r="AN269" s="75"/>
      <c r="AO269" s="75"/>
      <c r="AP269" s="75"/>
      <c r="AQ269" s="75"/>
      <c r="AR269" s="75"/>
      <c r="AS269" s="75"/>
      <c r="AT269" s="75"/>
      <c r="AU269" s="75"/>
      <c r="AV269" s="75"/>
      <c r="AW269" s="75"/>
      <c r="AX269" s="114"/>
      <c r="AY269" s="67"/>
      <c r="AZ269" s="69"/>
      <c r="BA269" s="69"/>
      <c r="BB269" s="69"/>
      <c r="BC269" s="69"/>
      <c r="BD269" s="69"/>
      <c r="BE269" s="69"/>
      <c r="BF269" s="69"/>
      <c r="BG269" s="69"/>
      <c r="BH269" s="69"/>
      <c r="BI269" s="69"/>
      <c r="BJ269" s="69"/>
      <c r="BK269" s="114"/>
      <c r="BL269" s="115"/>
      <c r="BM269" s="69"/>
      <c r="BN269" s="213"/>
      <c r="BO269" s="69"/>
      <c r="BP269" s="69"/>
      <c r="BQ269" s="69"/>
      <c r="BR269" s="69"/>
      <c r="BS269" s="69"/>
      <c r="BT269" s="69"/>
      <c r="BU269" s="69"/>
      <c r="BV269" s="69"/>
      <c r="BW269" s="69"/>
      <c r="BX269" s="114"/>
      <c r="BY269" s="240"/>
      <c r="BZ269" s="179"/>
      <c r="CA269" s="179"/>
      <c r="CB269" s="179"/>
      <c r="CC269" s="179"/>
      <c r="CD269" s="179"/>
      <c r="CE269" s="109"/>
      <c r="CF269" s="109"/>
      <c r="CG269" s="109"/>
      <c r="CH269" s="109"/>
      <c r="CI269" s="109"/>
      <c r="CJ269" s="109"/>
      <c r="CK269" s="100"/>
      <c r="CL269" s="100"/>
      <c r="CM269" s="305"/>
      <c r="CN269" s="66"/>
      <c r="CO269" s="66"/>
      <c r="CP269" s="66"/>
      <c r="CQ269" s="66"/>
      <c r="CR269" s="66"/>
      <c r="CS269" s="66"/>
      <c r="CT269" s="66"/>
      <c r="CU269" s="66"/>
      <c r="CV269" s="66"/>
      <c r="CW269" s="66"/>
      <c r="CX269" s="66"/>
      <c r="CY269" s="100">
        <f>SUM(CM269:CX269)</f>
        <v>0</v>
      </c>
      <c r="DL269" s="100">
        <f>SUM(CZ269:DK269)</f>
        <v>0</v>
      </c>
    </row>
    <row r="270" spans="2:116">
      <c r="B270" s="13" t="s">
        <v>336</v>
      </c>
      <c r="C270" s="136"/>
      <c r="D270" s="136"/>
      <c r="E270" s="136"/>
      <c r="F270" s="136"/>
      <c r="G270" s="136"/>
      <c r="H270" s="136"/>
      <c r="I270" s="136"/>
      <c r="J270" s="136"/>
      <c r="K270" s="136"/>
      <c r="L270" s="136"/>
      <c r="M270" s="102"/>
      <c r="N270" s="102"/>
      <c r="O270" s="66"/>
      <c r="P270" s="75"/>
      <c r="Q270" s="75"/>
      <c r="R270" s="75"/>
      <c r="S270" s="75"/>
      <c r="T270" s="75"/>
      <c r="U270" s="75"/>
      <c r="V270" s="75"/>
      <c r="W270" s="75"/>
      <c r="X270" s="75"/>
      <c r="Y270" s="75"/>
      <c r="Z270" s="75"/>
      <c r="AA270" s="75"/>
      <c r="AB270" s="114"/>
      <c r="AC270" s="129"/>
      <c r="AD270" s="75"/>
      <c r="AE270" s="75"/>
      <c r="AF270" s="75"/>
      <c r="AG270" s="75"/>
      <c r="AH270" s="75"/>
      <c r="AI270" s="75"/>
      <c r="AJ270" s="75"/>
      <c r="AK270" s="83"/>
      <c r="AL270" s="75"/>
      <c r="AM270" s="75"/>
      <c r="AN270" s="75"/>
      <c r="AO270" s="75"/>
      <c r="AP270" s="75"/>
      <c r="AQ270" s="75"/>
      <c r="AR270" s="75"/>
      <c r="AS270" s="75"/>
      <c r="AT270" s="75"/>
      <c r="AU270" s="75"/>
      <c r="AV270" s="75"/>
      <c r="AW270" s="75"/>
      <c r="AX270" s="114"/>
      <c r="AY270" s="67"/>
      <c r="AZ270" s="69"/>
      <c r="BA270" s="69"/>
      <c r="BB270" s="69"/>
      <c r="BC270" s="69"/>
      <c r="BD270" s="69"/>
      <c r="BE270" s="69"/>
      <c r="BF270" s="69"/>
      <c r="BG270" s="69"/>
      <c r="BH270" s="69"/>
      <c r="BI270" s="69"/>
      <c r="BJ270" s="69"/>
      <c r="BK270" s="114"/>
      <c r="BL270" s="115"/>
      <c r="BM270" s="69"/>
      <c r="BN270" s="213"/>
      <c r="BO270" s="69"/>
      <c r="BP270" s="69"/>
      <c r="BQ270" s="69"/>
      <c r="BR270" s="69"/>
      <c r="BS270" s="69"/>
      <c r="BT270" s="69"/>
      <c r="BU270" s="69"/>
      <c r="BV270" s="69"/>
      <c r="BW270" s="69"/>
      <c r="BX270" s="114"/>
      <c r="BY270" s="204">
        <v>-771.38</v>
      </c>
      <c r="BZ270" s="112">
        <f t="shared" ref="BZ270:CJ270" si="717">BY270+BZ269</f>
        <v>-771.38</v>
      </c>
      <c r="CA270" s="112">
        <f t="shared" si="717"/>
        <v>-771.38</v>
      </c>
      <c r="CB270" s="112">
        <f t="shared" si="717"/>
        <v>-771.38</v>
      </c>
      <c r="CC270" s="112">
        <f t="shared" si="717"/>
        <v>-771.38</v>
      </c>
      <c r="CD270" s="112">
        <f t="shared" si="717"/>
        <v>-771.38</v>
      </c>
      <c r="CE270" s="113">
        <f t="shared" si="717"/>
        <v>-771.38</v>
      </c>
      <c r="CF270" s="113">
        <f t="shared" si="717"/>
        <v>-771.38</v>
      </c>
      <c r="CG270" s="113">
        <f t="shared" si="717"/>
        <v>-771.38</v>
      </c>
      <c r="CH270" s="113">
        <f t="shared" si="717"/>
        <v>-771.38</v>
      </c>
      <c r="CI270" s="113">
        <f t="shared" si="717"/>
        <v>-771.38</v>
      </c>
      <c r="CJ270" s="113">
        <f t="shared" si="717"/>
        <v>-771.38</v>
      </c>
      <c r="CK270" s="111">
        <f>CJ270</f>
        <v>-771.38</v>
      </c>
      <c r="CL270" s="111"/>
      <c r="CM270" s="210">
        <f>CK270+CM269</f>
        <v>-771.38</v>
      </c>
      <c r="CN270" s="210">
        <f t="shared" ref="CN270" si="718">CM270+CN269</f>
        <v>-771.38</v>
      </c>
      <c r="CO270" s="210">
        <f t="shared" ref="CO270" si="719">CN270+CO269</f>
        <v>-771.38</v>
      </c>
      <c r="CP270" s="210">
        <f t="shared" ref="CP270" si="720">CO270+CP269</f>
        <v>-771.38</v>
      </c>
      <c r="CQ270" s="210">
        <f t="shared" ref="CQ270" si="721">CP270+CQ269</f>
        <v>-771.38</v>
      </c>
      <c r="CR270" s="210">
        <f t="shared" ref="CR270" si="722">CQ270+CR269</f>
        <v>-771.38</v>
      </c>
      <c r="CS270" s="210">
        <f t="shared" ref="CS270" si="723">CR270+CS269</f>
        <v>-771.38</v>
      </c>
      <c r="CT270" s="210">
        <f t="shared" ref="CT270" si="724">CS270+CT269</f>
        <v>-771.38</v>
      </c>
      <c r="CU270" s="210">
        <f t="shared" ref="CU270" si="725">CT270+CU269</f>
        <v>-771.38</v>
      </c>
      <c r="CV270" s="210">
        <f t="shared" ref="CV270" si="726">CU270+CV269</f>
        <v>-771.38</v>
      </c>
      <c r="CW270" s="210">
        <f t="shared" ref="CW270" si="727">CV270+CW269</f>
        <v>-771.38</v>
      </c>
      <c r="CX270" s="210">
        <f t="shared" ref="CX270" si="728">CW270+CX269</f>
        <v>-771.38</v>
      </c>
      <c r="CY270" s="111">
        <f>CX270</f>
        <v>-771.38</v>
      </c>
      <c r="DL270" s="111">
        <f>DK270</f>
        <v>0</v>
      </c>
    </row>
    <row r="271" spans="2:116">
      <c r="B271" s="11" t="s">
        <v>347</v>
      </c>
      <c r="C271" s="136"/>
      <c r="D271" s="136"/>
      <c r="E271" s="136"/>
      <c r="F271" s="136"/>
      <c r="G271" s="136"/>
      <c r="H271" s="136"/>
      <c r="I271" s="136"/>
      <c r="J271" s="136"/>
      <c r="K271" s="136"/>
      <c r="L271" s="136"/>
      <c r="M271" s="102"/>
      <c r="N271" s="102"/>
      <c r="O271" s="66"/>
      <c r="P271" s="75"/>
      <c r="Q271" s="75"/>
      <c r="R271" s="75"/>
      <c r="S271" s="75"/>
      <c r="T271" s="75"/>
      <c r="U271" s="75"/>
      <c r="V271" s="75"/>
      <c r="W271" s="75"/>
      <c r="X271" s="75"/>
      <c r="Y271" s="75"/>
      <c r="Z271" s="75"/>
      <c r="AA271" s="75"/>
      <c r="AB271" s="114"/>
      <c r="AC271" s="129"/>
      <c r="AD271" s="75"/>
      <c r="AE271" s="75"/>
      <c r="AF271" s="75"/>
      <c r="AG271" s="75"/>
      <c r="AH271" s="75"/>
      <c r="AI271" s="75"/>
      <c r="AJ271" s="75"/>
      <c r="AK271" s="83"/>
      <c r="AL271" s="75"/>
      <c r="AM271" s="75"/>
      <c r="AN271" s="75"/>
      <c r="AO271" s="75"/>
      <c r="AP271" s="75"/>
      <c r="AQ271" s="75"/>
      <c r="AR271" s="75"/>
      <c r="AS271" s="75"/>
      <c r="AT271" s="75"/>
      <c r="AU271" s="75"/>
      <c r="AV271" s="75"/>
      <c r="AW271" s="75"/>
      <c r="AX271" s="114"/>
      <c r="AY271" s="67"/>
      <c r="AZ271" s="69"/>
      <c r="BA271" s="69"/>
      <c r="BB271" s="69"/>
      <c r="BC271" s="69"/>
      <c r="BD271" s="69"/>
      <c r="BE271" s="69"/>
      <c r="BF271" s="69"/>
      <c r="BG271" s="69"/>
      <c r="BH271" s="69"/>
      <c r="BI271" s="69"/>
      <c r="BJ271" s="69"/>
      <c r="BK271" s="114"/>
      <c r="BL271" s="115"/>
      <c r="BM271" s="69"/>
      <c r="BN271" s="213"/>
      <c r="BO271" s="69"/>
      <c r="BP271" s="69"/>
      <c r="BQ271" s="69"/>
      <c r="BR271" s="69"/>
      <c r="BS271" s="69"/>
      <c r="BT271" s="69"/>
      <c r="BU271" s="69"/>
      <c r="BV271" s="69"/>
      <c r="BW271" s="69"/>
      <c r="BX271" s="114"/>
      <c r="BY271" s="115"/>
      <c r="BZ271" s="69"/>
      <c r="CA271" s="69"/>
      <c r="CB271" s="69"/>
      <c r="CC271" s="69"/>
      <c r="CD271" s="69"/>
      <c r="CE271" s="83"/>
      <c r="CF271" s="83"/>
      <c r="CG271" s="83"/>
      <c r="CH271" s="83"/>
      <c r="CI271" s="83"/>
      <c r="CJ271" s="83"/>
      <c r="CK271" s="100"/>
      <c r="CL271" s="100"/>
      <c r="CM271" s="66"/>
      <c r="CN271" s="66"/>
      <c r="CO271" s="66"/>
      <c r="CP271" s="66"/>
      <c r="CQ271" s="66"/>
      <c r="CR271" s="66"/>
      <c r="CS271" s="66"/>
      <c r="CT271" s="66"/>
      <c r="CU271" s="66"/>
      <c r="CV271" s="66"/>
      <c r="CW271" s="66"/>
      <c r="CX271" s="66"/>
      <c r="CY271" s="100"/>
      <c r="DL271" s="100"/>
    </row>
    <row r="272" spans="2:116">
      <c r="B272" s="1" t="s">
        <v>226</v>
      </c>
      <c r="C272" s="136"/>
      <c r="D272" s="136"/>
      <c r="E272" s="136"/>
      <c r="F272" s="136"/>
      <c r="G272" s="136"/>
      <c r="H272" s="136"/>
      <c r="I272" s="136"/>
      <c r="J272" s="136"/>
      <c r="K272" s="136"/>
      <c r="L272" s="136"/>
      <c r="M272" s="102"/>
      <c r="N272" s="102"/>
      <c r="O272" s="66"/>
      <c r="P272" s="75"/>
      <c r="Q272" s="75"/>
      <c r="R272" s="75"/>
      <c r="S272" s="75"/>
      <c r="T272" s="75"/>
      <c r="U272" s="75"/>
      <c r="V272" s="75"/>
      <c r="W272" s="75"/>
      <c r="X272" s="75"/>
      <c r="Y272" s="75"/>
      <c r="Z272" s="75"/>
      <c r="AA272" s="75"/>
      <c r="AB272" s="114"/>
      <c r="AC272" s="129"/>
      <c r="AD272" s="75"/>
      <c r="AE272" s="75"/>
      <c r="AF272" s="75"/>
      <c r="AG272" s="75"/>
      <c r="AH272" s="75"/>
      <c r="AI272" s="75"/>
      <c r="AJ272" s="75"/>
      <c r="AK272" s="83"/>
      <c r="AL272" s="75"/>
      <c r="AM272" s="75"/>
      <c r="AN272" s="75"/>
      <c r="AO272" s="75"/>
      <c r="AP272" s="75"/>
      <c r="AQ272" s="75"/>
      <c r="AR272" s="75"/>
      <c r="AS272" s="75"/>
      <c r="AT272" s="75"/>
      <c r="AU272" s="75"/>
      <c r="AV272" s="75"/>
      <c r="AW272" s="75"/>
      <c r="AX272" s="114"/>
      <c r="AY272" s="67"/>
      <c r="AZ272" s="69"/>
      <c r="BA272" s="69"/>
      <c r="BB272" s="69"/>
      <c r="BC272" s="69"/>
      <c r="BD272" s="69"/>
      <c r="BE272" s="69"/>
      <c r="BF272" s="69"/>
      <c r="BG272" s="69"/>
      <c r="BH272" s="69"/>
      <c r="BI272" s="69"/>
      <c r="BJ272" s="69"/>
      <c r="BK272" s="114"/>
      <c r="BL272" s="115"/>
      <c r="BM272" s="69"/>
      <c r="BN272" s="213"/>
      <c r="BO272" s="69"/>
      <c r="BP272" s="69"/>
      <c r="BQ272" s="69"/>
      <c r="BR272" s="69"/>
      <c r="BS272" s="69"/>
      <c r="BT272" s="69"/>
      <c r="BU272" s="69"/>
      <c r="BV272" s="69"/>
      <c r="BW272" s="69"/>
      <c r="BX272" s="114"/>
      <c r="BY272" s="202"/>
      <c r="BZ272" s="72"/>
      <c r="CA272" s="179"/>
      <c r="CB272" s="179"/>
      <c r="CC272" s="179"/>
      <c r="CD272" s="179"/>
      <c r="CE272" s="109"/>
      <c r="CF272" s="109"/>
      <c r="CG272" s="109"/>
      <c r="CH272" s="109"/>
      <c r="CI272" s="109"/>
      <c r="CJ272" s="109"/>
      <c r="CK272" s="100"/>
      <c r="CL272" s="100"/>
      <c r="CM272" s="66"/>
      <c r="CN272" s="66"/>
      <c r="CO272" s="66"/>
      <c r="CP272" s="66"/>
      <c r="CQ272" s="66"/>
      <c r="CR272" s="66"/>
      <c r="CS272" s="66"/>
      <c r="CT272" s="66"/>
      <c r="CU272" s="66"/>
      <c r="CV272" s="66"/>
      <c r="CW272" s="66"/>
      <c r="CX272" s="66"/>
      <c r="CY272" s="100">
        <f>SUM(CM272:CX272)</f>
        <v>0</v>
      </c>
      <c r="DL272" s="100">
        <f>SUM(CZ272:DK272)</f>
        <v>0</v>
      </c>
    </row>
    <row r="273" spans="2:116">
      <c r="B273" s="13" t="s">
        <v>336</v>
      </c>
      <c r="C273" s="136"/>
      <c r="D273" s="136"/>
      <c r="E273" s="136"/>
      <c r="F273" s="136"/>
      <c r="G273" s="136"/>
      <c r="H273" s="136"/>
      <c r="I273" s="136"/>
      <c r="J273" s="136"/>
      <c r="K273" s="136"/>
      <c r="L273" s="136"/>
      <c r="M273" s="102"/>
      <c r="N273" s="102"/>
      <c r="O273" s="66"/>
      <c r="P273" s="75"/>
      <c r="Q273" s="75"/>
      <c r="R273" s="75"/>
      <c r="S273" s="75"/>
      <c r="T273" s="75"/>
      <c r="U273" s="75"/>
      <c r="V273" s="75"/>
      <c r="W273" s="75"/>
      <c r="X273" s="75"/>
      <c r="Y273" s="75"/>
      <c r="Z273" s="75"/>
      <c r="AA273" s="75"/>
      <c r="AB273" s="114"/>
      <c r="AC273" s="129"/>
      <c r="AD273" s="75"/>
      <c r="AE273" s="75"/>
      <c r="AF273" s="75"/>
      <c r="AG273" s="75"/>
      <c r="AH273" s="75"/>
      <c r="AI273" s="75"/>
      <c r="AJ273" s="75"/>
      <c r="AK273" s="83"/>
      <c r="AL273" s="75"/>
      <c r="AM273" s="75"/>
      <c r="AN273" s="75"/>
      <c r="AO273" s="75"/>
      <c r="AP273" s="75"/>
      <c r="AQ273" s="75"/>
      <c r="AR273" s="75"/>
      <c r="AS273" s="75"/>
      <c r="AT273" s="75"/>
      <c r="AU273" s="75"/>
      <c r="AV273" s="75"/>
      <c r="AW273" s="75"/>
      <c r="AX273" s="114"/>
      <c r="AY273" s="67"/>
      <c r="AZ273" s="69"/>
      <c r="BA273" s="69"/>
      <c r="BB273" s="69"/>
      <c r="BC273" s="69"/>
      <c r="BD273" s="69"/>
      <c r="BE273" s="69"/>
      <c r="BF273" s="69"/>
      <c r="BG273" s="69"/>
      <c r="BH273" s="69"/>
      <c r="BI273" s="69"/>
      <c r="BJ273" s="69"/>
      <c r="BK273" s="114"/>
      <c r="BL273" s="115"/>
      <c r="BM273" s="69"/>
      <c r="BN273" s="213"/>
      <c r="BO273" s="69"/>
      <c r="BP273" s="69"/>
      <c r="BQ273" s="69"/>
      <c r="BR273" s="69"/>
      <c r="BS273" s="69"/>
      <c r="BT273" s="69"/>
      <c r="BU273" s="69"/>
      <c r="BV273" s="69"/>
      <c r="BW273" s="69"/>
      <c r="BX273" s="114"/>
      <c r="BY273" s="204">
        <v>-4345.72</v>
      </c>
      <c r="BZ273" s="112">
        <f t="shared" ref="BZ273:CJ273" si="729">BY273+BZ272</f>
        <v>-4345.72</v>
      </c>
      <c r="CA273" s="112">
        <f t="shared" si="729"/>
        <v>-4345.72</v>
      </c>
      <c r="CB273" s="112">
        <f t="shared" si="729"/>
        <v>-4345.72</v>
      </c>
      <c r="CC273" s="112">
        <f t="shared" si="729"/>
        <v>-4345.72</v>
      </c>
      <c r="CD273" s="112">
        <f t="shared" si="729"/>
        <v>-4345.72</v>
      </c>
      <c r="CE273" s="113">
        <f t="shared" si="729"/>
        <v>-4345.72</v>
      </c>
      <c r="CF273" s="113">
        <f t="shared" si="729"/>
        <v>-4345.72</v>
      </c>
      <c r="CG273" s="113">
        <f t="shared" si="729"/>
        <v>-4345.72</v>
      </c>
      <c r="CH273" s="113">
        <f t="shared" si="729"/>
        <v>-4345.72</v>
      </c>
      <c r="CI273" s="113">
        <f t="shared" si="729"/>
        <v>-4345.72</v>
      </c>
      <c r="CJ273" s="113">
        <f t="shared" si="729"/>
        <v>-4345.72</v>
      </c>
      <c r="CK273" s="111">
        <f>CJ273</f>
        <v>-4345.72</v>
      </c>
      <c r="CL273" s="111"/>
      <c r="CM273" s="210">
        <f>CK273+CM272</f>
        <v>-4345.72</v>
      </c>
      <c r="CN273" s="210">
        <f t="shared" ref="CN273" si="730">CM273+CN272</f>
        <v>-4345.72</v>
      </c>
      <c r="CO273" s="210">
        <f t="shared" ref="CO273" si="731">CN273+CO272</f>
        <v>-4345.72</v>
      </c>
      <c r="CP273" s="210">
        <f t="shared" ref="CP273" si="732">CO273+CP272</f>
        <v>-4345.72</v>
      </c>
      <c r="CQ273" s="210">
        <f t="shared" ref="CQ273" si="733">CP273+CQ272</f>
        <v>-4345.72</v>
      </c>
      <c r="CR273" s="210">
        <f t="shared" ref="CR273" si="734">CQ273+CR272</f>
        <v>-4345.72</v>
      </c>
      <c r="CS273" s="210">
        <f t="shared" ref="CS273" si="735">CR273+CS272</f>
        <v>-4345.72</v>
      </c>
      <c r="CT273" s="210">
        <f t="shared" ref="CT273" si="736">CS273+CT272</f>
        <v>-4345.72</v>
      </c>
      <c r="CU273" s="210">
        <f t="shared" ref="CU273" si="737">CT273+CU272</f>
        <v>-4345.72</v>
      </c>
      <c r="CV273" s="210">
        <f t="shared" ref="CV273" si="738">CU273+CV272</f>
        <v>-4345.72</v>
      </c>
      <c r="CW273" s="210">
        <f t="shared" ref="CW273" si="739">CV273+CW272</f>
        <v>-4345.72</v>
      </c>
      <c r="CX273" s="210">
        <f t="shared" ref="CX273" si="740">CW273+CX272</f>
        <v>-4345.72</v>
      </c>
      <c r="CY273" s="111">
        <f>CX273</f>
        <v>-4345.72</v>
      </c>
      <c r="DL273" s="111">
        <f>DK273</f>
        <v>0</v>
      </c>
    </row>
    <row r="274" spans="2:116">
      <c r="B274" s="325" t="s">
        <v>444</v>
      </c>
      <c r="C274" s="136"/>
      <c r="D274" s="136"/>
      <c r="E274" s="136"/>
      <c r="F274" s="136"/>
      <c r="G274" s="136"/>
      <c r="H274" s="136"/>
      <c r="I274" s="136"/>
      <c r="J274" s="136"/>
      <c r="K274" s="136"/>
      <c r="L274" s="136"/>
      <c r="M274" s="102"/>
      <c r="N274" s="102"/>
      <c r="O274" s="66"/>
      <c r="P274" s="75"/>
      <c r="Q274" s="75"/>
      <c r="R274" s="75"/>
      <c r="S274" s="75"/>
      <c r="T274" s="75"/>
      <c r="U274" s="75"/>
      <c r="V274" s="75"/>
      <c r="W274" s="75"/>
      <c r="X274" s="75"/>
      <c r="Y274" s="75"/>
      <c r="Z274" s="75"/>
      <c r="AA274" s="75"/>
      <c r="AB274" s="114"/>
      <c r="AC274" s="129"/>
      <c r="AD274" s="75"/>
      <c r="AE274" s="75"/>
      <c r="AF274" s="75"/>
      <c r="AG274" s="75"/>
      <c r="AH274" s="75"/>
      <c r="AI274" s="75"/>
      <c r="AJ274" s="75"/>
      <c r="AK274" s="83"/>
      <c r="AL274" s="75"/>
      <c r="AM274" s="75"/>
      <c r="AN274" s="75"/>
      <c r="AO274" s="75"/>
      <c r="AP274" s="75"/>
      <c r="AQ274" s="75"/>
      <c r="AR274" s="75"/>
      <c r="AS274" s="75"/>
      <c r="AT274" s="75"/>
      <c r="AU274" s="75"/>
      <c r="AV274" s="75"/>
      <c r="AW274" s="75"/>
      <c r="AX274" s="114"/>
      <c r="AY274" s="67"/>
      <c r="AZ274" s="69"/>
      <c r="BA274" s="69"/>
      <c r="BB274" s="69"/>
      <c r="BC274" s="69"/>
      <c r="BD274" s="69"/>
      <c r="BE274" s="69"/>
      <c r="BF274" s="69"/>
      <c r="BG274" s="69"/>
      <c r="BH274" s="69"/>
      <c r="BI274" s="69"/>
      <c r="BJ274" s="69"/>
      <c r="BK274" s="114"/>
      <c r="BL274" s="115"/>
      <c r="BM274" s="69"/>
      <c r="BN274" s="213"/>
      <c r="BO274" s="69"/>
      <c r="BP274" s="69"/>
      <c r="BQ274" s="69"/>
      <c r="BR274" s="69"/>
      <c r="BS274" s="69"/>
      <c r="BT274" s="69"/>
      <c r="BU274" s="69"/>
      <c r="BV274" s="69"/>
      <c r="BW274" s="69"/>
      <c r="BX274" s="114"/>
      <c r="BY274" s="115"/>
      <c r="BZ274" s="69"/>
      <c r="CA274" s="69"/>
      <c r="CB274" s="69"/>
      <c r="CC274" s="69"/>
      <c r="CD274" s="69"/>
      <c r="CE274" s="83"/>
      <c r="CF274" s="83"/>
      <c r="CG274" s="83"/>
      <c r="CH274" s="83"/>
      <c r="CI274" s="83"/>
      <c r="CJ274" s="83"/>
      <c r="CK274" s="100"/>
      <c r="CL274" s="100"/>
      <c r="CM274" s="66"/>
      <c r="CN274" s="66"/>
      <c r="CO274" s="66"/>
      <c r="CP274" s="66"/>
      <c r="CQ274" s="66"/>
      <c r="CR274" s="66"/>
      <c r="CS274" s="66"/>
      <c r="CT274" s="66"/>
      <c r="CU274" s="66"/>
      <c r="CV274" s="66"/>
      <c r="CW274" s="66"/>
      <c r="CX274" s="66"/>
      <c r="CY274" s="100"/>
      <c r="DL274" s="100"/>
    </row>
    <row r="275" spans="2:116">
      <c r="B275" s="315" t="s">
        <v>226</v>
      </c>
      <c r="C275" s="136"/>
      <c r="D275" s="136"/>
      <c r="E275" s="136"/>
      <c r="F275" s="136"/>
      <c r="G275" s="136"/>
      <c r="H275" s="136"/>
      <c r="I275" s="136"/>
      <c r="J275" s="136"/>
      <c r="K275" s="136"/>
      <c r="L275" s="136"/>
      <c r="M275" s="102"/>
      <c r="N275" s="102"/>
      <c r="O275" s="66"/>
      <c r="P275" s="75"/>
      <c r="Q275" s="75"/>
      <c r="R275" s="75"/>
      <c r="S275" s="75"/>
      <c r="T275" s="75"/>
      <c r="U275" s="75"/>
      <c r="V275" s="75"/>
      <c r="W275" s="75"/>
      <c r="X275" s="75"/>
      <c r="Y275" s="75"/>
      <c r="Z275" s="75"/>
      <c r="AA275" s="75"/>
      <c r="AB275" s="114"/>
      <c r="AC275" s="129"/>
      <c r="AD275" s="75"/>
      <c r="AE275" s="75"/>
      <c r="AF275" s="75"/>
      <c r="AG275" s="75"/>
      <c r="AH275" s="75"/>
      <c r="AI275" s="75"/>
      <c r="AJ275" s="75"/>
      <c r="AK275" s="83"/>
      <c r="AL275" s="75"/>
      <c r="AM275" s="75"/>
      <c r="AN275" s="75"/>
      <c r="AO275" s="75"/>
      <c r="AP275" s="75"/>
      <c r="AQ275" s="75"/>
      <c r="AR275" s="75"/>
      <c r="AS275" s="75"/>
      <c r="AT275" s="75"/>
      <c r="AU275" s="75"/>
      <c r="AV275" s="75"/>
      <c r="AW275" s="75"/>
      <c r="AX275" s="114"/>
      <c r="AY275" s="67"/>
      <c r="AZ275" s="69"/>
      <c r="BA275" s="69"/>
      <c r="BB275" s="69"/>
      <c r="BC275" s="69"/>
      <c r="BD275" s="69"/>
      <c r="BE275" s="69"/>
      <c r="BF275" s="69"/>
      <c r="BG275" s="69"/>
      <c r="BH275" s="69"/>
      <c r="BI275" s="69"/>
      <c r="BJ275" s="69"/>
      <c r="BK275" s="114"/>
      <c r="BL275" s="115"/>
      <c r="BM275" s="69"/>
      <c r="BN275" s="213"/>
      <c r="BO275" s="69"/>
      <c r="BP275" s="69"/>
      <c r="BQ275" s="69"/>
      <c r="BR275" s="69"/>
      <c r="BS275" s="69"/>
      <c r="BT275" s="69"/>
      <c r="BU275" s="69"/>
      <c r="BV275" s="69"/>
      <c r="BW275" s="69"/>
      <c r="BX275" s="114"/>
      <c r="BY275" s="240">
        <v>474835.89</v>
      </c>
      <c r="BZ275" s="179"/>
      <c r="CA275" s="179"/>
      <c r="CB275" s="179"/>
      <c r="CC275" s="179"/>
      <c r="CD275" s="179"/>
      <c r="CE275" s="109"/>
      <c r="CF275" s="109"/>
      <c r="CG275" s="109"/>
      <c r="CH275" s="109"/>
      <c r="CI275" s="109"/>
      <c r="CJ275" s="109"/>
      <c r="CK275" s="100">
        <f>SUM(BY275:CJ275)</f>
        <v>474835.89</v>
      </c>
      <c r="CL275" s="100"/>
      <c r="CM275" s="66">
        <v>-23393.63</v>
      </c>
      <c r="CN275" s="66"/>
      <c r="CO275" s="66"/>
      <c r="CP275" s="66"/>
      <c r="CQ275" s="66"/>
      <c r="CR275" s="66"/>
      <c r="CS275" s="66"/>
      <c r="CT275" s="66"/>
      <c r="CU275" s="66"/>
      <c r="CV275" s="66"/>
      <c r="CW275" s="66"/>
      <c r="CX275" s="66"/>
      <c r="CY275" s="100">
        <f>SUM(CM275:CX275)</f>
        <v>-23393.63</v>
      </c>
      <c r="CZ275" s="66">
        <v>-24387.85</v>
      </c>
      <c r="DL275" s="100">
        <f>SUM(CZ275:DK275)</f>
        <v>-24387.85</v>
      </c>
    </row>
    <row r="276" spans="2:116">
      <c r="B276" s="322" t="s">
        <v>404</v>
      </c>
      <c r="C276" s="136"/>
      <c r="D276" s="136"/>
      <c r="E276" s="136"/>
      <c r="F276" s="136"/>
      <c r="G276" s="136"/>
      <c r="H276" s="136"/>
      <c r="I276" s="136"/>
      <c r="J276" s="136"/>
      <c r="K276" s="136"/>
      <c r="L276" s="136"/>
      <c r="M276" s="102"/>
      <c r="N276" s="102"/>
      <c r="O276" s="66"/>
      <c r="P276" s="75"/>
      <c r="Q276" s="75"/>
      <c r="R276" s="75"/>
      <c r="S276" s="75"/>
      <c r="T276" s="75"/>
      <c r="U276" s="75"/>
      <c r="V276" s="75"/>
      <c r="W276" s="75"/>
      <c r="X276" s="75"/>
      <c r="Y276" s="75"/>
      <c r="Z276" s="75"/>
      <c r="AA276" s="75"/>
      <c r="AB276" s="114"/>
      <c r="AC276" s="129"/>
      <c r="AD276" s="75"/>
      <c r="AE276" s="75"/>
      <c r="AF276" s="75"/>
      <c r="AG276" s="75"/>
      <c r="AH276" s="75"/>
      <c r="AI276" s="75"/>
      <c r="AJ276" s="75"/>
      <c r="AK276" s="83"/>
      <c r="AL276" s="75"/>
      <c r="AM276" s="75"/>
      <c r="AN276" s="75"/>
      <c r="AO276" s="75"/>
      <c r="AP276" s="75"/>
      <c r="AQ276" s="75"/>
      <c r="AR276" s="75"/>
      <c r="AS276" s="75"/>
      <c r="AT276" s="75"/>
      <c r="AU276" s="75"/>
      <c r="AV276" s="75"/>
      <c r="AW276" s="75"/>
      <c r="AX276" s="114"/>
      <c r="AY276" s="67"/>
      <c r="AZ276" s="69"/>
      <c r="BA276" s="69"/>
      <c r="BB276" s="69"/>
      <c r="BC276" s="69"/>
      <c r="BD276" s="69"/>
      <c r="BE276" s="69"/>
      <c r="BF276" s="69"/>
      <c r="BG276" s="69"/>
      <c r="BH276" s="69"/>
      <c r="BI276" s="69"/>
      <c r="BJ276" s="69"/>
      <c r="BK276" s="114"/>
      <c r="BL276" s="115"/>
      <c r="BM276" s="69"/>
      <c r="BN276" s="213"/>
      <c r="BO276" s="69"/>
      <c r="BP276" s="69"/>
      <c r="BQ276" s="69"/>
      <c r="BR276" s="69"/>
      <c r="BS276" s="69"/>
      <c r="BT276" s="69"/>
      <c r="BU276" s="69"/>
      <c r="BV276" s="69"/>
      <c r="BW276" s="69"/>
      <c r="BX276" s="114"/>
      <c r="BY276" s="204">
        <f>BW276+BY275</f>
        <v>474835.89</v>
      </c>
      <c r="BZ276" s="112">
        <f>BY276+BZ275</f>
        <v>474835.89</v>
      </c>
      <c r="CA276" s="112">
        <f t="shared" ref="CA276:CJ276" si="741">BZ276+CA275</f>
        <v>474835.89</v>
      </c>
      <c r="CB276" s="112">
        <f t="shared" si="741"/>
        <v>474835.89</v>
      </c>
      <c r="CC276" s="112">
        <f t="shared" si="741"/>
        <v>474835.89</v>
      </c>
      <c r="CD276" s="112">
        <f t="shared" si="741"/>
        <v>474835.89</v>
      </c>
      <c r="CE276" s="113">
        <f t="shared" si="741"/>
        <v>474835.89</v>
      </c>
      <c r="CF276" s="113">
        <f t="shared" si="741"/>
        <v>474835.89</v>
      </c>
      <c r="CG276" s="113">
        <f t="shared" si="741"/>
        <v>474835.89</v>
      </c>
      <c r="CH276" s="113">
        <f t="shared" si="741"/>
        <v>474835.89</v>
      </c>
      <c r="CI276" s="113">
        <f t="shared" si="741"/>
        <v>474835.89</v>
      </c>
      <c r="CJ276" s="113">
        <f t="shared" si="741"/>
        <v>474835.89</v>
      </c>
      <c r="CK276" s="111">
        <f>CJ276</f>
        <v>474835.89</v>
      </c>
      <c r="CL276" s="111"/>
      <c r="CM276" s="210">
        <f>CK276+CM275</f>
        <v>451442.26</v>
      </c>
      <c r="CN276" s="210">
        <f t="shared" ref="CN276" si="742">CM276+CN275</f>
        <v>451442.26</v>
      </c>
      <c r="CO276" s="210">
        <f t="shared" ref="CO276" si="743">CN276+CO275</f>
        <v>451442.26</v>
      </c>
      <c r="CP276" s="210">
        <f t="shared" ref="CP276" si="744">CO276+CP275</f>
        <v>451442.26</v>
      </c>
      <c r="CQ276" s="210">
        <f t="shared" ref="CQ276" si="745">CP276+CQ275</f>
        <v>451442.26</v>
      </c>
      <c r="CR276" s="210">
        <f t="shared" ref="CR276" si="746">CQ276+CR275</f>
        <v>451442.26</v>
      </c>
      <c r="CS276" s="210">
        <f t="shared" ref="CS276" si="747">CR276+CS275</f>
        <v>451442.26</v>
      </c>
      <c r="CT276" s="210">
        <f t="shared" ref="CT276" si="748">CS276+CT275</f>
        <v>451442.26</v>
      </c>
      <c r="CU276" s="210">
        <f t="shared" ref="CU276" si="749">CT276+CU275</f>
        <v>451442.26</v>
      </c>
      <c r="CV276" s="210">
        <f t="shared" ref="CV276" si="750">CU276+CV275</f>
        <v>451442.26</v>
      </c>
      <c r="CW276" s="210">
        <f t="shared" ref="CW276" si="751">CV276+CW275</f>
        <v>451442.26</v>
      </c>
      <c r="CX276" s="210">
        <f t="shared" ref="CX276" si="752">CW276+CX275</f>
        <v>451442.26</v>
      </c>
      <c r="CY276" s="111">
        <f>CX276</f>
        <v>451442.26</v>
      </c>
      <c r="DL276" s="111">
        <f>DK276</f>
        <v>0</v>
      </c>
    </row>
    <row r="277" spans="2:116">
      <c r="B277" s="325" t="s">
        <v>457</v>
      </c>
      <c r="C277" s="136"/>
      <c r="D277" s="136"/>
      <c r="E277" s="136"/>
      <c r="F277" s="136"/>
      <c r="G277" s="136"/>
      <c r="H277" s="136"/>
      <c r="I277" s="136"/>
      <c r="J277" s="136"/>
      <c r="K277" s="136"/>
      <c r="L277" s="136"/>
      <c r="M277" s="102"/>
      <c r="N277" s="102"/>
      <c r="O277" s="66"/>
      <c r="P277" s="75"/>
      <c r="Q277" s="75"/>
      <c r="R277" s="75"/>
      <c r="S277" s="75"/>
      <c r="T277" s="75"/>
      <c r="U277" s="75"/>
      <c r="V277" s="75"/>
      <c r="W277" s="75"/>
      <c r="X277" s="75"/>
      <c r="Y277" s="75"/>
      <c r="Z277" s="75"/>
      <c r="AA277" s="75"/>
      <c r="AB277" s="114"/>
      <c r="AC277" s="129"/>
      <c r="AD277" s="75"/>
      <c r="AE277" s="75"/>
      <c r="AF277" s="75"/>
      <c r="AG277" s="75"/>
      <c r="AH277" s="75"/>
      <c r="AI277" s="75"/>
      <c r="AJ277" s="75"/>
      <c r="AK277" s="83"/>
      <c r="AL277" s="75"/>
      <c r="AM277" s="75"/>
      <c r="AN277" s="75"/>
      <c r="AO277" s="75"/>
      <c r="AP277" s="75"/>
      <c r="AQ277" s="75"/>
      <c r="AR277" s="75"/>
      <c r="AS277" s="75"/>
      <c r="AT277" s="75"/>
      <c r="AU277" s="75"/>
      <c r="AV277" s="75"/>
      <c r="AW277" s="75"/>
      <c r="AX277" s="114"/>
      <c r="AY277" s="67"/>
      <c r="AZ277" s="69"/>
      <c r="BA277" s="69"/>
      <c r="BB277" s="69"/>
      <c r="BC277" s="69"/>
      <c r="BD277" s="69"/>
      <c r="BE277" s="69"/>
      <c r="BF277" s="69"/>
      <c r="BG277" s="69"/>
      <c r="BH277" s="69"/>
      <c r="BI277" s="69"/>
      <c r="BJ277" s="69"/>
      <c r="BK277" s="114"/>
      <c r="BL277" s="115"/>
      <c r="BM277" s="69"/>
      <c r="BN277" s="213"/>
      <c r="BO277" s="69"/>
      <c r="BP277" s="69"/>
      <c r="BQ277" s="69"/>
      <c r="BR277" s="69"/>
      <c r="BS277" s="69"/>
      <c r="BT277" s="69"/>
      <c r="BU277" s="69"/>
      <c r="BV277" s="69"/>
      <c r="BW277" s="69"/>
      <c r="BX277" s="114"/>
      <c r="BY277" s="115"/>
      <c r="BZ277" s="69"/>
      <c r="CA277" s="69"/>
      <c r="CB277" s="69"/>
      <c r="CC277" s="69"/>
      <c r="CD277" s="69"/>
      <c r="CE277" s="83"/>
      <c r="CF277" s="83"/>
      <c r="CG277" s="83"/>
      <c r="CH277" s="83"/>
      <c r="CI277" s="83"/>
      <c r="CJ277" s="83"/>
      <c r="CK277" s="100"/>
      <c r="CL277" s="100"/>
      <c r="CM277" s="66"/>
      <c r="CN277" s="66"/>
      <c r="CO277" s="66"/>
      <c r="CP277" s="66"/>
      <c r="CQ277" s="66"/>
      <c r="CR277" s="66"/>
      <c r="CS277" s="66"/>
      <c r="CT277" s="66"/>
      <c r="CU277" s="66"/>
      <c r="CV277" s="66"/>
      <c r="CW277" s="66"/>
      <c r="CX277" s="66"/>
      <c r="CY277" s="100"/>
      <c r="DL277" s="100"/>
    </row>
    <row r="278" spans="2:116">
      <c r="B278" s="315" t="s">
        <v>226</v>
      </c>
      <c r="C278" s="136"/>
      <c r="D278" s="136"/>
      <c r="E278" s="136"/>
      <c r="F278" s="136"/>
      <c r="G278" s="136"/>
      <c r="H278" s="136"/>
      <c r="I278" s="136"/>
      <c r="J278" s="136"/>
      <c r="K278" s="136"/>
      <c r="L278" s="136"/>
      <c r="M278" s="102"/>
      <c r="N278" s="102"/>
      <c r="O278" s="66"/>
      <c r="P278" s="75"/>
      <c r="Q278" s="75"/>
      <c r="R278" s="75"/>
      <c r="S278" s="75"/>
      <c r="T278" s="75"/>
      <c r="U278" s="75"/>
      <c r="V278" s="75"/>
      <c r="W278" s="75"/>
      <c r="X278" s="75"/>
      <c r="Y278" s="75"/>
      <c r="Z278" s="75"/>
      <c r="AA278" s="75"/>
      <c r="AB278" s="114"/>
      <c r="AC278" s="129"/>
      <c r="AD278" s="75"/>
      <c r="AE278" s="75"/>
      <c r="AF278" s="75"/>
      <c r="AG278" s="75"/>
      <c r="AH278" s="75"/>
      <c r="AI278" s="75"/>
      <c r="AJ278" s="75"/>
      <c r="AK278" s="83"/>
      <c r="AL278" s="75"/>
      <c r="AM278" s="75"/>
      <c r="AN278" s="75"/>
      <c r="AO278" s="75"/>
      <c r="AP278" s="75"/>
      <c r="AQ278" s="75"/>
      <c r="AR278" s="75"/>
      <c r="AS278" s="75"/>
      <c r="AT278" s="75"/>
      <c r="AU278" s="75"/>
      <c r="AV278" s="75"/>
      <c r="AW278" s="75"/>
      <c r="AX278" s="114"/>
      <c r="AY278" s="67"/>
      <c r="AZ278" s="69"/>
      <c r="BA278" s="69"/>
      <c r="BB278" s="69"/>
      <c r="BC278" s="69"/>
      <c r="BD278" s="69"/>
      <c r="BE278" s="69"/>
      <c r="BF278" s="69"/>
      <c r="BG278" s="69"/>
      <c r="BH278" s="69"/>
      <c r="BI278" s="69"/>
      <c r="BJ278" s="69"/>
      <c r="BK278" s="114"/>
      <c r="BL278" s="115"/>
      <c r="BM278" s="69"/>
      <c r="BN278" s="213"/>
      <c r="BO278" s="69"/>
      <c r="BP278" s="69"/>
      <c r="BQ278" s="69"/>
      <c r="BR278" s="69"/>
      <c r="BS278" s="69"/>
      <c r="BT278" s="69"/>
      <c r="BU278" s="69"/>
      <c r="BV278" s="69"/>
      <c r="BW278" s="69"/>
      <c r="BX278" s="114"/>
      <c r="BY278" s="240"/>
      <c r="BZ278" s="69"/>
      <c r="CA278" s="69"/>
      <c r="CB278" s="68">
        <v>88000</v>
      </c>
      <c r="CC278" s="68">
        <v>-285.95999999999998</v>
      </c>
      <c r="CD278" s="67">
        <v>-287.55</v>
      </c>
      <c r="CE278" s="83">
        <v>-289.14999999999998</v>
      </c>
      <c r="CF278" s="83">
        <v>-290.75</v>
      </c>
      <c r="CG278" s="83">
        <v>-292.36</v>
      </c>
      <c r="CH278" s="83">
        <v>-293.99</v>
      </c>
      <c r="CI278" s="83">
        <v>-295.62</v>
      </c>
      <c r="CJ278" s="83">
        <v>-297.26</v>
      </c>
      <c r="CK278" s="100">
        <f>SUM(BY278:CJ278)</f>
        <v>85667.36</v>
      </c>
      <c r="CL278" s="100"/>
      <c r="CM278" s="66">
        <v>-298.91000000000003</v>
      </c>
      <c r="CN278" s="66">
        <v>-300.57</v>
      </c>
      <c r="CO278" s="66">
        <v>-302.23</v>
      </c>
      <c r="CP278" s="66">
        <v>-303.91000000000003</v>
      </c>
      <c r="CQ278" s="66">
        <v>-305.60000000000002</v>
      </c>
      <c r="CR278" s="66">
        <v>-307.29000000000002</v>
      </c>
      <c r="CS278" s="66">
        <v>-309</v>
      </c>
      <c r="CT278" s="66">
        <v>-310.70999999999998</v>
      </c>
      <c r="CU278" s="66">
        <v>-312.44</v>
      </c>
      <c r="CV278" s="66">
        <v>-314.17</v>
      </c>
      <c r="CW278" s="66">
        <v>-315.91000000000003</v>
      </c>
      <c r="CX278" s="66">
        <v>-317.67</v>
      </c>
      <c r="CY278" s="100">
        <f>SUM(CM278:CX278)</f>
        <v>-3698.4100000000003</v>
      </c>
      <c r="CZ278" s="1">
        <v>-319.43</v>
      </c>
      <c r="DA278" s="1">
        <v>-321.2</v>
      </c>
      <c r="DB278" s="1">
        <v>-322.99</v>
      </c>
      <c r="DC278" s="1">
        <v>-324.77999999999997</v>
      </c>
      <c r="DD278" s="1">
        <v>-326.58</v>
      </c>
      <c r="DE278" s="1">
        <v>-328.39</v>
      </c>
      <c r="DF278" s="1">
        <v>-330.21</v>
      </c>
      <c r="DG278" s="1">
        <v>-332.05</v>
      </c>
      <c r="DH278" s="1">
        <v>-333.89</v>
      </c>
      <c r="DI278" s="1">
        <v>-335.74</v>
      </c>
      <c r="DJ278" s="1">
        <v>-337.61</v>
      </c>
      <c r="DK278" s="1">
        <v>-339.48</v>
      </c>
      <c r="DL278" s="100">
        <f>SUM(CZ278:DK278)</f>
        <v>-3952.3500000000004</v>
      </c>
    </row>
    <row r="279" spans="2:116">
      <c r="B279" s="322" t="s">
        <v>404</v>
      </c>
      <c r="C279" s="136"/>
      <c r="D279" s="136"/>
      <c r="E279" s="136"/>
      <c r="F279" s="136"/>
      <c r="G279" s="136"/>
      <c r="H279" s="136"/>
      <c r="I279" s="136"/>
      <c r="J279" s="136"/>
      <c r="K279" s="136"/>
      <c r="L279" s="136"/>
      <c r="M279" s="102"/>
      <c r="N279" s="102"/>
      <c r="O279" s="66"/>
      <c r="P279" s="75"/>
      <c r="Q279" s="75"/>
      <c r="R279" s="75"/>
      <c r="S279" s="75"/>
      <c r="T279" s="75"/>
      <c r="U279" s="75"/>
      <c r="V279" s="75"/>
      <c r="W279" s="75"/>
      <c r="X279" s="75"/>
      <c r="Y279" s="75"/>
      <c r="Z279" s="75"/>
      <c r="AA279" s="75"/>
      <c r="AB279" s="114"/>
      <c r="AC279" s="129"/>
      <c r="AD279" s="75"/>
      <c r="AE279" s="75"/>
      <c r="AF279" s="75"/>
      <c r="AG279" s="75"/>
      <c r="AH279" s="75"/>
      <c r="AI279" s="75"/>
      <c r="AJ279" s="75"/>
      <c r="AK279" s="83"/>
      <c r="AL279" s="75"/>
      <c r="AM279" s="75"/>
      <c r="AN279" s="75"/>
      <c r="AO279" s="75"/>
      <c r="AP279" s="75"/>
      <c r="AQ279" s="75"/>
      <c r="AR279" s="75"/>
      <c r="AS279" s="75"/>
      <c r="AT279" s="75"/>
      <c r="AU279" s="75"/>
      <c r="AV279" s="75"/>
      <c r="AW279" s="75"/>
      <c r="AX279" s="114"/>
      <c r="AY279" s="67"/>
      <c r="AZ279" s="69"/>
      <c r="BA279" s="69"/>
      <c r="BB279" s="69"/>
      <c r="BC279" s="69"/>
      <c r="BD279" s="69"/>
      <c r="BE279" s="69"/>
      <c r="BF279" s="69"/>
      <c r="BG279" s="69"/>
      <c r="BH279" s="69"/>
      <c r="BI279" s="69"/>
      <c r="BJ279" s="69"/>
      <c r="BK279" s="114"/>
      <c r="BL279" s="115"/>
      <c r="BM279" s="69"/>
      <c r="BN279" s="213"/>
      <c r="BO279" s="69"/>
      <c r="BP279" s="69"/>
      <c r="BQ279" s="69"/>
      <c r="BR279" s="69"/>
      <c r="BS279" s="69"/>
      <c r="BT279" s="69"/>
      <c r="BU279" s="69"/>
      <c r="BV279" s="69"/>
      <c r="BW279" s="69"/>
      <c r="BX279" s="114"/>
      <c r="BY279" s="204">
        <f>BW279+BY278</f>
        <v>0</v>
      </c>
      <c r="BZ279" s="112">
        <f>BY279+BZ278</f>
        <v>0</v>
      </c>
      <c r="CA279" s="112">
        <f t="shared" ref="CA279:CJ279" si="753">BZ279+CA278</f>
        <v>0</v>
      </c>
      <c r="CB279" s="112">
        <f>CA279+CB278</f>
        <v>88000</v>
      </c>
      <c r="CC279" s="112">
        <f t="shared" si="753"/>
        <v>87714.04</v>
      </c>
      <c r="CD279" s="112">
        <f t="shared" si="753"/>
        <v>87426.489999999991</v>
      </c>
      <c r="CE279" s="113">
        <f t="shared" si="753"/>
        <v>87137.34</v>
      </c>
      <c r="CF279" s="113">
        <f t="shared" si="753"/>
        <v>86846.59</v>
      </c>
      <c r="CG279" s="113">
        <f t="shared" si="753"/>
        <v>86554.23</v>
      </c>
      <c r="CH279" s="113">
        <f t="shared" si="753"/>
        <v>86260.239999999991</v>
      </c>
      <c r="CI279" s="113">
        <f t="shared" si="753"/>
        <v>85964.62</v>
      </c>
      <c r="CJ279" s="113">
        <f t="shared" si="753"/>
        <v>85667.36</v>
      </c>
      <c r="CK279" s="111">
        <f>CJ279</f>
        <v>85667.36</v>
      </c>
      <c r="CL279" s="100"/>
      <c r="CM279" s="210">
        <f>CK279+CM278</f>
        <v>85368.45</v>
      </c>
      <c r="CN279" s="210">
        <f>CM279+CN278</f>
        <v>85067.87999999999</v>
      </c>
      <c r="CO279" s="210">
        <f t="shared" ref="CO279:CX279" si="754">CN279+CO278</f>
        <v>84765.65</v>
      </c>
      <c r="CP279" s="210">
        <f t="shared" si="754"/>
        <v>84461.739999999991</v>
      </c>
      <c r="CQ279" s="210">
        <f t="shared" si="754"/>
        <v>84156.139999999985</v>
      </c>
      <c r="CR279" s="210">
        <f t="shared" si="754"/>
        <v>83848.849999999991</v>
      </c>
      <c r="CS279" s="210">
        <f t="shared" si="754"/>
        <v>83539.849999999991</v>
      </c>
      <c r="CT279" s="210">
        <f t="shared" si="754"/>
        <v>83229.139999999985</v>
      </c>
      <c r="CU279" s="210">
        <f t="shared" si="754"/>
        <v>82916.699999999983</v>
      </c>
      <c r="CV279" s="210">
        <f t="shared" si="754"/>
        <v>82602.529999999984</v>
      </c>
      <c r="CW279" s="210">
        <f t="shared" si="754"/>
        <v>82286.619999999981</v>
      </c>
      <c r="CX279" s="210">
        <f t="shared" si="754"/>
        <v>81968.949999999983</v>
      </c>
      <c r="CY279" s="111">
        <f>CX279</f>
        <v>81968.949999999983</v>
      </c>
      <c r="DL279" s="111">
        <f>DK279</f>
        <v>0</v>
      </c>
    </row>
    <row r="280" spans="2:116">
      <c r="B280" s="324" t="s">
        <v>443</v>
      </c>
      <c r="C280" s="136"/>
      <c r="D280" s="136"/>
      <c r="E280" s="136"/>
      <c r="F280" s="136"/>
      <c r="G280" s="136"/>
      <c r="H280" s="136"/>
      <c r="I280" s="136"/>
      <c r="J280" s="136"/>
      <c r="K280" s="136"/>
      <c r="L280" s="136"/>
      <c r="M280" s="102"/>
      <c r="N280" s="102"/>
      <c r="O280" s="66"/>
      <c r="P280" s="75"/>
      <c r="Q280" s="75"/>
      <c r="R280" s="75"/>
      <c r="S280" s="75"/>
      <c r="T280" s="75"/>
      <c r="U280" s="75"/>
      <c r="V280" s="75"/>
      <c r="W280" s="75"/>
      <c r="X280" s="75"/>
      <c r="Y280" s="75"/>
      <c r="Z280" s="75"/>
      <c r="AA280" s="75"/>
      <c r="AB280" s="114"/>
      <c r="AC280" s="129"/>
      <c r="AD280" s="75"/>
      <c r="AE280" s="75"/>
      <c r="AF280" s="75"/>
      <c r="AG280" s="75"/>
      <c r="AH280" s="75"/>
      <c r="AI280" s="75"/>
      <c r="AJ280" s="75"/>
      <c r="AK280" s="83"/>
      <c r="AL280" s="75"/>
      <c r="AM280" s="75"/>
      <c r="AN280" s="75"/>
      <c r="AO280" s="75"/>
      <c r="AP280" s="75"/>
      <c r="AQ280" s="75"/>
      <c r="AR280" s="75"/>
      <c r="AS280" s="75"/>
      <c r="AT280" s="75"/>
      <c r="AU280" s="75"/>
      <c r="AV280" s="75"/>
      <c r="AW280" s="75"/>
      <c r="AX280" s="114"/>
      <c r="AY280" s="67"/>
      <c r="AZ280" s="69"/>
      <c r="BA280" s="69"/>
      <c r="BB280" s="69"/>
      <c r="BC280" s="69"/>
      <c r="BD280" s="69"/>
      <c r="BE280" s="69"/>
      <c r="BF280" s="69"/>
      <c r="BG280" s="69"/>
      <c r="BH280" s="69"/>
      <c r="BI280" s="69"/>
      <c r="BJ280" s="69"/>
      <c r="BK280" s="114"/>
      <c r="BL280" s="115"/>
      <c r="BM280" s="69"/>
      <c r="BN280" s="213"/>
      <c r="BO280" s="69"/>
      <c r="BP280" s="69"/>
      <c r="BQ280" s="69"/>
      <c r="BR280" s="69"/>
      <c r="BS280" s="69"/>
      <c r="BT280" s="69"/>
      <c r="BU280" s="69"/>
      <c r="BV280" s="69"/>
      <c r="BW280" s="69"/>
      <c r="BX280" s="114"/>
      <c r="BY280" s="201"/>
      <c r="BZ280" s="69"/>
      <c r="CA280" s="195"/>
      <c r="CB280" s="195"/>
      <c r="CC280" s="195"/>
      <c r="CD280" s="195"/>
      <c r="CE280" s="347"/>
      <c r="CF280" s="347"/>
      <c r="CG280" s="347"/>
      <c r="CH280" s="347"/>
      <c r="CI280" s="347"/>
      <c r="CJ280" s="347"/>
      <c r="CK280" s="88"/>
      <c r="CL280" s="88"/>
      <c r="CM280" s="393"/>
      <c r="CN280" s="393"/>
      <c r="CO280" s="393"/>
      <c r="CP280" s="393"/>
      <c r="CQ280" s="393"/>
      <c r="CR280" s="393"/>
      <c r="CS280" s="393"/>
      <c r="CT280" s="393"/>
      <c r="CU280" s="393"/>
      <c r="CV280" s="393"/>
      <c r="CW280" s="393"/>
      <c r="CX280" s="393"/>
      <c r="CY280" s="88"/>
      <c r="DL280" s="88"/>
    </row>
    <row r="281" spans="2:116">
      <c r="B281" s="315" t="s">
        <v>226</v>
      </c>
      <c r="C281" s="136"/>
      <c r="D281" s="136"/>
      <c r="E281" s="136"/>
      <c r="F281" s="136"/>
      <c r="G281" s="136"/>
      <c r="H281" s="136"/>
      <c r="I281" s="136"/>
      <c r="J281" s="136"/>
      <c r="K281" s="136"/>
      <c r="L281" s="136"/>
      <c r="M281" s="102"/>
      <c r="N281" s="102"/>
      <c r="O281" s="66"/>
      <c r="P281" s="75"/>
      <c r="Q281" s="75"/>
      <c r="R281" s="75"/>
      <c r="S281" s="75"/>
      <c r="T281" s="75"/>
      <c r="U281" s="75"/>
      <c r="V281" s="75"/>
      <c r="W281" s="75"/>
      <c r="X281" s="75"/>
      <c r="Y281" s="75"/>
      <c r="Z281" s="75"/>
      <c r="AA281" s="75"/>
      <c r="AB281" s="114"/>
      <c r="AC281" s="129"/>
      <c r="AD281" s="75"/>
      <c r="AE281" s="75"/>
      <c r="AF281" s="75"/>
      <c r="AG281" s="75"/>
      <c r="AH281" s="75"/>
      <c r="AI281" s="75"/>
      <c r="AJ281" s="75"/>
      <c r="AK281" s="83"/>
      <c r="AL281" s="75"/>
      <c r="AM281" s="75"/>
      <c r="AN281" s="75"/>
      <c r="AO281" s="75"/>
      <c r="AP281" s="75"/>
      <c r="AQ281" s="75"/>
      <c r="AR281" s="75"/>
      <c r="AS281" s="75"/>
      <c r="AT281" s="75"/>
      <c r="AU281" s="75"/>
      <c r="AV281" s="75"/>
      <c r="AW281" s="75"/>
      <c r="AX281" s="114"/>
      <c r="AY281" s="67"/>
      <c r="AZ281" s="69"/>
      <c r="BA281" s="69"/>
      <c r="BB281" s="69"/>
      <c r="BC281" s="69"/>
      <c r="BD281" s="69"/>
      <c r="BE281" s="69"/>
      <c r="BF281" s="69"/>
      <c r="BG281" s="69"/>
      <c r="BH281" s="69"/>
      <c r="BI281" s="69"/>
      <c r="BJ281" s="69"/>
      <c r="BK281" s="114"/>
      <c r="BL281" s="115"/>
      <c r="BM281" s="69"/>
      <c r="BN281" s="213"/>
      <c r="BO281" s="69"/>
      <c r="BP281" s="69"/>
      <c r="BQ281" s="69"/>
      <c r="BR281" s="69"/>
      <c r="BS281" s="69"/>
      <c r="BT281" s="69"/>
      <c r="BU281" s="69"/>
      <c r="BV281" s="69"/>
      <c r="BW281" s="69"/>
      <c r="BX281" s="114"/>
      <c r="BY281" s="240">
        <v>-1355</v>
      </c>
      <c r="BZ281" s="68">
        <v>-1356.7</v>
      </c>
      <c r="CA281" s="68">
        <v>-1358.39</v>
      </c>
      <c r="CB281" s="68">
        <v>-1360.09</v>
      </c>
      <c r="CC281" s="68">
        <v>-1361.79</v>
      </c>
      <c r="CD281" s="68">
        <v>-1363.49</v>
      </c>
      <c r="CE281" s="305">
        <v>-1365.2</v>
      </c>
      <c r="CF281" s="109">
        <v>-1366.91</v>
      </c>
      <c r="CG281" s="109">
        <v>-1368.61</v>
      </c>
      <c r="CH281" s="109">
        <v>-1370.32</v>
      </c>
      <c r="CI281" s="109">
        <v>-1372.04</v>
      </c>
      <c r="CJ281" s="109">
        <v>-1373.75</v>
      </c>
      <c r="CK281" s="99">
        <f>SUM(BY281:CJ281)</f>
        <v>-16372.29</v>
      </c>
      <c r="CL281" s="99"/>
      <c r="CM281" s="109">
        <f>CJ281-1.7</f>
        <v>-1375.45</v>
      </c>
      <c r="CN281" s="109">
        <f>CM281-1.7</f>
        <v>-1377.15</v>
      </c>
      <c r="CO281" s="109">
        <f t="shared" ref="CO281:CX281" si="755">CN281-1.7</f>
        <v>-1378.8500000000001</v>
      </c>
      <c r="CP281" s="109">
        <f t="shared" si="755"/>
        <v>-1380.5500000000002</v>
      </c>
      <c r="CQ281" s="109">
        <f t="shared" si="755"/>
        <v>-1382.2500000000002</v>
      </c>
      <c r="CR281" s="109">
        <f t="shared" si="755"/>
        <v>-1383.9500000000003</v>
      </c>
      <c r="CS281" s="109">
        <f t="shared" si="755"/>
        <v>-1385.6500000000003</v>
      </c>
      <c r="CT281" s="109">
        <f t="shared" si="755"/>
        <v>-1387.3500000000004</v>
      </c>
      <c r="CU281" s="109">
        <f t="shared" si="755"/>
        <v>-1389.0500000000004</v>
      </c>
      <c r="CV281" s="109">
        <f t="shared" si="755"/>
        <v>-1390.7500000000005</v>
      </c>
      <c r="CW281" s="109">
        <f t="shared" si="755"/>
        <v>-1392.4500000000005</v>
      </c>
      <c r="CX281" s="109">
        <f t="shared" si="755"/>
        <v>-1394.1500000000005</v>
      </c>
      <c r="CY281" s="100">
        <f>SUM(CM281:CX281)</f>
        <v>-16617.600000000002</v>
      </c>
      <c r="DL281" s="100">
        <f>SUM(CZ281:DK281)</f>
        <v>0</v>
      </c>
    </row>
    <row r="282" spans="2:116">
      <c r="B282" s="322" t="s">
        <v>404</v>
      </c>
      <c r="C282" s="136"/>
      <c r="D282" s="136"/>
      <c r="E282" s="136"/>
      <c r="F282" s="136"/>
      <c r="G282" s="136"/>
      <c r="H282" s="136"/>
      <c r="I282" s="136"/>
      <c r="J282" s="136"/>
      <c r="K282" s="136"/>
      <c r="L282" s="136"/>
      <c r="M282" s="102"/>
      <c r="N282" s="102"/>
      <c r="O282" s="66"/>
      <c r="P282" s="75"/>
      <c r="Q282" s="75"/>
      <c r="R282" s="75"/>
      <c r="S282" s="75"/>
      <c r="T282" s="75"/>
      <c r="U282" s="75"/>
      <c r="V282" s="75"/>
      <c r="W282" s="75"/>
      <c r="X282" s="75"/>
      <c r="Y282" s="75"/>
      <c r="Z282" s="75"/>
      <c r="AA282" s="75"/>
      <c r="AB282" s="114"/>
      <c r="AC282" s="129"/>
      <c r="AD282" s="75"/>
      <c r="AE282" s="75"/>
      <c r="AF282" s="75"/>
      <c r="AG282" s="75"/>
      <c r="AH282" s="75"/>
      <c r="AI282" s="75"/>
      <c r="AJ282" s="75"/>
      <c r="AK282" s="83"/>
      <c r="AL282" s="75"/>
      <c r="AM282" s="75"/>
      <c r="AN282" s="75"/>
      <c r="AO282" s="75"/>
      <c r="AP282" s="75"/>
      <c r="AQ282" s="75"/>
      <c r="AR282" s="75"/>
      <c r="AS282" s="75"/>
      <c r="AT282" s="75"/>
      <c r="AU282" s="75"/>
      <c r="AV282" s="75"/>
      <c r="AW282" s="75"/>
      <c r="AX282" s="114"/>
      <c r="AY282" s="67"/>
      <c r="AZ282" s="69"/>
      <c r="BA282" s="69"/>
      <c r="BB282" s="69"/>
      <c r="BC282" s="69"/>
      <c r="BD282" s="69"/>
      <c r="BE282" s="69"/>
      <c r="BF282" s="69"/>
      <c r="BG282" s="69"/>
      <c r="BH282" s="69"/>
      <c r="BI282" s="69"/>
      <c r="BJ282" s="69"/>
      <c r="BK282" s="114"/>
      <c r="BL282" s="115"/>
      <c r="BM282" s="69"/>
      <c r="BN282" s="213"/>
      <c r="BO282" s="69"/>
      <c r="BP282" s="69"/>
      <c r="BQ282" s="69"/>
      <c r="BR282" s="69"/>
      <c r="BS282" s="69"/>
      <c r="BT282" s="69"/>
      <c r="BU282" s="69"/>
      <c r="BV282" s="69"/>
      <c r="BW282" s="69"/>
      <c r="BX282" s="114"/>
      <c r="BY282" s="443">
        <v>77193.56</v>
      </c>
      <c r="BZ282" s="228">
        <f t="shared" ref="BZ282:CJ282" si="756">BY282+BZ281</f>
        <v>75836.86</v>
      </c>
      <c r="CA282" s="228">
        <f t="shared" si="756"/>
        <v>74478.47</v>
      </c>
      <c r="CB282" s="228">
        <f t="shared" si="756"/>
        <v>73118.38</v>
      </c>
      <c r="CC282" s="228">
        <f t="shared" si="756"/>
        <v>71756.590000000011</v>
      </c>
      <c r="CD282" s="228">
        <f t="shared" si="756"/>
        <v>70393.100000000006</v>
      </c>
      <c r="CE282" s="210">
        <f t="shared" si="756"/>
        <v>69027.900000000009</v>
      </c>
      <c r="CF282" s="210">
        <f t="shared" si="756"/>
        <v>67660.990000000005</v>
      </c>
      <c r="CG282" s="210">
        <f t="shared" si="756"/>
        <v>66292.38</v>
      </c>
      <c r="CH282" s="210">
        <f t="shared" si="756"/>
        <v>64922.060000000005</v>
      </c>
      <c r="CI282" s="210">
        <f t="shared" si="756"/>
        <v>63550.020000000004</v>
      </c>
      <c r="CJ282" s="210">
        <f t="shared" si="756"/>
        <v>62176.270000000004</v>
      </c>
      <c r="CK282" s="169">
        <f>CJ282</f>
        <v>62176.270000000004</v>
      </c>
      <c r="CL282" s="169"/>
      <c r="CM282" s="210">
        <f>CK282+CM281</f>
        <v>60800.820000000007</v>
      </c>
      <c r="CN282" s="210">
        <f t="shared" ref="CN282" si="757">CM282+CN281</f>
        <v>59423.670000000006</v>
      </c>
      <c r="CO282" s="210">
        <f t="shared" ref="CO282" si="758">CN282+CO281</f>
        <v>58044.820000000007</v>
      </c>
      <c r="CP282" s="210">
        <f t="shared" ref="CP282" si="759">CO282+CP281</f>
        <v>56664.270000000004</v>
      </c>
      <c r="CQ282" s="210">
        <f t="shared" ref="CQ282" si="760">CP282+CQ281</f>
        <v>55282.020000000004</v>
      </c>
      <c r="CR282" s="210">
        <f t="shared" ref="CR282" si="761">CQ282+CR281</f>
        <v>53898.070000000007</v>
      </c>
      <c r="CS282" s="210">
        <f t="shared" ref="CS282" si="762">CR282+CS281</f>
        <v>52512.420000000006</v>
      </c>
      <c r="CT282" s="210">
        <f t="shared" ref="CT282" si="763">CS282+CT281</f>
        <v>51125.070000000007</v>
      </c>
      <c r="CU282" s="210">
        <f t="shared" ref="CU282" si="764">CT282+CU281</f>
        <v>49736.020000000004</v>
      </c>
      <c r="CV282" s="210">
        <f t="shared" ref="CV282" si="765">CU282+CV281</f>
        <v>48345.270000000004</v>
      </c>
      <c r="CW282" s="210">
        <f t="shared" ref="CW282" si="766">CV282+CW281</f>
        <v>46952.820000000007</v>
      </c>
      <c r="CX282" s="210">
        <f t="shared" ref="CX282" si="767">CW282+CX281</f>
        <v>45558.670000000006</v>
      </c>
      <c r="CY282" s="169">
        <f>CX282</f>
        <v>45558.670000000006</v>
      </c>
      <c r="DL282" s="169">
        <f>DK282</f>
        <v>0</v>
      </c>
    </row>
    <row r="283" spans="2:116">
      <c r="B283" s="324" t="s">
        <v>405</v>
      </c>
      <c r="C283" s="136"/>
      <c r="D283" s="136"/>
      <c r="E283" s="136"/>
      <c r="F283" s="136"/>
      <c r="G283" s="136"/>
      <c r="H283" s="136"/>
      <c r="I283" s="136"/>
      <c r="J283" s="136"/>
      <c r="K283" s="136"/>
      <c r="L283" s="136"/>
      <c r="M283" s="102"/>
      <c r="N283" s="102"/>
      <c r="O283" s="66"/>
      <c r="P283" s="75"/>
      <c r="Q283" s="75"/>
      <c r="R283" s="75"/>
      <c r="S283" s="75"/>
      <c r="T283" s="75"/>
      <c r="U283" s="75"/>
      <c r="V283" s="75"/>
      <c r="W283" s="75"/>
      <c r="X283" s="75"/>
      <c r="Y283" s="75"/>
      <c r="Z283" s="75"/>
      <c r="AA283" s="75"/>
      <c r="AB283" s="114"/>
      <c r="AC283" s="129"/>
      <c r="AD283" s="75"/>
      <c r="AE283" s="75"/>
      <c r="AF283" s="75"/>
      <c r="AG283" s="75"/>
      <c r="AH283" s="75"/>
      <c r="AI283" s="75"/>
      <c r="AJ283" s="75"/>
      <c r="AK283" s="83"/>
      <c r="AL283" s="75"/>
      <c r="AM283" s="75"/>
      <c r="AN283" s="75"/>
      <c r="AO283" s="75"/>
      <c r="AP283" s="75"/>
      <c r="AQ283" s="75"/>
      <c r="AR283" s="75"/>
      <c r="AS283" s="75"/>
      <c r="AT283" s="75"/>
      <c r="AU283" s="75"/>
      <c r="AV283" s="75"/>
      <c r="AW283" s="75"/>
      <c r="AX283" s="114"/>
      <c r="AY283" s="67"/>
      <c r="AZ283" s="69"/>
      <c r="BA283" s="69"/>
      <c r="BB283" s="69"/>
      <c r="BC283" s="69"/>
      <c r="BD283" s="69"/>
      <c r="BE283" s="69"/>
      <c r="BF283" s="69"/>
      <c r="BG283" s="69"/>
      <c r="BH283" s="69"/>
      <c r="BI283" s="69"/>
      <c r="BJ283" s="69"/>
      <c r="BK283" s="114"/>
      <c r="BL283" s="115"/>
      <c r="BM283" s="69"/>
      <c r="BN283" s="213"/>
      <c r="BO283" s="69"/>
      <c r="BP283" s="69"/>
      <c r="BQ283" s="69"/>
      <c r="BR283" s="69"/>
      <c r="BS283" s="69"/>
      <c r="BT283" s="69"/>
      <c r="BU283" s="69"/>
      <c r="BV283" s="69"/>
      <c r="BW283" s="69"/>
      <c r="BX283" s="114"/>
      <c r="BY283" s="201"/>
      <c r="BZ283" s="195"/>
      <c r="CA283" s="195"/>
      <c r="CB283" s="195"/>
      <c r="CC283" s="195"/>
      <c r="CD283" s="195"/>
      <c r="CE283" s="347"/>
      <c r="CF283" s="347"/>
      <c r="CG283" s="347"/>
      <c r="CH283" s="347"/>
      <c r="CI283" s="347"/>
      <c r="CJ283" s="347"/>
      <c r="CK283" s="88"/>
      <c r="CL283" s="88"/>
      <c r="CM283" s="393"/>
      <c r="CN283" s="393"/>
      <c r="CO283" s="393"/>
      <c r="CP283" s="393"/>
      <c r="CQ283" s="393"/>
      <c r="CR283" s="393"/>
      <c r="CS283" s="393"/>
      <c r="CT283" s="393"/>
      <c r="CU283" s="393"/>
      <c r="CV283" s="393"/>
      <c r="CW283" s="393"/>
      <c r="CX283" s="393"/>
      <c r="CY283" s="88"/>
      <c r="DL283" s="88"/>
    </row>
    <row r="284" spans="2:116">
      <c r="B284" s="315" t="s">
        <v>226</v>
      </c>
      <c r="C284" s="136"/>
      <c r="D284" s="136"/>
      <c r="E284" s="136"/>
      <c r="F284" s="136"/>
      <c r="G284" s="136"/>
      <c r="H284" s="136"/>
      <c r="I284" s="136"/>
      <c r="J284" s="136"/>
      <c r="K284" s="136"/>
      <c r="L284" s="136"/>
      <c r="M284" s="102"/>
      <c r="N284" s="102"/>
      <c r="O284" s="66"/>
      <c r="P284" s="75"/>
      <c r="Q284" s="75"/>
      <c r="R284" s="75"/>
      <c r="S284" s="75"/>
      <c r="T284" s="75"/>
      <c r="U284" s="75"/>
      <c r="V284" s="75"/>
      <c r="W284" s="75"/>
      <c r="X284" s="75"/>
      <c r="Y284" s="75"/>
      <c r="Z284" s="75"/>
      <c r="AA284" s="75"/>
      <c r="AB284" s="114"/>
      <c r="AC284" s="129"/>
      <c r="AD284" s="75"/>
      <c r="AE284" s="75"/>
      <c r="AF284" s="75"/>
      <c r="AG284" s="75"/>
      <c r="AH284" s="75"/>
      <c r="AI284" s="75"/>
      <c r="AJ284" s="75"/>
      <c r="AK284" s="83"/>
      <c r="AL284" s="75"/>
      <c r="AM284" s="75"/>
      <c r="AN284" s="75"/>
      <c r="AO284" s="75"/>
      <c r="AP284" s="75"/>
      <c r="AQ284" s="75"/>
      <c r="AR284" s="75"/>
      <c r="AS284" s="75"/>
      <c r="AT284" s="75"/>
      <c r="AU284" s="75"/>
      <c r="AV284" s="75"/>
      <c r="AW284" s="75"/>
      <c r="AX284" s="114"/>
      <c r="AY284" s="67"/>
      <c r="AZ284" s="69"/>
      <c r="BA284" s="69"/>
      <c r="BB284" s="69"/>
      <c r="BC284" s="69"/>
      <c r="BD284" s="69"/>
      <c r="BE284" s="69"/>
      <c r="BF284" s="69"/>
      <c r="BG284" s="69"/>
      <c r="BH284" s="69"/>
      <c r="BI284" s="69"/>
      <c r="BJ284" s="69"/>
      <c r="BK284" s="114"/>
      <c r="BL284" s="115"/>
      <c r="BM284" s="69"/>
      <c r="BN284" s="213"/>
      <c r="BO284" s="69"/>
      <c r="BP284" s="69"/>
      <c r="BQ284" s="69"/>
      <c r="BR284" s="69"/>
      <c r="BS284" s="69"/>
      <c r="BT284" s="69"/>
      <c r="BU284" s="69"/>
      <c r="BV284" s="69"/>
      <c r="BW284" s="69"/>
      <c r="BX284" s="114"/>
      <c r="BY284" s="115"/>
      <c r="BZ284" s="69"/>
      <c r="CA284" s="69"/>
      <c r="CB284" s="72"/>
      <c r="CC284" s="72"/>
      <c r="CD284" s="72"/>
      <c r="CE284" s="66"/>
      <c r="CF284" s="66"/>
      <c r="CG284" s="66"/>
      <c r="CH284" s="66"/>
      <c r="CI284" s="66"/>
      <c r="CJ284" s="83"/>
      <c r="CK284" s="99"/>
      <c r="CL284" s="99"/>
      <c r="CM284" s="66"/>
      <c r="CN284" s="66"/>
      <c r="CO284" s="66"/>
      <c r="CP284" s="66"/>
      <c r="CQ284" s="66"/>
      <c r="CR284" s="66"/>
      <c r="CS284" s="66"/>
      <c r="CT284" s="66"/>
      <c r="CU284" s="66"/>
      <c r="CV284" s="66"/>
      <c r="CW284" s="66"/>
      <c r="CX284" s="66">
        <v>-134250</v>
      </c>
      <c r="CY284" s="100">
        <f>SUM(CM284:CX284)</f>
        <v>-134250</v>
      </c>
      <c r="DA284" s="66"/>
      <c r="DL284" s="100">
        <f>SUM(CZ284:DK284)</f>
        <v>0</v>
      </c>
    </row>
    <row r="285" spans="2:116">
      <c r="B285" s="322" t="s">
        <v>404</v>
      </c>
      <c r="C285" s="136"/>
      <c r="D285" s="136"/>
      <c r="E285" s="136"/>
      <c r="F285" s="136"/>
      <c r="G285" s="136"/>
      <c r="H285" s="136"/>
      <c r="I285" s="136"/>
      <c r="J285" s="136"/>
      <c r="K285" s="136"/>
      <c r="L285" s="136"/>
      <c r="M285" s="102"/>
      <c r="N285" s="102"/>
      <c r="O285" s="66"/>
      <c r="P285" s="75"/>
      <c r="Q285" s="75"/>
      <c r="R285" s="75"/>
      <c r="S285" s="75"/>
      <c r="T285" s="75"/>
      <c r="U285" s="75"/>
      <c r="V285" s="75"/>
      <c r="W285" s="75"/>
      <c r="X285" s="75"/>
      <c r="Y285" s="75"/>
      <c r="Z285" s="75"/>
      <c r="AA285" s="75"/>
      <c r="AB285" s="114"/>
      <c r="AC285" s="129"/>
      <c r="AD285" s="75"/>
      <c r="AE285" s="75"/>
      <c r="AF285" s="75"/>
      <c r="AG285" s="75"/>
      <c r="AH285" s="75"/>
      <c r="AI285" s="75"/>
      <c r="AJ285" s="75"/>
      <c r="AK285" s="83"/>
      <c r="AL285" s="75"/>
      <c r="AM285" s="75"/>
      <c r="AN285" s="75"/>
      <c r="AO285" s="75"/>
      <c r="AP285" s="75"/>
      <c r="AQ285" s="75"/>
      <c r="AR285" s="75"/>
      <c r="AS285" s="75"/>
      <c r="AT285" s="75"/>
      <c r="AU285" s="75"/>
      <c r="AV285" s="75"/>
      <c r="AW285" s="75"/>
      <c r="AX285" s="114"/>
      <c r="AY285" s="67"/>
      <c r="AZ285" s="69"/>
      <c r="BA285" s="69"/>
      <c r="BB285" s="69"/>
      <c r="BC285" s="69"/>
      <c r="BD285" s="69"/>
      <c r="BE285" s="69"/>
      <c r="BF285" s="69"/>
      <c r="BG285" s="69"/>
      <c r="BH285" s="69"/>
      <c r="BI285" s="69"/>
      <c r="BJ285" s="69"/>
      <c r="BK285" s="114"/>
      <c r="BL285" s="115"/>
      <c r="BM285" s="69"/>
      <c r="BN285" s="213"/>
      <c r="BO285" s="69"/>
      <c r="BP285" s="69"/>
      <c r="BQ285" s="69"/>
      <c r="BR285" s="69"/>
      <c r="BS285" s="69"/>
      <c r="BT285" s="69"/>
      <c r="BU285" s="69"/>
      <c r="BV285" s="69"/>
      <c r="BW285" s="69"/>
      <c r="BX285" s="114"/>
      <c r="BY285" s="443">
        <v>134250</v>
      </c>
      <c r="BZ285" s="228">
        <f t="shared" ref="BZ285:CJ285" si="768">BY285+BZ284</f>
        <v>134250</v>
      </c>
      <c r="CA285" s="228">
        <f t="shared" si="768"/>
        <v>134250</v>
      </c>
      <c r="CB285" s="228">
        <f t="shared" si="768"/>
        <v>134250</v>
      </c>
      <c r="CC285" s="228">
        <f t="shared" si="768"/>
        <v>134250</v>
      </c>
      <c r="CD285" s="228">
        <f t="shared" si="768"/>
        <v>134250</v>
      </c>
      <c r="CE285" s="210">
        <f t="shared" si="768"/>
        <v>134250</v>
      </c>
      <c r="CF285" s="210">
        <f t="shared" si="768"/>
        <v>134250</v>
      </c>
      <c r="CG285" s="210">
        <f t="shared" si="768"/>
        <v>134250</v>
      </c>
      <c r="CH285" s="210">
        <f t="shared" si="768"/>
        <v>134250</v>
      </c>
      <c r="CI285" s="210">
        <f t="shared" si="768"/>
        <v>134250</v>
      </c>
      <c r="CJ285" s="210">
        <f t="shared" si="768"/>
        <v>134250</v>
      </c>
      <c r="CK285" s="169">
        <f>CJ285</f>
        <v>134250</v>
      </c>
      <c r="CL285" s="169"/>
      <c r="CM285" s="210">
        <f>CK285+CM284</f>
        <v>134250</v>
      </c>
      <c r="CN285" s="210">
        <f t="shared" ref="CN285" si="769">CM285+CN284</f>
        <v>134250</v>
      </c>
      <c r="CO285" s="210">
        <f t="shared" ref="CO285" si="770">CN285+CO284</f>
        <v>134250</v>
      </c>
      <c r="CP285" s="210">
        <f t="shared" ref="CP285" si="771">CO285+CP284</f>
        <v>134250</v>
      </c>
      <c r="CQ285" s="210">
        <f t="shared" ref="CQ285" si="772">CP285+CQ284</f>
        <v>134250</v>
      </c>
      <c r="CR285" s="210">
        <f t="shared" ref="CR285" si="773">CQ285+CR284</f>
        <v>134250</v>
      </c>
      <c r="CS285" s="210">
        <f t="shared" ref="CS285" si="774">CR285+CS284</f>
        <v>134250</v>
      </c>
      <c r="CT285" s="210">
        <f t="shared" ref="CT285" si="775">CS285+CT284</f>
        <v>134250</v>
      </c>
      <c r="CU285" s="210">
        <f t="shared" ref="CU285" si="776">CT285+CU284</f>
        <v>134250</v>
      </c>
      <c r="CV285" s="210">
        <f t="shared" ref="CV285" si="777">CU285+CV284</f>
        <v>134250</v>
      </c>
      <c r="CW285" s="210">
        <f t="shared" ref="CW285" si="778">CV285+CW284</f>
        <v>134250</v>
      </c>
      <c r="CX285" s="210">
        <f>CW285+CX284</f>
        <v>0</v>
      </c>
      <c r="CY285" s="169">
        <f>CX285</f>
        <v>0</v>
      </c>
      <c r="DL285" s="169">
        <f>DK285</f>
        <v>0</v>
      </c>
    </row>
    <row r="286" spans="2:116" ht="16.5">
      <c r="B286" s="323" t="s">
        <v>406</v>
      </c>
      <c r="C286" s="136"/>
      <c r="D286" s="136"/>
      <c r="E286" s="136"/>
      <c r="F286" s="136"/>
      <c r="G286" s="136"/>
      <c r="H286" s="136"/>
      <c r="I286" s="136"/>
      <c r="J286" s="136"/>
      <c r="K286" s="136"/>
      <c r="L286" s="136"/>
      <c r="M286" s="102"/>
      <c r="N286" s="102"/>
      <c r="O286" s="66"/>
      <c r="P286" s="75"/>
      <c r="Q286" s="75"/>
      <c r="R286" s="75"/>
      <c r="S286" s="75"/>
      <c r="T286" s="75"/>
      <c r="U286" s="75"/>
      <c r="V286" s="75"/>
      <c r="W286" s="75"/>
      <c r="X286" s="75"/>
      <c r="Y286" s="75"/>
      <c r="Z286" s="75"/>
      <c r="AA286" s="75"/>
      <c r="AB286" s="114"/>
      <c r="AC286" s="129"/>
      <c r="AD286" s="75"/>
      <c r="AE286" s="75"/>
      <c r="AF286" s="75"/>
      <c r="AG286" s="75"/>
      <c r="AH286" s="75"/>
      <c r="AI286" s="75"/>
      <c r="AJ286" s="75"/>
      <c r="AK286" s="83"/>
      <c r="AL286" s="75"/>
      <c r="AM286" s="75"/>
      <c r="AN286" s="75"/>
      <c r="AO286" s="75"/>
      <c r="AP286" s="75"/>
      <c r="AQ286" s="75"/>
      <c r="AR286" s="75"/>
      <c r="AS286" s="75"/>
      <c r="AT286" s="75"/>
      <c r="AU286" s="75"/>
      <c r="AV286" s="75"/>
      <c r="AW286" s="75"/>
      <c r="AX286" s="114"/>
      <c r="AY286" s="67"/>
      <c r="AZ286" s="69"/>
      <c r="BA286" s="69"/>
      <c r="BB286" s="69"/>
      <c r="BC286" s="69"/>
      <c r="BD286" s="69"/>
      <c r="BE286" s="69"/>
      <c r="BF286" s="69"/>
      <c r="BG286" s="69"/>
      <c r="BH286" s="69"/>
      <c r="BI286" s="69"/>
      <c r="BJ286" s="69"/>
      <c r="BK286" s="114"/>
      <c r="BL286" s="115"/>
      <c r="BM286" s="69"/>
      <c r="BN286" s="213"/>
      <c r="BO286" s="69"/>
      <c r="BP286" s="69"/>
      <c r="BQ286" s="69"/>
      <c r="BR286" s="69"/>
      <c r="BS286" s="69"/>
      <c r="BT286" s="69"/>
      <c r="BU286" s="69"/>
      <c r="BV286" s="69"/>
      <c r="BW286" s="69"/>
      <c r="BX286" s="114"/>
      <c r="BY286" s="127">
        <f>95201.58+BY263+BY266+BY269+BY272+BY275+BY278+BY281+BY284</f>
        <v>568682.47</v>
      </c>
      <c r="BZ286" s="329">
        <f>BY286+BZ263+BZ266+BZ269+BZ272+BZ275+BZ278+BZ281+BZ284</f>
        <v>567325.77</v>
      </c>
      <c r="CA286" s="329">
        <f>BZ286+CA263+CA266+CA269+CA272+CA275+CA278+CA281+CA284</f>
        <v>559296.97</v>
      </c>
      <c r="CB286" s="329">
        <f>CA286+CB263+CB266+CB269+CB272+CB275+CB278+CB281+CB284</f>
        <v>645936.88</v>
      </c>
      <c r="CC286" s="329">
        <f>CB286+CC263+CC266+CC269+CC272+CC275+CC278+CC281+CC284</f>
        <v>644289.13</v>
      </c>
      <c r="CD286" s="329">
        <f t="shared" ref="CD286:CJ286" si="779">CC286+CD263+CD266+CD269+CD272+CD275+CD278+CD281+CD284</f>
        <v>635811.37</v>
      </c>
      <c r="CE286" s="329">
        <f t="shared" si="779"/>
        <v>634157.02</v>
      </c>
      <c r="CF286" s="329">
        <f t="shared" si="779"/>
        <v>632499.36</v>
      </c>
      <c r="CG286" s="329">
        <f t="shared" si="779"/>
        <v>623928</v>
      </c>
      <c r="CH286" s="329">
        <f t="shared" si="779"/>
        <v>622263.69000000006</v>
      </c>
      <c r="CI286" s="329">
        <f t="shared" si="779"/>
        <v>620596.03</v>
      </c>
      <c r="CJ286" s="329">
        <f t="shared" si="779"/>
        <v>611891.76</v>
      </c>
      <c r="CK286" s="282">
        <f>CJ286</f>
        <v>611891.76</v>
      </c>
      <c r="CL286" s="282"/>
      <c r="CM286" s="331">
        <f>CK286+CM263+CM266+CM269+CM272+CM275+CM281+CM284</f>
        <v>587122.68000000005</v>
      </c>
      <c r="CN286" s="331">
        <f>CM286+CN263+CN266+CN269+CN272+CN275+CN281+CN284</f>
        <v>485745.53</v>
      </c>
      <c r="CO286" s="331">
        <f t="shared" ref="CO286" si="780">CN286+CO263+CO266+CO269+CO272+CO275+CO281+CO284</f>
        <v>477373.42000000004</v>
      </c>
      <c r="CP286" s="331">
        <f t="shared" ref="CP286" si="781">CO286+CP263+CP266+CP269+CP272+CP275+CP281+CP284</f>
        <v>475992.87000000005</v>
      </c>
      <c r="CQ286" s="331">
        <f t="shared" ref="CQ286" si="782">CP286+CQ263+CQ266+CQ269+CQ272+CQ275+CQ281+CQ284</f>
        <v>474610.62000000005</v>
      </c>
      <c r="CR286" s="331">
        <f t="shared" ref="CR286" si="783">CQ286+CR263+CR266+CR269+CR272+CR275+CR281+CR284</f>
        <v>466273.41000000003</v>
      </c>
      <c r="CS286" s="331">
        <f t="shared" ref="CS286" si="784">CR286+CS263+CS266+CS269+CS272+CS275+CS281+CS284</f>
        <v>464887.76</v>
      </c>
      <c r="CT286" s="331">
        <f t="shared" ref="CT286" si="785">CS286+CT263+CT266+CT269+CT272+CT275+CT281+CT284</f>
        <v>463500.41000000003</v>
      </c>
      <c r="CU286" s="331">
        <f t="shared" ref="CU286" si="786">CT286+CU263+CU266+CU269+CU272+CU275+CU281+CU284</f>
        <v>455198.10000000003</v>
      </c>
      <c r="CV286" s="331">
        <f t="shared" ref="CV286" si="787">CU286+CV263+CV266+CV269+CV272+CV275+CV281+CV284</f>
        <v>453807.35000000003</v>
      </c>
      <c r="CW286" s="331">
        <f t="shared" ref="CW286" si="788">CV286+CW263+CW266+CW269+CW272+CW275+CW281+CW284</f>
        <v>452414.9</v>
      </c>
      <c r="CX286" s="331">
        <f>CW286+CX263+CX266+CX269+CX272+CX275+CX281+CX284</f>
        <v>309897.49</v>
      </c>
      <c r="CY286" s="282">
        <f>CX286</f>
        <v>309897.49</v>
      </c>
      <c r="DL286" s="282">
        <f>DK286</f>
        <v>0</v>
      </c>
    </row>
    <row r="287" spans="2:116">
      <c r="C287" s="136"/>
      <c r="D287" s="136"/>
      <c r="E287" s="136"/>
      <c r="F287" s="136"/>
      <c r="G287" s="136"/>
      <c r="H287" s="136"/>
      <c r="I287" s="136"/>
      <c r="J287" s="136"/>
      <c r="K287" s="136"/>
      <c r="L287" s="136"/>
      <c r="M287" s="102"/>
      <c r="N287" s="102"/>
      <c r="O287" s="66"/>
      <c r="P287" s="75"/>
      <c r="Q287" s="75"/>
      <c r="R287" s="75"/>
      <c r="S287" s="75"/>
      <c r="T287" s="75"/>
      <c r="U287" s="75"/>
      <c r="V287" s="75"/>
      <c r="W287" s="75"/>
      <c r="X287" s="75"/>
      <c r="Y287" s="75"/>
      <c r="Z287" s="75"/>
      <c r="AA287" s="75"/>
      <c r="AB287" s="114"/>
      <c r="AC287" s="129"/>
      <c r="AD287" s="75"/>
      <c r="AE287" s="75"/>
      <c r="AF287" s="75"/>
      <c r="AG287" s="75"/>
      <c r="AH287" s="75"/>
      <c r="AI287" s="75"/>
      <c r="AJ287" s="75"/>
      <c r="AK287" s="83"/>
      <c r="AL287" s="75"/>
      <c r="AM287" s="75"/>
      <c r="AN287" s="75"/>
      <c r="AO287" s="75"/>
      <c r="AP287" s="75"/>
      <c r="AQ287" s="75"/>
      <c r="AR287" s="75"/>
      <c r="AS287" s="75"/>
      <c r="AT287" s="75"/>
      <c r="AU287" s="75"/>
      <c r="AV287" s="75"/>
      <c r="AW287" s="75"/>
      <c r="AX287" s="114"/>
      <c r="AY287" s="67"/>
      <c r="AZ287" s="69"/>
      <c r="BA287" s="69"/>
      <c r="BB287" s="69"/>
      <c r="BC287" s="69"/>
      <c r="BD287" s="69"/>
      <c r="BE287" s="69"/>
      <c r="BF287" s="69"/>
      <c r="BG287" s="69"/>
      <c r="BH287" s="69"/>
      <c r="BI287" s="69"/>
      <c r="BJ287" s="69"/>
      <c r="BK287" s="114"/>
      <c r="BL287" s="115"/>
      <c r="BM287" s="69"/>
      <c r="BN287" s="213"/>
      <c r="BO287" s="69"/>
      <c r="BP287" s="69"/>
      <c r="BQ287" s="69"/>
      <c r="BR287" s="69"/>
      <c r="BS287" s="69"/>
      <c r="BT287" s="69"/>
      <c r="BU287" s="69"/>
      <c r="BV287" s="69"/>
      <c r="BW287" s="69"/>
      <c r="BX287" s="100"/>
      <c r="BY287" s="69"/>
      <c r="BZ287" s="69"/>
      <c r="CA287" s="69"/>
      <c r="CB287" s="69"/>
      <c r="CC287" s="69"/>
      <c r="CD287" s="69"/>
      <c r="CE287" s="83"/>
      <c r="CF287" s="83"/>
      <c r="CG287" s="83"/>
      <c r="CH287" s="83"/>
      <c r="CI287" s="83"/>
      <c r="CJ287" s="83"/>
      <c r="CK287" s="100"/>
      <c r="CL287" s="130"/>
      <c r="CM287" s="83"/>
      <c r="CN287" s="83"/>
      <c r="CO287" s="83"/>
      <c r="CP287" s="83"/>
      <c r="CQ287" s="83"/>
      <c r="CR287" s="83"/>
      <c r="CS287" s="83"/>
      <c r="CT287" s="83"/>
      <c r="CU287" s="83"/>
      <c r="CV287" s="83"/>
      <c r="CW287" s="83"/>
      <c r="CX287" s="83"/>
      <c r="CY287" s="100"/>
      <c r="DL287" s="100"/>
    </row>
    <row r="288" spans="2:116">
      <c r="B288" s="321" t="s">
        <v>407</v>
      </c>
      <c r="C288" s="136"/>
      <c r="D288" s="136"/>
      <c r="E288" s="136"/>
      <c r="F288" s="136"/>
      <c r="G288" s="136"/>
      <c r="H288" s="136"/>
      <c r="I288" s="136"/>
      <c r="J288" s="136"/>
      <c r="K288" s="136"/>
      <c r="L288" s="136"/>
      <c r="M288" s="102"/>
      <c r="N288" s="102"/>
      <c r="O288" s="66"/>
      <c r="P288" s="75"/>
      <c r="Q288" s="75"/>
      <c r="R288" s="75"/>
      <c r="S288" s="75"/>
      <c r="T288" s="75"/>
      <c r="U288" s="75"/>
      <c r="V288" s="75"/>
      <c r="W288" s="75"/>
      <c r="X288" s="75"/>
      <c r="Y288" s="75"/>
      <c r="Z288" s="75"/>
      <c r="AA288" s="75"/>
      <c r="AB288" s="114"/>
      <c r="AC288" s="129"/>
      <c r="AD288" s="75"/>
      <c r="AE288" s="75"/>
      <c r="AF288" s="75"/>
      <c r="AG288" s="75"/>
      <c r="AH288" s="75"/>
      <c r="AI288" s="75"/>
      <c r="AJ288" s="75"/>
      <c r="AK288" s="83"/>
      <c r="AL288" s="75"/>
      <c r="AM288" s="75"/>
      <c r="AN288" s="75"/>
      <c r="AO288" s="75"/>
      <c r="AP288" s="75"/>
      <c r="AQ288" s="75"/>
      <c r="AR288" s="75"/>
      <c r="AS288" s="75"/>
      <c r="AT288" s="75"/>
      <c r="AU288" s="75"/>
      <c r="AV288" s="75"/>
      <c r="AW288" s="75"/>
      <c r="AX288" s="114"/>
      <c r="AY288" s="67"/>
      <c r="AZ288" s="69"/>
      <c r="BA288" s="69"/>
      <c r="BB288" s="69"/>
      <c r="BC288" s="69"/>
      <c r="BD288" s="69"/>
      <c r="BE288" s="69"/>
      <c r="BF288" s="69"/>
      <c r="BG288" s="69"/>
      <c r="BH288" s="69"/>
      <c r="BI288" s="69"/>
      <c r="BJ288" s="69"/>
      <c r="BK288" s="114"/>
      <c r="BL288" s="115"/>
      <c r="BM288" s="69"/>
      <c r="BN288" s="213"/>
      <c r="BO288" s="69"/>
      <c r="BP288" s="69"/>
      <c r="BQ288" s="69"/>
      <c r="BR288" s="69"/>
      <c r="BS288" s="69"/>
      <c r="BT288" s="69"/>
      <c r="BU288" s="69"/>
      <c r="BV288" s="69"/>
      <c r="BW288" s="69"/>
      <c r="BX288" s="100"/>
      <c r="BY288" s="69"/>
      <c r="BZ288" s="69"/>
      <c r="CA288" s="69"/>
      <c r="CB288" s="69"/>
      <c r="CC288" s="69"/>
      <c r="CD288" s="69"/>
      <c r="CE288" s="83"/>
      <c r="CF288" s="83"/>
      <c r="CG288" s="83"/>
      <c r="CH288" s="83"/>
      <c r="CI288" s="83"/>
      <c r="CJ288" s="83"/>
      <c r="CK288" s="100"/>
      <c r="CL288" s="130"/>
      <c r="CM288" s="83"/>
      <c r="CN288" s="83"/>
      <c r="CO288" s="83"/>
      <c r="CP288" s="83"/>
      <c r="CQ288" s="83"/>
      <c r="CR288" s="83"/>
      <c r="CS288" s="83"/>
      <c r="CT288" s="83"/>
      <c r="CU288" s="83"/>
      <c r="CV288" s="83"/>
      <c r="CW288" s="83"/>
      <c r="CX288" s="83"/>
      <c r="CY288" s="100"/>
      <c r="DL288" s="100"/>
    </row>
    <row r="289" spans="2:116">
      <c r="B289" s="324" t="s">
        <v>419</v>
      </c>
      <c r="C289" s="136"/>
      <c r="D289" s="136"/>
      <c r="E289" s="136"/>
      <c r="F289" s="136"/>
      <c r="G289" s="136"/>
      <c r="H289" s="136"/>
      <c r="I289" s="136"/>
      <c r="J289" s="136"/>
      <c r="K289" s="136"/>
      <c r="L289" s="136"/>
      <c r="M289" s="102"/>
      <c r="N289" s="102"/>
      <c r="O289" s="66"/>
      <c r="P289" s="75"/>
      <c r="Q289" s="75"/>
      <c r="R289" s="75"/>
      <c r="S289" s="75"/>
      <c r="T289" s="75"/>
      <c r="U289" s="75"/>
      <c r="V289" s="75"/>
      <c r="W289" s="75"/>
      <c r="X289" s="75"/>
      <c r="Y289" s="75"/>
      <c r="Z289" s="75"/>
      <c r="AA289" s="75"/>
      <c r="AB289" s="114"/>
      <c r="AC289" s="129"/>
      <c r="AD289" s="75"/>
      <c r="AE289" s="75"/>
      <c r="AF289" s="75"/>
      <c r="AG289" s="75"/>
      <c r="AH289" s="75"/>
      <c r="AI289" s="75"/>
      <c r="AJ289" s="75"/>
      <c r="AK289" s="83"/>
      <c r="AL289" s="75"/>
      <c r="AM289" s="75"/>
      <c r="AN289" s="75"/>
      <c r="AO289" s="75"/>
      <c r="AP289" s="75"/>
      <c r="AQ289" s="75"/>
      <c r="AR289" s="75"/>
      <c r="AS289" s="75"/>
      <c r="AT289" s="75"/>
      <c r="AU289" s="75"/>
      <c r="AV289" s="75"/>
      <c r="AW289" s="75"/>
      <c r="AX289" s="114"/>
      <c r="AY289" s="67"/>
      <c r="AZ289" s="69"/>
      <c r="BA289" s="69"/>
      <c r="BB289" s="69"/>
      <c r="BC289" s="69"/>
      <c r="BD289" s="69"/>
      <c r="BE289" s="69"/>
      <c r="BF289" s="69"/>
      <c r="BG289" s="69"/>
      <c r="BH289" s="69"/>
      <c r="BI289" s="69"/>
      <c r="BJ289" s="69"/>
      <c r="BK289" s="114"/>
      <c r="BL289" s="115"/>
      <c r="BM289" s="69"/>
      <c r="BN289" s="213"/>
      <c r="BO289" s="69"/>
      <c r="BP289" s="69"/>
      <c r="BQ289" s="69"/>
      <c r="BR289" s="69"/>
      <c r="BS289" s="69"/>
      <c r="BT289" s="69"/>
      <c r="BU289" s="69"/>
      <c r="BV289" s="69"/>
      <c r="BW289" s="69"/>
      <c r="BX289" s="100"/>
      <c r="BY289" s="201"/>
      <c r="BZ289" s="195"/>
      <c r="CA289" s="195"/>
      <c r="CB289" s="195"/>
      <c r="CC289" s="195"/>
      <c r="CD289" s="195"/>
      <c r="CE289" s="347"/>
      <c r="CF289" s="347"/>
      <c r="CG289" s="347"/>
      <c r="CH289" s="347"/>
      <c r="CI289" s="347"/>
      <c r="CJ289" s="347"/>
      <c r="CK289" s="88"/>
      <c r="CL289" s="348"/>
      <c r="CM289" s="347"/>
      <c r="CN289" s="347"/>
      <c r="CO289" s="347"/>
      <c r="CP289" s="347"/>
      <c r="CQ289" s="347"/>
      <c r="CR289" s="347"/>
      <c r="CS289" s="347"/>
      <c r="CT289" s="347"/>
      <c r="CU289" s="347"/>
      <c r="CV289" s="347"/>
      <c r="CW289" s="347"/>
      <c r="CX289" s="347"/>
      <c r="CY289" s="88"/>
      <c r="DL289" s="88"/>
    </row>
    <row r="290" spans="2:116">
      <c r="B290" s="315" t="s">
        <v>226</v>
      </c>
      <c r="C290" s="136"/>
      <c r="D290" s="136"/>
      <c r="E290" s="136"/>
      <c r="F290" s="136"/>
      <c r="G290" s="136"/>
      <c r="H290" s="136"/>
      <c r="I290" s="136"/>
      <c r="J290" s="136"/>
      <c r="K290" s="136"/>
      <c r="L290" s="136"/>
      <c r="M290" s="102"/>
      <c r="N290" s="102"/>
      <c r="O290" s="66"/>
      <c r="P290" s="75"/>
      <c r="Q290" s="75"/>
      <c r="R290" s="75"/>
      <c r="S290" s="75"/>
      <c r="T290" s="75"/>
      <c r="U290" s="75"/>
      <c r="V290" s="75"/>
      <c r="W290" s="75"/>
      <c r="X290" s="75"/>
      <c r="Y290" s="75"/>
      <c r="Z290" s="75"/>
      <c r="AA290" s="75"/>
      <c r="AB290" s="114"/>
      <c r="AC290" s="129"/>
      <c r="AD290" s="75"/>
      <c r="AE290" s="75"/>
      <c r="AF290" s="75"/>
      <c r="AG290" s="75"/>
      <c r="AH290" s="75"/>
      <c r="AI290" s="75"/>
      <c r="AJ290" s="75"/>
      <c r="AK290" s="83"/>
      <c r="AL290" s="75"/>
      <c r="AM290" s="75"/>
      <c r="AN290" s="75"/>
      <c r="AO290" s="75"/>
      <c r="AP290" s="75"/>
      <c r="AQ290" s="75"/>
      <c r="AR290" s="75"/>
      <c r="AS290" s="75"/>
      <c r="AT290" s="75"/>
      <c r="AU290" s="75"/>
      <c r="AV290" s="75"/>
      <c r="AW290" s="75"/>
      <c r="AX290" s="114"/>
      <c r="AY290" s="67"/>
      <c r="AZ290" s="69"/>
      <c r="BA290" s="69"/>
      <c r="BB290" s="69"/>
      <c r="BC290" s="69"/>
      <c r="BD290" s="69"/>
      <c r="BE290" s="69"/>
      <c r="BF290" s="69"/>
      <c r="BG290" s="69"/>
      <c r="BH290" s="69"/>
      <c r="BI290" s="69"/>
      <c r="BJ290" s="69"/>
      <c r="BK290" s="114"/>
      <c r="BL290" s="115"/>
      <c r="BM290" s="69"/>
      <c r="BN290" s="213"/>
      <c r="BO290" s="69"/>
      <c r="BP290" s="69"/>
      <c r="BQ290" s="69"/>
      <c r="BR290" s="69"/>
      <c r="BS290" s="69"/>
      <c r="BT290" s="69"/>
      <c r="BU290" s="69"/>
      <c r="BV290" s="69"/>
      <c r="BW290" s="69"/>
      <c r="BX290" s="100"/>
      <c r="BY290" s="115"/>
      <c r="BZ290" s="69"/>
      <c r="CA290" s="69"/>
      <c r="CB290" s="69"/>
      <c r="CC290" s="69"/>
      <c r="CD290" s="69"/>
      <c r="CE290" s="83"/>
      <c r="CF290" s="83"/>
      <c r="CG290" s="83"/>
      <c r="CH290" s="83"/>
      <c r="CI290" s="83"/>
      <c r="CJ290" s="83"/>
      <c r="CK290" s="100"/>
      <c r="CL290" s="130"/>
      <c r="CM290" s="83"/>
      <c r="CN290" s="83"/>
      <c r="CO290" s="83"/>
      <c r="CP290" s="83"/>
      <c r="CQ290" s="83"/>
      <c r="CR290" s="83"/>
      <c r="CS290" s="83"/>
      <c r="CT290" s="83"/>
      <c r="CU290" s="83"/>
      <c r="CV290" s="83"/>
      <c r="CW290" s="83"/>
      <c r="CX290" s="83"/>
      <c r="CY290" s="100">
        <f>SUM(CM290:CX290)</f>
        <v>0</v>
      </c>
      <c r="DL290" s="100">
        <f>SUM(CZ290:DK290)</f>
        <v>0</v>
      </c>
    </row>
    <row r="291" spans="2:116">
      <c r="B291" s="322" t="s">
        <v>227</v>
      </c>
      <c r="C291" s="136"/>
      <c r="D291" s="136"/>
      <c r="E291" s="136"/>
      <c r="F291" s="136"/>
      <c r="G291" s="136"/>
      <c r="H291" s="136"/>
      <c r="I291" s="136"/>
      <c r="J291" s="136"/>
      <c r="K291" s="136"/>
      <c r="L291" s="136"/>
      <c r="M291" s="102"/>
      <c r="N291" s="102"/>
      <c r="O291" s="66"/>
      <c r="P291" s="75"/>
      <c r="Q291" s="75"/>
      <c r="R291" s="75"/>
      <c r="S291" s="75"/>
      <c r="T291" s="75"/>
      <c r="U291" s="75"/>
      <c r="V291" s="75"/>
      <c r="W291" s="75"/>
      <c r="X291" s="75"/>
      <c r="Y291" s="75"/>
      <c r="Z291" s="75"/>
      <c r="AA291" s="75"/>
      <c r="AB291" s="114"/>
      <c r="AC291" s="129"/>
      <c r="AD291" s="75"/>
      <c r="AE291" s="75"/>
      <c r="AF291" s="75"/>
      <c r="AG291" s="75"/>
      <c r="AH291" s="75"/>
      <c r="AI291" s="75"/>
      <c r="AJ291" s="75"/>
      <c r="AK291" s="83"/>
      <c r="AL291" s="75"/>
      <c r="AM291" s="75"/>
      <c r="AN291" s="75"/>
      <c r="AO291" s="75"/>
      <c r="AP291" s="75"/>
      <c r="AQ291" s="75"/>
      <c r="AR291" s="75"/>
      <c r="AS291" s="75"/>
      <c r="AT291" s="75"/>
      <c r="AU291" s="75"/>
      <c r="AV291" s="75"/>
      <c r="AW291" s="75"/>
      <c r="AX291" s="114"/>
      <c r="AY291" s="67"/>
      <c r="AZ291" s="69"/>
      <c r="BA291" s="69"/>
      <c r="BB291" s="69"/>
      <c r="BC291" s="69"/>
      <c r="BD291" s="69"/>
      <c r="BE291" s="69"/>
      <c r="BF291" s="69"/>
      <c r="BG291" s="69"/>
      <c r="BH291" s="69"/>
      <c r="BI291" s="69"/>
      <c r="BJ291" s="69"/>
      <c r="BK291" s="114"/>
      <c r="BL291" s="115"/>
      <c r="BM291" s="69"/>
      <c r="BN291" s="213"/>
      <c r="BO291" s="69"/>
      <c r="BP291" s="69"/>
      <c r="BQ291" s="69"/>
      <c r="BR291" s="69"/>
      <c r="BS291" s="69"/>
      <c r="BT291" s="69"/>
      <c r="BU291" s="69"/>
      <c r="BV291" s="69"/>
      <c r="BW291" s="69"/>
      <c r="BX291" s="114"/>
      <c r="BY291" s="204">
        <f>1315822.9+BY290</f>
        <v>1315822.8999999999</v>
      </c>
      <c r="BZ291" s="112">
        <f>BY291+BZ290</f>
        <v>1315822.8999999999</v>
      </c>
      <c r="CA291" s="112">
        <f t="shared" ref="CA291:CJ291" si="789">BZ291+CA290</f>
        <v>1315822.8999999999</v>
      </c>
      <c r="CB291" s="112">
        <f t="shared" si="789"/>
        <v>1315822.8999999999</v>
      </c>
      <c r="CC291" s="112">
        <f t="shared" si="789"/>
        <v>1315822.8999999999</v>
      </c>
      <c r="CD291" s="112">
        <f t="shared" si="789"/>
        <v>1315822.8999999999</v>
      </c>
      <c r="CE291" s="113">
        <f t="shared" si="789"/>
        <v>1315822.8999999999</v>
      </c>
      <c r="CF291" s="113">
        <f t="shared" si="789"/>
        <v>1315822.8999999999</v>
      </c>
      <c r="CG291" s="113">
        <f t="shared" si="789"/>
        <v>1315822.8999999999</v>
      </c>
      <c r="CH291" s="113">
        <f t="shared" si="789"/>
        <v>1315822.8999999999</v>
      </c>
      <c r="CI291" s="113">
        <f t="shared" si="789"/>
        <v>1315822.8999999999</v>
      </c>
      <c r="CJ291" s="113">
        <f t="shared" si="789"/>
        <v>1315822.8999999999</v>
      </c>
      <c r="CK291" s="282">
        <f>CJ291</f>
        <v>1315822.8999999999</v>
      </c>
      <c r="CL291" s="132"/>
      <c r="CM291" s="113">
        <f>CK291+CM290</f>
        <v>1315822.8999999999</v>
      </c>
      <c r="CN291" s="113">
        <f t="shared" ref="CN291" si="790">CM291+CN290</f>
        <v>1315822.8999999999</v>
      </c>
      <c r="CO291" s="113">
        <f t="shared" ref="CO291" si="791">CN291+CO290</f>
        <v>1315822.8999999999</v>
      </c>
      <c r="CP291" s="113">
        <f t="shared" ref="CP291" si="792">CO291+CP290</f>
        <v>1315822.8999999999</v>
      </c>
      <c r="CQ291" s="113">
        <f t="shared" ref="CQ291" si="793">CP291+CQ290</f>
        <v>1315822.8999999999</v>
      </c>
      <c r="CR291" s="113">
        <f t="shared" ref="CR291" si="794">CQ291+CR290</f>
        <v>1315822.8999999999</v>
      </c>
      <c r="CS291" s="113">
        <f t="shared" ref="CS291" si="795">CR291+CS290</f>
        <v>1315822.8999999999</v>
      </c>
      <c r="CT291" s="113">
        <f t="shared" ref="CT291" si="796">CS291+CT290</f>
        <v>1315822.8999999999</v>
      </c>
      <c r="CU291" s="113">
        <f t="shared" ref="CU291" si="797">CT291+CU290</f>
        <v>1315822.8999999999</v>
      </c>
      <c r="CV291" s="113">
        <f t="shared" ref="CV291" si="798">CU291+CV290</f>
        <v>1315822.8999999999</v>
      </c>
      <c r="CW291" s="113">
        <f t="shared" ref="CW291" si="799">CV291+CW290</f>
        <v>1315822.8999999999</v>
      </c>
      <c r="CX291" s="113">
        <f t="shared" ref="CX291" si="800">CW291+CX290</f>
        <v>1315822.8999999999</v>
      </c>
      <c r="CY291" s="111"/>
      <c r="DL291" s="111"/>
    </row>
    <row r="292" spans="2:116">
      <c r="B292" s="324" t="s">
        <v>420</v>
      </c>
      <c r="C292" s="136"/>
      <c r="D292" s="136"/>
      <c r="E292" s="136"/>
      <c r="F292" s="136"/>
      <c r="G292" s="136"/>
      <c r="H292" s="136"/>
      <c r="I292" s="136"/>
      <c r="J292" s="136"/>
      <c r="K292" s="136"/>
      <c r="L292" s="136"/>
      <c r="M292" s="102"/>
      <c r="N292" s="102"/>
      <c r="O292" s="66"/>
      <c r="P292" s="75"/>
      <c r="Q292" s="75"/>
      <c r="R292" s="75"/>
      <c r="S292" s="75"/>
      <c r="T292" s="75"/>
      <c r="U292" s="75"/>
      <c r="V292" s="75"/>
      <c r="W292" s="75"/>
      <c r="X292" s="75"/>
      <c r="Y292" s="75"/>
      <c r="Z292" s="75"/>
      <c r="AA292" s="75"/>
      <c r="AB292" s="114"/>
      <c r="AC292" s="129"/>
      <c r="AD292" s="75"/>
      <c r="AE292" s="75"/>
      <c r="AF292" s="75"/>
      <c r="AG292" s="75"/>
      <c r="AH292" s="75"/>
      <c r="AI292" s="75"/>
      <c r="AJ292" s="75"/>
      <c r="AK292" s="83"/>
      <c r="AL292" s="75"/>
      <c r="AM292" s="75"/>
      <c r="AN292" s="75"/>
      <c r="AO292" s="75"/>
      <c r="AP292" s="75"/>
      <c r="AQ292" s="75"/>
      <c r="AR292" s="75"/>
      <c r="AS292" s="75"/>
      <c r="AT292" s="75"/>
      <c r="AU292" s="75"/>
      <c r="AV292" s="75"/>
      <c r="AW292" s="75"/>
      <c r="AX292" s="114"/>
      <c r="AY292" s="67"/>
      <c r="AZ292" s="69"/>
      <c r="BA292" s="69"/>
      <c r="BB292" s="69"/>
      <c r="BC292" s="69"/>
      <c r="BD292" s="69"/>
      <c r="BE292" s="69"/>
      <c r="BF292" s="69"/>
      <c r="BG292" s="69"/>
      <c r="BH292" s="69"/>
      <c r="BI292" s="69"/>
      <c r="BJ292" s="69"/>
      <c r="BK292" s="114"/>
      <c r="BL292" s="115"/>
      <c r="BM292" s="69"/>
      <c r="BN292" s="213"/>
      <c r="BO292" s="69"/>
      <c r="BP292" s="69"/>
      <c r="BQ292" s="69"/>
      <c r="BR292" s="69"/>
      <c r="BS292" s="69"/>
      <c r="BT292" s="69"/>
      <c r="BU292" s="69"/>
      <c r="BV292" s="69"/>
      <c r="BW292" s="69"/>
      <c r="BX292" s="100"/>
      <c r="BY292" s="69"/>
      <c r="BZ292" s="69"/>
      <c r="CA292" s="69"/>
      <c r="CB292" s="69"/>
      <c r="CC292" s="69"/>
      <c r="CD292" s="69"/>
      <c r="CE292" s="83"/>
      <c r="CF292" s="83"/>
      <c r="CG292" s="83"/>
      <c r="CH292" s="83"/>
      <c r="CI292" s="83"/>
      <c r="CJ292" s="83"/>
      <c r="CK292" s="100"/>
      <c r="CL292" s="130"/>
      <c r="CM292" s="83"/>
      <c r="CN292" s="83"/>
      <c r="CO292" s="83"/>
      <c r="CP292" s="83"/>
      <c r="CQ292" s="83"/>
      <c r="CR292" s="83"/>
      <c r="CS292" s="83"/>
      <c r="CT292" s="83"/>
      <c r="CU292" s="83"/>
      <c r="CV292" s="83"/>
      <c r="CW292" s="83"/>
      <c r="CX292" s="83"/>
      <c r="CY292" s="100"/>
      <c r="DL292" s="100"/>
    </row>
    <row r="293" spans="2:116">
      <c r="B293" s="315" t="s">
        <v>226</v>
      </c>
      <c r="C293" s="136"/>
      <c r="D293" s="136"/>
      <c r="E293" s="136"/>
      <c r="F293" s="136"/>
      <c r="G293" s="136"/>
      <c r="H293" s="136"/>
      <c r="I293" s="136"/>
      <c r="J293" s="136"/>
      <c r="K293" s="136"/>
      <c r="L293" s="136"/>
      <c r="M293" s="102"/>
      <c r="N293" s="102"/>
      <c r="O293" s="66"/>
      <c r="P293" s="75"/>
      <c r="Q293" s="75"/>
      <c r="R293" s="75"/>
      <c r="S293" s="75"/>
      <c r="T293" s="75"/>
      <c r="U293" s="75"/>
      <c r="V293" s="75"/>
      <c r="W293" s="75"/>
      <c r="X293" s="75"/>
      <c r="Y293" s="75"/>
      <c r="Z293" s="75"/>
      <c r="AA293" s="75"/>
      <c r="AB293" s="114"/>
      <c r="AC293" s="129"/>
      <c r="AD293" s="75"/>
      <c r="AE293" s="75"/>
      <c r="AF293" s="75"/>
      <c r="AG293" s="75"/>
      <c r="AH293" s="75"/>
      <c r="AI293" s="75"/>
      <c r="AJ293" s="75"/>
      <c r="AK293" s="83"/>
      <c r="AL293" s="75"/>
      <c r="AM293" s="75"/>
      <c r="AN293" s="75"/>
      <c r="AO293" s="75"/>
      <c r="AP293" s="75"/>
      <c r="AQ293" s="75"/>
      <c r="AR293" s="75"/>
      <c r="AS293" s="75"/>
      <c r="AT293" s="75"/>
      <c r="AU293" s="75"/>
      <c r="AV293" s="75"/>
      <c r="AW293" s="75"/>
      <c r="AX293" s="114"/>
      <c r="AY293" s="67"/>
      <c r="AZ293" s="69"/>
      <c r="BA293" s="69"/>
      <c r="BB293" s="69"/>
      <c r="BC293" s="69"/>
      <c r="BD293" s="69"/>
      <c r="BE293" s="69"/>
      <c r="BF293" s="69"/>
      <c r="BG293" s="69"/>
      <c r="BH293" s="69"/>
      <c r="BI293" s="69"/>
      <c r="BJ293" s="69"/>
      <c r="BK293" s="114"/>
      <c r="BL293" s="115"/>
      <c r="BM293" s="69"/>
      <c r="BN293" s="213"/>
      <c r="BO293" s="69"/>
      <c r="BP293" s="69"/>
      <c r="BQ293" s="69"/>
      <c r="BR293" s="69"/>
      <c r="BS293" s="69"/>
      <c r="BT293" s="69"/>
      <c r="BU293" s="69"/>
      <c r="BV293" s="69"/>
      <c r="BW293" s="69"/>
      <c r="BX293" s="100"/>
      <c r="BY293" s="69"/>
      <c r="BZ293" s="69"/>
      <c r="CA293" s="69"/>
      <c r="CB293" s="69"/>
      <c r="CC293" s="69"/>
      <c r="CD293" s="69"/>
      <c r="CE293" s="83"/>
      <c r="CF293" s="83"/>
      <c r="CG293" s="83"/>
      <c r="CH293" s="83"/>
      <c r="CI293" s="83"/>
      <c r="CJ293" s="83"/>
      <c r="CK293" s="100"/>
      <c r="CL293" s="130"/>
      <c r="CM293" s="83"/>
      <c r="CN293" s="83"/>
      <c r="CO293" s="83"/>
      <c r="CP293" s="83"/>
      <c r="CQ293" s="83"/>
      <c r="CR293" s="83"/>
      <c r="CS293" s="83"/>
      <c r="CT293" s="83"/>
      <c r="CU293" s="83"/>
      <c r="CV293" s="83"/>
      <c r="CW293" s="83"/>
      <c r="CX293" s="83"/>
      <c r="CY293" s="100">
        <f>SUM(CM293:CX293)</f>
        <v>0</v>
      </c>
      <c r="DL293" s="100">
        <f>SUM(CZ293:DK293)</f>
        <v>0</v>
      </c>
    </row>
    <row r="294" spans="2:116">
      <c r="B294" s="326" t="s">
        <v>336</v>
      </c>
      <c r="C294" s="136"/>
      <c r="D294" s="136"/>
      <c r="E294" s="136"/>
      <c r="F294" s="136"/>
      <c r="G294" s="136"/>
      <c r="H294" s="136"/>
      <c r="I294" s="136"/>
      <c r="J294" s="136"/>
      <c r="K294" s="136"/>
      <c r="L294" s="136"/>
      <c r="M294" s="102"/>
      <c r="N294" s="102"/>
      <c r="O294" s="66"/>
      <c r="P294" s="75"/>
      <c r="Q294" s="75"/>
      <c r="R294" s="75"/>
      <c r="S294" s="75"/>
      <c r="T294" s="75"/>
      <c r="U294" s="75"/>
      <c r="V294" s="75"/>
      <c r="W294" s="75"/>
      <c r="X294" s="75"/>
      <c r="Y294" s="75"/>
      <c r="Z294" s="75"/>
      <c r="AA294" s="75"/>
      <c r="AB294" s="114"/>
      <c r="AC294" s="129"/>
      <c r="AD294" s="75"/>
      <c r="AE294" s="75"/>
      <c r="AF294" s="75"/>
      <c r="AG294" s="75"/>
      <c r="AH294" s="75"/>
      <c r="AI294" s="75"/>
      <c r="AJ294" s="75"/>
      <c r="AK294" s="83"/>
      <c r="AL294" s="75"/>
      <c r="AM294" s="75"/>
      <c r="AN294" s="75"/>
      <c r="AO294" s="75"/>
      <c r="AP294" s="75"/>
      <c r="AQ294" s="75"/>
      <c r="AR294" s="75"/>
      <c r="AS294" s="75"/>
      <c r="AT294" s="75"/>
      <c r="AU294" s="75"/>
      <c r="AV294" s="75"/>
      <c r="AW294" s="75"/>
      <c r="AX294" s="114"/>
      <c r="AY294" s="67"/>
      <c r="AZ294" s="69"/>
      <c r="BA294" s="69"/>
      <c r="BB294" s="69"/>
      <c r="BC294" s="69"/>
      <c r="BD294" s="69"/>
      <c r="BE294" s="69"/>
      <c r="BF294" s="69"/>
      <c r="BG294" s="69"/>
      <c r="BH294" s="69"/>
      <c r="BI294" s="69"/>
      <c r="BJ294" s="69"/>
      <c r="BK294" s="114"/>
      <c r="BL294" s="115"/>
      <c r="BM294" s="69"/>
      <c r="BN294" s="213"/>
      <c r="BO294" s="69"/>
      <c r="BP294" s="69"/>
      <c r="BQ294" s="69"/>
      <c r="BR294" s="69"/>
      <c r="BS294" s="69"/>
      <c r="BT294" s="69"/>
      <c r="BU294" s="69"/>
      <c r="BV294" s="69"/>
      <c r="BW294" s="69"/>
      <c r="BX294" s="100"/>
      <c r="BY294" s="69">
        <f>-82059.86+BY293</f>
        <v>-82059.86</v>
      </c>
      <c r="BZ294" s="69">
        <f>BY294+BZ293</f>
        <v>-82059.86</v>
      </c>
      <c r="CA294" s="69">
        <f t="shared" ref="CA294:CJ294" si="801">BZ294+CA293</f>
        <v>-82059.86</v>
      </c>
      <c r="CB294" s="69">
        <f t="shared" si="801"/>
        <v>-82059.86</v>
      </c>
      <c r="CC294" s="69">
        <f t="shared" si="801"/>
        <v>-82059.86</v>
      </c>
      <c r="CD294" s="69">
        <f t="shared" si="801"/>
        <v>-82059.86</v>
      </c>
      <c r="CE294" s="83">
        <f t="shared" si="801"/>
        <v>-82059.86</v>
      </c>
      <c r="CF294" s="83">
        <f t="shared" si="801"/>
        <v>-82059.86</v>
      </c>
      <c r="CG294" s="83">
        <f t="shared" si="801"/>
        <v>-82059.86</v>
      </c>
      <c r="CH294" s="83">
        <f t="shared" si="801"/>
        <v>-82059.86</v>
      </c>
      <c r="CI294" s="83">
        <f t="shared" si="801"/>
        <v>-82059.86</v>
      </c>
      <c r="CJ294" s="83">
        <f t="shared" si="801"/>
        <v>-82059.86</v>
      </c>
      <c r="CK294" s="282">
        <f>CJ294</f>
        <v>-82059.86</v>
      </c>
      <c r="CL294" s="130"/>
      <c r="CM294" s="83">
        <f>CK294+CM293</f>
        <v>-82059.86</v>
      </c>
      <c r="CN294" s="83">
        <f t="shared" ref="CN294" si="802">CM294+CN293</f>
        <v>-82059.86</v>
      </c>
      <c r="CO294" s="83">
        <f t="shared" ref="CO294" si="803">CN294+CO293</f>
        <v>-82059.86</v>
      </c>
      <c r="CP294" s="83">
        <f t="shared" ref="CP294" si="804">CO294+CP293</f>
        <v>-82059.86</v>
      </c>
      <c r="CQ294" s="83">
        <f t="shared" ref="CQ294" si="805">CP294+CQ293</f>
        <v>-82059.86</v>
      </c>
      <c r="CR294" s="83">
        <f t="shared" ref="CR294" si="806">CQ294+CR293</f>
        <v>-82059.86</v>
      </c>
      <c r="CS294" s="83">
        <f t="shared" ref="CS294" si="807">CR294+CS293</f>
        <v>-82059.86</v>
      </c>
      <c r="CT294" s="83">
        <f t="shared" ref="CT294" si="808">CS294+CT293</f>
        <v>-82059.86</v>
      </c>
      <c r="CU294" s="83">
        <f t="shared" ref="CU294" si="809">CT294+CU293</f>
        <v>-82059.86</v>
      </c>
      <c r="CV294" s="83">
        <f t="shared" ref="CV294" si="810">CU294+CV293</f>
        <v>-82059.86</v>
      </c>
      <c r="CW294" s="83">
        <f t="shared" ref="CW294" si="811">CV294+CW293</f>
        <v>-82059.86</v>
      </c>
      <c r="CX294" s="83">
        <f t="shared" ref="CX294" si="812">CW294+CX293</f>
        <v>-82059.86</v>
      </c>
      <c r="CY294" s="100"/>
      <c r="DL294" s="100"/>
    </row>
    <row r="295" spans="2:116">
      <c r="B295" s="324" t="s">
        <v>408</v>
      </c>
      <c r="C295" s="136"/>
      <c r="D295" s="136"/>
      <c r="E295" s="136"/>
      <c r="F295" s="136"/>
      <c r="G295" s="136"/>
      <c r="H295" s="136"/>
      <c r="I295" s="136"/>
      <c r="J295" s="136"/>
      <c r="K295" s="136"/>
      <c r="L295" s="136"/>
      <c r="M295" s="102"/>
      <c r="N295" s="102"/>
      <c r="O295" s="66"/>
      <c r="P295" s="75"/>
      <c r="Q295" s="75"/>
      <c r="R295" s="75"/>
      <c r="S295" s="75"/>
      <c r="T295" s="75"/>
      <c r="U295" s="75"/>
      <c r="V295" s="75"/>
      <c r="W295" s="75"/>
      <c r="X295" s="75"/>
      <c r="Y295" s="75"/>
      <c r="Z295" s="75"/>
      <c r="AA295" s="75"/>
      <c r="AB295" s="114"/>
      <c r="AC295" s="129"/>
      <c r="AD295" s="75"/>
      <c r="AE295" s="75"/>
      <c r="AF295" s="75"/>
      <c r="AG295" s="75"/>
      <c r="AH295" s="75"/>
      <c r="AI295" s="75"/>
      <c r="AJ295" s="75"/>
      <c r="AK295" s="83"/>
      <c r="AL295" s="75"/>
      <c r="AM295" s="75"/>
      <c r="AN295" s="75"/>
      <c r="AO295" s="75"/>
      <c r="AP295" s="75"/>
      <c r="AQ295" s="75"/>
      <c r="AR295" s="75"/>
      <c r="AS295" s="75"/>
      <c r="AT295" s="75"/>
      <c r="AU295" s="75"/>
      <c r="AV295" s="75"/>
      <c r="AW295" s="75"/>
      <c r="AX295" s="114"/>
      <c r="AY295" s="67"/>
      <c r="AZ295" s="69"/>
      <c r="BA295" s="69"/>
      <c r="BB295" s="69"/>
      <c r="BC295" s="69"/>
      <c r="BD295" s="69"/>
      <c r="BE295" s="69"/>
      <c r="BF295" s="69"/>
      <c r="BG295" s="69"/>
      <c r="BH295" s="69"/>
      <c r="BI295" s="69"/>
      <c r="BJ295" s="69"/>
      <c r="BK295" s="114"/>
      <c r="BL295" s="115"/>
      <c r="BM295" s="69"/>
      <c r="BN295" s="213"/>
      <c r="BO295" s="69"/>
      <c r="BP295" s="69"/>
      <c r="BQ295" s="69"/>
      <c r="BR295" s="69"/>
      <c r="BS295" s="69"/>
      <c r="BT295" s="69"/>
      <c r="BU295" s="69"/>
      <c r="BV295" s="69"/>
      <c r="BW295" s="69"/>
      <c r="BX295" s="100"/>
      <c r="BY295" s="195"/>
      <c r="BZ295" s="195"/>
      <c r="CA295" s="195"/>
      <c r="CB295" s="195"/>
      <c r="CC295" s="195"/>
      <c r="CD295" s="195"/>
      <c r="CE295" s="347"/>
      <c r="CF295" s="347"/>
      <c r="CG295" s="347"/>
      <c r="CH295" s="347"/>
      <c r="CI295" s="347"/>
      <c r="CJ295" s="348"/>
      <c r="CK295" s="88"/>
      <c r="CL295" s="348"/>
      <c r="CM295" s="347"/>
      <c r="CN295" s="347"/>
      <c r="CO295" s="347"/>
      <c r="CP295" s="347"/>
      <c r="CQ295" s="347"/>
      <c r="CR295" s="347"/>
      <c r="CS295" s="347"/>
      <c r="CT295" s="347"/>
      <c r="CU295" s="347"/>
      <c r="CV295" s="347"/>
      <c r="CW295" s="347"/>
      <c r="CX295" s="348"/>
      <c r="CY295" s="88"/>
      <c r="DL295" s="88"/>
    </row>
    <row r="296" spans="2:116">
      <c r="B296" s="315" t="s">
        <v>226</v>
      </c>
      <c r="C296" s="136"/>
      <c r="D296" s="136"/>
      <c r="E296" s="136"/>
      <c r="F296" s="136"/>
      <c r="G296" s="136"/>
      <c r="H296" s="136"/>
      <c r="I296" s="136"/>
      <c r="J296" s="136"/>
      <c r="K296" s="136"/>
      <c r="L296" s="136"/>
      <c r="M296" s="102"/>
      <c r="N296" s="102"/>
      <c r="O296" s="66"/>
      <c r="P296" s="75"/>
      <c r="Q296" s="75"/>
      <c r="R296" s="75"/>
      <c r="S296" s="75"/>
      <c r="T296" s="75"/>
      <c r="U296" s="75"/>
      <c r="V296" s="75"/>
      <c r="W296" s="75"/>
      <c r="X296" s="75"/>
      <c r="Y296" s="75"/>
      <c r="Z296" s="75"/>
      <c r="AA296" s="75"/>
      <c r="AB296" s="114"/>
      <c r="AC296" s="129"/>
      <c r="AD296" s="75"/>
      <c r="AE296" s="75"/>
      <c r="AF296" s="75"/>
      <c r="AG296" s="75"/>
      <c r="AH296" s="75"/>
      <c r="AI296" s="75"/>
      <c r="AJ296" s="75"/>
      <c r="AK296" s="83"/>
      <c r="AL296" s="75"/>
      <c r="AM296" s="75"/>
      <c r="AN296" s="75"/>
      <c r="AO296" s="75"/>
      <c r="AP296" s="75"/>
      <c r="AQ296" s="75"/>
      <c r="AR296" s="75"/>
      <c r="AS296" s="75"/>
      <c r="AT296" s="75"/>
      <c r="AU296" s="75"/>
      <c r="AV296" s="75"/>
      <c r="AW296" s="75"/>
      <c r="AX296" s="114"/>
      <c r="AY296" s="67"/>
      <c r="AZ296" s="69"/>
      <c r="BA296" s="69"/>
      <c r="BB296" s="69"/>
      <c r="BC296" s="69"/>
      <c r="BD296" s="69"/>
      <c r="BE296" s="69"/>
      <c r="BF296" s="69"/>
      <c r="BG296" s="69"/>
      <c r="BH296" s="69"/>
      <c r="BI296" s="69"/>
      <c r="BJ296" s="69"/>
      <c r="BK296" s="114"/>
      <c r="BL296" s="115"/>
      <c r="BM296" s="69"/>
      <c r="BN296" s="213"/>
      <c r="BO296" s="69"/>
      <c r="BP296" s="69"/>
      <c r="BQ296" s="69"/>
      <c r="BR296" s="69"/>
      <c r="BS296" s="69"/>
      <c r="BT296" s="69"/>
      <c r="BU296" s="69"/>
      <c r="BV296" s="69"/>
      <c r="BW296" s="69"/>
      <c r="BX296" s="100"/>
      <c r="BY296" s="241">
        <f>489.93+89.87-7971-(2795-485.08)</f>
        <v>-9701.119999999999</v>
      </c>
      <c r="BZ296" s="69"/>
      <c r="CA296" s="69"/>
      <c r="CB296" s="69"/>
      <c r="CC296" s="69"/>
      <c r="CD296" s="69"/>
      <c r="CE296" s="83"/>
      <c r="CF296" s="83"/>
      <c r="CG296" s="83"/>
      <c r="CH296" s="83"/>
      <c r="CI296" s="83"/>
      <c r="CJ296" s="130"/>
      <c r="CK296" s="100"/>
      <c r="CL296" s="99"/>
      <c r="CM296" s="66"/>
      <c r="CN296" s="83"/>
      <c r="CO296" s="83"/>
      <c r="CP296" s="83"/>
      <c r="CQ296" s="83"/>
      <c r="CR296" s="83"/>
      <c r="CS296" s="83"/>
      <c r="CT296" s="83"/>
      <c r="CU296" s="83"/>
      <c r="CV296" s="83"/>
      <c r="CW296" s="83"/>
      <c r="CX296" s="130"/>
      <c r="CY296" s="100">
        <f>SUM(CM296:CX296)</f>
        <v>0</v>
      </c>
      <c r="DL296" s="100">
        <f>SUM(CZ296:DK296)</f>
        <v>0</v>
      </c>
    </row>
    <row r="297" spans="2:116">
      <c r="B297" s="326" t="s">
        <v>336</v>
      </c>
      <c r="C297" s="136"/>
      <c r="D297" s="136"/>
      <c r="E297" s="136"/>
      <c r="F297" s="136"/>
      <c r="G297" s="136"/>
      <c r="H297" s="136"/>
      <c r="I297" s="136"/>
      <c r="J297" s="136"/>
      <c r="K297" s="136"/>
      <c r="L297" s="136"/>
      <c r="M297" s="102"/>
      <c r="N297" s="102"/>
      <c r="O297" s="66"/>
      <c r="P297" s="75"/>
      <c r="Q297" s="75"/>
      <c r="R297" s="75"/>
      <c r="S297" s="75"/>
      <c r="T297" s="75"/>
      <c r="U297" s="75"/>
      <c r="V297" s="75"/>
      <c r="W297" s="75"/>
      <c r="X297" s="75"/>
      <c r="Y297" s="75"/>
      <c r="Z297" s="75"/>
      <c r="AA297" s="75"/>
      <c r="AB297" s="114"/>
      <c r="AC297" s="129"/>
      <c r="AD297" s="75"/>
      <c r="AE297" s="75"/>
      <c r="AF297" s="75"/>
      <c r="AG297" s="75"/>
      <c r="AH297" s="75"/>
      <c r="AI297" s="75"/>
      <c r="AJ297" s="75"/>
      <c r="AK297" s="83"/>
      <c r="AL297" s="75"/>
      <c r="AM297" s="75"/>
      <c r="AN297" s="75"/>
      <c r="AO297" s="75"/>
      <c r="AP297" s="75"/>
      <c r="AQ297" s="75"/>
      <c r="AR297" s="75"/>
      <c r="AS297" s="75"/>
      <c r="AT297" s="75"/>
      <c r="AU297" s="75"/>
      <c r="AV297" s="75"/>
      <c r="AW297" s="75"/>
      <c r="AX297" s="114"/>
      <c r="AY297" s="67"/>
      <c r="AZ297" s="69"/>
      <c r="BA297" s="69"/>
      <c r="BB297" s="69"/>
      <c r="BC297" s="69"/>
      <c r="BD297" s="69"/>
      <c r="BE297" s="69"/>
      <c r="BF297" s="69"/>
      <c r="BG297" s="69"/>
      <c r="BH297" s="69"/>
      <c r="BI297" s="69"/>
      <c r="BJ297" s="69"/>
      <c r="BK297" s="114"/>
      <c r="BL297" s="115"/>
      <c r="BM297" s="69"/>
      <c r="BN297" s="213"/>
      <c r="BO297" s="69"/>
      <c r="BP297" s="69"/>
      <c r="BQ297" s="69"/>
      <c r="BR297" s="69"/>
      <c r="BS297" s="69"/>
      <c r="BT297" s="69"/>
      <c r="BU297" s="69"/>
      <c r="BV297" s="69"/>
      <c r="BW297" s="69"/>
      <c r="BX297" s="100"/>
      <c r="BY297" s="69">
        <f>7138.64+BY296</f>
        <v>-2562.4799999999987</v>
      </c>
      <c r="BZ297" s="69">
        <f t="shared" ref="BZ297:CJ297" si="813">BZ296+BY297</f>
        <v>-2562.4799999999987</v>
      </c>
      <c r="CA297" s="69">
        <f t="shared" si="813"/>
        <v>-2562.4799999999987</v>
      </c>
      <c r="CB297" s="69">
        <f t="shared" si="813"/>
        <v>-2562.4799999999987</v>
      </c>
      <c r="CC297" s="69">
        <f t="shared" si="813"/>
        <v>-2562.4799999999987</v>
      </c>
      <c r="CD297" s="69">
        <f t="shared" si="813"/>
        <v>-2562.4799999999987</v>
      </c>
      <c r="CE297" s="83">
        <f t="shared" si="813"/>
        <v>-2562.4799999999987</v>
      </c>
      <c r="CF297" s="83">
        <f t="shared" si="813"/>
        <v>-2562.4799999999987</v>
      </c>
      <c r="CG297" s="83">
        <f t="shared" si="813"/>
        <v>-2562.4799999999987</v>
      </c>
      <c r="CH297" s="83">
        <f t="shared" si="813"/>
        <v>-2562.4799999999987</v>
      </c>
      <c r="CI297" s="83">
        <f t="shared" si="813"/>
        <v>-2562.4799999999987</v>
      </c>
      <c r="CJ297" s="83">
        <f t="shared" si="813"/>
        <v>-2562.4799999999987</v>
      </c>
      <c r="CK297" s="282">
        <f>CJ297</f>
        <v>-2562.4799999999987</v>
      </c>
      <c r="CL297" s="382"/>
      <c r="CM297" s="83">
        <f>CK297+CM296</f>
        <v>-2562.4799999999987</v>
      </c>
      <c r="CN297" s="83">
        <f t="shared" ref="CN297" si="814">CN296+CM297</f>
        <v>-2562.4799999999987</v>
      </c>
      <c r="CO297" s="83">
        <f t="shared" ref="CO297" si="815">CO296+CN297</f>
        <v>-2562.4799999999987</v>
      </c>
      <c r="CP297" s="83">
        <f t="shared" ref="CP297" si="816">CP296+CO297</f>
        <v>-2562.4799999999987</v>
      </c>
      <c r="CQ297" s="83">
        <f t="shared" ref="CQ297" si="817">CQ296+CP297</f>
        <v>-2562.4799999999987</v>
      </c>
      <c r="CR297" s="83">
        <f t="shared" ref="CR297" si="818">CR296+CQ297</f>
        <v>-2562.4799999999987</v>
      </c>
      <c r="CS297" s="83">
        <f t="shared" ref="CS297" si="819">CS296+CR297</f>
        <v>-2562.4799999999987</v>
      </c>
      <c r="CT297" s="83">
        <f t="shared" ref="CT297" si="820">CT296+CS297</f>
        <v>-2562.4799999999987</v>
      </c>
      <c r="CU297" s="83">
        <f t="shared" ref="CU297" si="821">CU296+CT297</f>
        <v>-2562.4799999999987</v>
      </c>
      <c r="CV297" s="83">
        <f t="shared" ref="CV297" si="822">CV296+CU297</f>
        <v>-2562.4799999999987</v>
      </c>
      <c r="CW297" s="83">
        <f t="shared" ref="CW297" si="823">CW296+CV297</f>
        <v>-2562.4799999999987</v>
      </c>
      <c r="CX297" s="83">
        <f t="shared" ref="CX297" si="824">CX296+CW297</f>
        <v>-2562.4799999999987</v>
      </c>
      <c r="CY297" s="282"/>
      <c r="DL297" s="282"/>
    </row>
    <row r="298" spans="2:116" ht="16.5">
      <c r="B298" s="327" t="s">
        <v>418</v>
      </c>
      <c r="C298" s="136"/>
      <c r="D298" s="136"/>
      <c r="E298" s="136"/>
      <c r="F298" s="136"/>
      <c r="G298" s="136"/>
      <c r="H298" s="136"/>
      <c r="I298" s="136"/>
      <c r="J298" s="136"/>
      <c r="K298" s="136"/>
      <c r="L298" s="136"/>
      <c r="M298" s="102"/>
      <c r="N298" s="102"/>
      <c r="O298" s="66"/>
      <c r="P298" s="75"/>
      <c r="Q298" s="75"/>
      <c r="R298" s="75"/>
      <c r="S298" s="75"/>
      <c r="T298" s="75"/>
      <c r="U298" s="75"/>
      <c r="V298" s="75"/>
      <c r="W298" s="75"/>
      <c r="X298" s="75"/>
      <c r="Y298" s="75"/>
      <c r="Z298" s="75"/>
      <c r="AA298" s="75"/>
      <c r="AB298" s="114"/>
      <c r="AC298" s="129"/>
      <c r="AD298" s="75"/>
      <c r="AE298" s="75"/>
      <c r="AF298" s="75"/>
      <c r="AG298" s="75"/>
      <c r="AH298" s="75"/>
      <c r="AI298" s="75"/>
      <c r="AJ298" s="75"/>
      <c r="AK298" s="83"/>
      <c r="AL298" s="75"/>
      <c r="AM298" s="75"/>
      <c r="AN298" s="75"/>
      <c r="AO298" s="75"/>
      <c r="AP298" s="75"/>
      <c r="AQ298" s="75"/>
      <c r="AR298" s="75"/>
      <c r="AS298" s="75"/>
      <c r="AT298" s="75"/>
      <c r="AU298" s="75"/>
      <c r="AV298" s="75"/>
      <c r="AW298" s="75"/>
      <c r="AX298" s="114"/>
      <c r="AY298" s="67"/>
      <c r="AZ298" s="69"/>
      <c r="BA298" s="69"/>
      <c r="BB298" s="69"/>
      <c r="BC298" s="69"/>
      <c r="BD298" s="69"/>
      <c r="BE298" s="69"/>
      <c r="BF298" s="69"/>
      <c r="BG298" s="69"/>
      <c r="BH298" s="69"/>
      <c r="BI298" s="69"/>
      <c r="BJ298" s="69"/>
      <c r="BK298" s="114"/>
      <c r="BL298" s="115"/>
      <c r="BM298" s="69"/>
      <c r="BN298" s="213"/>
      <c r="BO298" s="69"/>
      <c r="BP298" s="69"/>
      <c r="BQ298" s="69"/>
      <c r="BR298" s="69"/>
      <c r="BS298" s="69"/>
      <c r="BT298" s="69"/>
      <c r="BU298" s="69"/>
      <c r="BV298" s="69"/>
      <c r="BW298" s="69"/>
      <c r="BX298" s="114"/>
      <c r="BY298" s="422">
        <f>14608.77+BY243+BY244-SUM(BY249:BY258)+BY263+BY266+BY269+BY272+BY275+BY281+BY284+BY290+BY293+BY296</f>
        <v>14151.380000000001</v>
      </c>
      <c r="BZ298" s="329">
        <f>BY298+BZ243+BZ244-SUM(BZ249:BZ258)+BZ263+BZ266+BZ272+BZ275+BZ281+BZ284++BZ296</f>
        <v>7151.8499999999995</v>
      </c>
      <c r="CA298" s="329">
        <f t="shared" ref="CA298:CJ298" si="825">BZ298+CA243+CA244-SUM(CA249:CA258)+CA263+CA266+CA272+CA275+CA281+CA284++CA296</f>
        <v>-32297.374999999996</v>
      </c>
      <c r="CB298" s="329">
        <f>CA298+CB243+CB244-SUM(CB249:CB258)+CB263+CB266+CB272+CB275+CB281+CB284++CB296</f>
        <v>-168129.04299999998</v>
      </c>
      <c r="CC298" s="329">
        <f>CB298+CC243+CC244-SUM(CC249:CC258)+CC263+CC266+CC272+CC275+CC281+CC284++CC296</f>
        <v>-207568.86299999998</v>
      </c>
      <c r="CD298" s="329">
        <f t="shared" si="825"/>
        <v>-268087.12299999996</v>
      </c>
      <c r="CE298" s="331">
        <f>CD298+CE243+CE244-SUM(CE249:CE258)+CE263+CE266+CE272+CE275+CE281+CE284++CE296</f>
        <v>-283301.15966666664</v>
      </c>
      <c r="CF298" s="331">
        <f t="shared" si="825"/>
        <v>-281668.07633333327</v>
      </c>
      <c r="CG298" s="331">
        <f>CF298+CG243+CG244-SUM(CG249:CG258)+CG263+CG266+CG272+CG275+CG281+CG284++CG296</f>
        <v>-273101.95299999998</v>
      </c>
      <c r="CH298" s="331">
        <f t="shared" si="825"/>
        <v>-280148.51966666669</v>
      </c>
      <c r="CI298" s="331">
        <f t="shared" si="825"/>
        <v>-292120.06633333332</v>
      </c>
      <c r="CJ298" s="353">
        <f t="shared" si="825"/>
        <v>-308412.413</v>
      </c>
      <c r="CK298" s="130"/>
      <c r="CL298" s="83"/>
      <c r="CM298" s="332">
        <f>CJ298+CM243+CM244-SUM(CM249:CM258)+CM263+CM266+CM272+CM275+CM281+CM284++CM296</f>
        <v>-358412.75466666667</v>
      </c>
      <c r="CN298" s="331">
        <f t="shared" ref="CN298:CW298" si="826">CM298+CN243+CN244-SUM(CN249:CN258)+CN263+CN266+CN272+CN275+CN281+CN284++CN296</f>
        <v>-465154.73466666671</v>
      </c>
      <c r="CO298" s="331">
        <f t="shared" si="826"/>
        <v>-477193.8446666667</v>
      </c>
      <c r="CP298" s="331">
        <f t="shared" si="826"/>
        <v>-480730.47466666671</v>
      </c>
      <c r="CQ298" s="331">
        <f t="shared" si="826"/>
        <v>-484748.97466666671</v>
      </c>
      <c r="CR298" s="331">
        <f t="shared" si="826"/>
        <v>-495078.26466666674</v>
      </c>
      <c r="CS298" s="331">
        <f t="shared" si="826"/>
        <v>-497974.61466666678</v>
      </c>
      <c r="CT298" s="331">
        <f t="shared" si="826"/>
        <v>-500865.4546666668</v>
      </c>
      <c r="CU298" s="331">
        <f t="shared" si="826"/>
        <v>-512090.36466666684</v>
      </c>
      <c r="CV298" s="331">
        <f t="shared" si="826"/>
        <v>-514970.14466666686</v>
      </c>
      <c r="CW298" s="331">
        <f t="shared" si="826"/>
        <v>-517844.38466666691</v>
      </c>
      <c r="CX298" s="353">
        <f>CW298+CX243+CX244-SUM(CX249:CX258)+CX263+CX266+CX272+CX275+CX281+CX284++CX296</f>
        <v>-666501.32466666691</v>
      </c>
      <c r="CY298" s="130"/>
      <c r="DL298" s="130"/>
    </row>
    <row r="299" spans="2:116">
      <c r="C299" s="136"/>
      <c r="D299" s="136"/>
      <c r="E299" s="136"/>
      <c r="F299" s="136"/>
      <c r="G299" s="136"/>
      <c r="H299" s="136"/>
      <c r="I299" s="136"/>
      <c r="J299" s="136"/>
      <c r="K299" s="136"/>
      <c r="L299" s="136"/>
      <c r="M299" s="102"/>
      <c r="N299" s="102"/>
      <c r="O299" s="66"/>
      <c r="P299" s="75"/>
      <c r="Q299" s="75"/>
      <c r="R299" s="75"/>
      <c r="S299" s="75"/>
      <c r="T299" s="75"/>
      <c r="U299" s="75"/>
      <c r="V299" s="75"/>
      <c r="W299" s="75"/>
      <c r="X299" s="75"/>
      <c r="Y299" s="75"/>
      <c r="Z299" s="75"/>
      <c r="AA299" s="75"/>
      <c r="AB299" s="114"/>
      <c r="AC299" s="129"/>
      <c r="AD299" s="75"/>
      <c r="AE299" s="75"/>
      <c r="AF299" s="75"/>
      <c r="AG299" s="75"/>
      <c r="AH299" s="75"/>
      <c r="AI299" s="75"/>
      <c r="AJ299" s="75"/>
      <c r="AK299" s="83"/>
      <c r="AL299" s="75"/>
      <c r="AM299" s="75"/>
      <c r="AN299" s="75"/>
      <c r="AO299" s="75"/>
      <c r="AP299" s="75"/>
      <c r="AQ299" s="75"/>
      <c r="AR299" s="75"/>
      <c r="AS299" s="75"/>
      <c r="AT299" s="75"/>
      <c r="AU299" s="75"/>
      <c r="AV299" s="75"/>
      <c r="AW299" s="75"/>
      <c r="AX299" s="114"/>
      <c r="AY299" s="67"/>
      <c r="AZ299" s="69"/>
      <c r="BA299" s="69"/>
      <c r="BB299" s="69"/>
      <c r="BC299" s="69"/>
      <c r="BD299" s="69"/>
      <c r="BE299" s="69"/>
      <c r="BF299" s="69"/>
      <c r="BG299" s="69"/>
      <c r="BH299" s="69"/>
      <c r="BI299" s="69"/>
      <c r="BJ299" s="69"/>
      <c r="BK299" s="114"/>
      <c r="BL299" s="115"/>
      <c r="BM299" s="69"/>
      <c r="BN299" s="213"/>
      <c r="BO299" s="69"/>
      <c r="BP299" s="69"/>
      <c r="BQ299" s="69"/>
      <c r="BR299" s="69"/>
      <c r="BS299" s="69"/>
      <c r="BT299" s="69"/>
      <c r="BU299" s="69"/>
      <c r="BV299" s="69"/>
      <c r="BW299" s="69"/>
      <c r="BX299" s="100"/>
      <c r="BY299" s="69">
        <f>BY245-BY259+BY286+BY291+BY294+BY297</f>
        <v>14151.379999999972</v>
      </c>
      <c r="BZ299" s="69">
        <f>BZ245-BZ259+BZ286+BZ291+BZ294+BZ297</f>
        <v>7151.8499999999449</v>
      </c>
      <c r="CA299" s="69">
        <f>CA245-CA259+CA286+CA291+CA294+CA297</f>
        <v>-32297.375000000149</v>
      </c>
      <c r="CB299" s="69">
        <f>CB245-CB259+CB286+CB291+CB294+CB297</f>
        <v>-80129.043000000209</v>
      </c>
      <c r="CC299" s="69">
        <f t="shared" ref="CC299:CJ299" si="827">CC245-CC259+CC286+CC291+CC294+CC297</f>
        <v>-119854.823</v>
      </c>
      <c r="CD299" s="69">
        <f t="shared" si="827"/>
        <v>-180660.63300000006</v>
      </c>
      <c r="CE299" s="83">
        <f t="shared" si="827"/>
        <v>-196163.81966666659</v>
      </c>
      <c r="CF299" s="83">
        <f t="shared" si="827"/>
        <v>-194821.4863333331</v>
      </c>
      <c r="CG299" s="83">
        <f t="shared" si="827"/>
        <v>-186547.72299999991</v>
      </c>
      <c r="CH299" s="83">
        <f t="shared" si="827"/>
        <v>-193888.27966666655</v>
      </c>
      <c r="CI299" s="83">
        <f t="shared" si="827"/>
        <v>-206155.44633333306</v>
      </c>
      <c r="CJ299" s="83">
        <f t="shared" si="827"/>
        <v>-222745.05299999975</v>
      </c>
      <c r="CK299" s="100"/>
      <c r="CL299" s="130"/>
      <c r="CM299" s="83">
        <f t="shared" ref="CM299:CX299" si="828">CM245-CM259+CM286+CM291+CM294+CM297</f>
        <v>-272745.39466666628</v>
      </c>
      <c r="CN299" s="83">
        <f t="shared" si="828"/>
        <v>-379487.37466666603</v>
      </c>
      <c r="CO299" s="83">
        <f t="shared" si="828"/>
        <v>-391526.48466666613</v>
      </c>
      <c r="CP299" s="83">
        <f t="shared" si="828"/>
        <v>-395063.11466666602</v>
      </c>
      <c r="CQ299" s="83">
        <f t="shared" si="828"/>
        <v>-399081.61466666602</v>
      </c>
      <c r="CR299" s="83">
        <f t="shared" si="828"/>
        <v>-409410.90466666606</v>
      </c>
      <c r="CS299" s="83">
        <f t="shared" si="828"/>
        <v>-412307.25466666592</v>
      </c>
      <c r="CT299" s="83">
        <f t="shared" si="828"/>
        <v>-415198.094666666</v>
      </c>
      <c r="CU299" s="83">
        <f t="shared" si="828"/>
        <v>-426423.00466666569</v>
      </c>
      <c r="CV299" s="83">
        <f t="shared" si="828"/>
        <v>-429302.78466666595</v>
      </c>
      <c r="CW299" s="83">
        <f t="shared" si="828"/>
        <v>-432177.02466666617</v>
      </c>
      <c r="CX299" s="83">
        <f t="shared" si="828"/>
        <v>-580833.96466666588</v>
      </c>
      <c r="CY299" s="100"/>
      <c r="DL299" s="100"/>
    </row>
    <row r="300" spans="2:116">
      <c r="C300" s="136"/>
      <c r="D300" s="136"/>
      <c r="E300" s="136"/>
      <c r="F300" s="136"/>
      <c r="G300" s="136"/>
      <c r="H300" s="136"/>
      <c r="I300" s="136"/>
      <c r="J300" s="136"/>
      <c r="K300" s="136"/>
      <c r="L300" s="136"/>
      <c r="M300" s="102"/>
      <c r="N300" s="102"/>
      <c r="O300" s="66"/>
      <c r="P300" s="75"/>
      <c r="Q300" s="75"/>
      <c r="R300" s="75"/>
      <c r="S300" s="75"/>
      <c r="T300" s="75"/>
      <c r="U300" s="75"/>
      <c r="V300" s="75"/>
      <c r="W300" s="75"/>
      <c r="X300" s="75"/>
      <c r="Y300" s="75"/>
      <c r="Z300" s="75"/>
      <c r="AA300" s="75"/>
      <c r="AB300" s="114"/>
      <c r="AC300" s="129"/>
      <c r="AD300" s="75"/>
      <c r="AE300" s="75"/>
      <c r="AF300" s="75"/>
      <c r="AG300" s="75"/>
      <c r="AH300" s="75"/>
      <c r="AI300" s="75"/>
      <c r="AJ300" s="75"/>
      <c r="AK300" s="83"/>
      <c r="AL300" s="75"/>
      <c r="AM300" s="75"/>
      <c r="AN300" s="75"/>
      <c r="AO300" s="75"/>
      <c r="AP300" s="75"/>
      <c r="AQ300" s="75"/>
      <c r="AR300" s="75"/>
      <c r="AS300" s="75"/>
      <c r="AT300" s="75"/>
      <c r="AU300" s="75"/>
      <c r="AV300" s="75"/>
      <c r="AW300" s="75"/>
      <c r="AX300" s="114"/>
      <c r="AY300" s="67"/>
      <c r="AZ300" s="69"/>
      <c r="BA300" s="69"/>
      <c r="BB300" s="69"/>
      <c r="BC300" s="69"/>
      <c r="BD300" s="69"/>
      <c r="BE300" s="69"/>
      <c r="BF300" s="69"/>
      <c r="BG300" s="69"/>
      <c r="BH300" s="69"/>
      <c r="BI300" s="69"/>
      <c r="BJ300" s="69"/>
      <c r="BK300" s="114"/>
      <c r="BL300" s="115"/>
      <c r="BM300" s="69"/>
      <c r="BN300" s="213"/>
      <c r="BO300" s="69"/>
      <c r="BP300" s="69"/>
      <c r="BQ300" s="69"/>
      <c r="BR300" s="69"/>
      <c r="BS300" s="69"/>
      <c r="BT300" s="69"/>
      <c r="BU300" s="69"/>
      <c r="BV300" s="69"/>
      <c r="BW300" s="69"/>
      <c r="BX300" s="100"/>
      <c r="BY300" s="69"/>
      <c r="BZ300" s="69"/>
      <c r="CA300" s="69"/>
      <c r="CB300" s="69"/>
      <c r="CC300" s="69"/>
      <c r="CD300" s="69"/>
      <c r="CE300" s="83"/>
      <c r="CF300" s="83"/>
      <c r="CG300" s="83"/>
      <c r="CH300" s="83"/>
      <c r="CI300" s="83"/>
      <c r="CJ300" s="83"/>
      <c r="CK300" s="100"/>
      <c r="CL300" s="130"/>
      <c r="CM300" s="83"/>
      <c r="CN300" s="83"/>
      <c r="CO300" s="83"/>
      <c r="CP300" s="83"/>
      <c r="CQ300" s="83"/>
      <c r="CR300" s="83"/>
      <c r="CS300" s="83"/>
      <c r="CT300" s="83"/>
      <c r="CU300" s="83"/>
      <c r="CV300" s="83"/>
      <c r="CW300" s="83"/>
      <c r="CX300" s="83"/>
      <c r="CY300" s="100"/>
      <c r="DL300" s="100"/>
    </row>
    <row r="301" spans="2:116">
      <c r="C301" s="136"/>
      <c r="D301" s="136"/>
      <c r="E301" s="136"/>
      <c r="F301" s="136"/>
      <c r="G301" s="136"/>
      <c r="H301" s="136"/>
      <c r="I301" s="136"/>
      <c r="J301" s="136"/>
      <c r="K301" s="136"/>
      <c r="L301" s="136"/>
      <c r="M301" s="102"/>
      <c r="N301" s="102"/>
      <c r="O301" s="66"/>
      <c r="P301" s="75"/>
      <c r="Q301" s="75"/>
      <c r="R301" s="75"/>
      <c r="S301" s="75"/>
      <c r="T301" s="75"/>
      <c r="U301" s="75"/>
      <c r="V301" s="75"/>
      <c r="W301" s="75"/>
      <c r="X301" s="75"/>
      <c r="Y301" s="75"/>
      <c r="Z301" s="75"/>
      <c r="AA301" s="75"/>
      <c r="AB301" s="114"/>
      <c r="AC301" s="129"/>
      <c r="AD301" s="75"/>
      <c r="AE301" s="75"/>
      <c r="AF301" s="75"/>
      <c r="AG301" s="75"/>
      <c r="AH301" s="75"/>
      <c r="AI301" s="75"/>
      <c r="AJ301" s="75"/>
      <c r="AK301" s="83"/>
      <c r="AL301" s="75"/>
      <c r="AM301" s="75"/>
      <c r="AN301" s="75"/>
      <c r="AO301" s="75"/>
      <c r="AP301" s="75"/>
      <c r="AQ301" s="75"/>
      <c r="AR301" s="75"/>
      <c r="AS301" s="75"/>
      <c r="AT301" s="75"/>
      <c r="AU301" s="75"/>
      <c r="AV301" s="75"/>
      <c r="AW301" s="75"/>
      <c r="AX301" s="114"/>
      <c r="AY301" s="67"/>
      <c r="AZ301" s="69"/>
      <c r="BA301" s="69"/>
      <c r="BB301" s="69"/>
      <c r="BC301" s="69"/>
      <c r="BD301" s="69"/>
      <c r="BE301" s="69"/>
      <c r="BF301" s="69"/>
      <c r="BG301" s="69"/>
      <c r="BH301" s="69"/>
      <c r="BI301" s="69"/>
      <c r="BJ301" s="69"/>
      <c r="BK301" s="114"/>
      <c r="BL301" s="115"/>
      <c r="BM301" s="69"/>
      <c r="BN301" s="213"/>
      <c r="BO301" s="69"/>
      <c r="BP301" s="69"/>
      <c r="BQ301" s="69"/>
      <c r="BR301" s="69"/>
      <c r="BS301" s="69"/>
      <c r="BT301" s="69"/>
      <c r="BU301" s="69"/>
      <c r="BV301" s="69"/>
      <c r="BW301" s="69"/>
      <c r="BX301" s="100"/>
      <c r="BY301" s="69">
        <f t="shared" ref="BY301:CJ301" si="829">BY299+BY193</f>
        <v>78307.279658542422</v>
      </c>
      <c r="BZ301" s="69">
        <f t="shared" si="829"/>
        <v>173524.56235408227</v>
      </c>
      <c r="CA301" s="69">
        <f t="shared" si="829"/>
        <v>145879.17967003377</v>
      </c>
      <c r="CB301" s="69">
        <f t="shared" si="829"/>
        <v>247455.72462003355</v>
      </c>
      <c r="CC301" s="69">
        <f t="shared" si="829"/>
        <v>240150.56254199686</v>
      </c>
      <c r="CD301" s="69">
        <f t="shared" si="829"/>
        <v>171901.89108206055</v>
      </c>
      <c r="CE301" s="83">
        <f t="shared" si="829"/>
        <v>154411.42116209914</v>
      </c>
      <c r="CF301" s="83">
        <f t="shared" si="829"/>
        <v>59942.103013981134</v>
      </c>
      <c r="CG301" s="83">
        <f t="shared" si="829"/>
        <v>81296.903959719028</v>
      </c>
      <c r="CH301" s="83">
        <f t="shared" si="829"/>
        <v>54241.107675885549</v>
      </c>
      <c r="CI301" s="83">
        <f t="shared" si="829"/>
        <v>66304.640044415399</v>
      </c>
      <c r="CJ301" s="83">
        <f t="shared" si="829"/>
        <v>43462.626099771151</v>
      </c>
      <c r="CK301" s="100"/>
      <c r="CL301" s="130"/>
      <c r="CM301" s="83">
        <f t="shared" ref="CM301:CX301" si="830">CM299+CM193</f>
        <v>-42813.621855685691</v>
      </c>
      <c r="CN301" s="83">
        <f t="shared" si="830"/>
        <v>-270599.86814715446</v>
      </c>
      <c r="CO301" s="83">
        <f t="shared" si="830"/>
        <v>-246343.96329051995</v>
      </c>
      <c r="CP301" s="83">
        <f t="shared" si="830"/>
        <v>-253578.58199146198</v>
      </c>
      <c r="CQ301" s="83">
        <f t="shared" si="830"/>
        <v>-186411.22281123925</v>
      </c>
      <c r="CR301" s="83">
        <f t="shared" si="830"/>
        <v>-173908.18616578818</v>
      </c>
      <c r="CS301" s="83">
        <f t="shared" si="830"/>
        <v>-154120.39832482368</v>
      </c>
      <c r="CT301" s="83">
        <f t="shared" si="830"/>
        <v>-279610.59874426707</v>
      </c>
      <c r="CU301" s="83">
        <f t="shared" si="830"/>
        <v>-323390.48006533331</v>
      </c>
      <c r="CV301" s="83">
        <f t="shared" si="830"/>
        <v>-343447.94811361271</v>
      </c>
      <c r="CW301" s="83">
        <f t="shared" si="830"/>
        <v>-341202.78856481367</v>
      </c>
      <c r="CX301" s="83">
        <f t="shared" si="830"/>
        <v>-491688.12694383331</v>
      </c>
      <c r="CY301" s="100"/>
      <c r="DL301" s="100"/>
    </row>
    <row r="302" spans="2:116" s="58" customFormat="1" ht="16.5">
      <c r="B302" s="327" t="s">
        <v>233</v>
      </c>
      <c r="C302" s="170">
        <f t="shared" ref="C302:N302" si="831">SUM(C133:C301)-C134</f>
        <v>15824.42</v>
      </c>
      <c r="D302" s="170">
        <f t="shared" si="831"/>
        <v>8686.43</v>
      </c>
      <c r="E302" s="170">
        <f t="shared" si="831"/>
        <v>16785</v>
      </c>
      <c r="F302" s="170">
        <f t="shared" si="831"/>
        <v>22049.7</v>
      </c>
      <c r="G302" s="170">
        <f t="shared" si="831"/>
        <v>25531.850000000002</v>
      </c>
      <c r="H302" s="170">
        <f t="shared" si="831"/>
        <v>28384.000000000004</v>
      </c>
      <c r="I302" s="170">
        <f t="shared" si="831"/>
        <v>30711.15</v>
      </c>
      <c r="J302" s="170">
        <f t="shared" si="831"/>
        <v>36853.300000000003</v>
      </c>
      <c r="K302" s="170">
        <f t="shared" si="831"/>
        <v>35995.450000000004</v>
      </c>
      <c r="L302" s="170">
        <f t="shared" si="831"/>
        <v>35137.600000000006</v>
      </c>
      <c r="M302" s="167">
        <f t="shared" si="831"/>
        <v>18161.530000000006</v>
      </c>
      <c r="N302" s="167">
        <f t="shared" si="831"/>
        <v>5053.1800000000057</v>
      </c>
      <c r="O302" s="166"/>
      <c r="P302" s="358">
        <f t="shared" ref="P302:U302" si="832">SUM(P133:P301)-P134</f>
        <v>54339.080000000009</v>
      </c>
      <c r="Q302" s="359">
        <f t="shared" si="832"/>
        <v>69759.900000000023</v>
      </c>
      <c r="R302" s="359">
        <f t="shared" si="832"/>
        <v>63654.830000000024</v>
      </c>
      <c r="S302" s="359">
        <f t="shared" si="832"/>
        <v>64157.290000000015</v>
      </c>
      <c r="T302" s="359">
        <f t="shared" si="832"/>
        <v>64765.440000000017</v>
      </c>
      <c r="U302" s="359">
        <f t="shared" si="832"/>
        <v>58715.510000000017</v>
      </c>
      <c r="V302" s="359">
        <f t="shared" ref="V302:AA302" si="833">V133+V148+V160+V163</f>
        <v>86660.010000000024</v>
      </c>
      <c r="W302" s="359">
        <f t="shared" si="833"/>
        <v>94300.420000000013</v>
      </c>
      <c r="X302" s="359">
        <f t="shared" si="833"/>
        <v>104082.03930000002</v>
      </c>
      <c r="Y302" s="359">
        <f t="shared" si="833"/>
        <v>114594.36859999999</v>
      </c>
      <c r="Z302" s="359">
        <f t="shared" si="833"/>
        <v>106893.26789999998</v>
      </c>
      <c r="AA302" s="360">
        <f t="shared" si="833"/>
        <v>91496.357199678809</v>
      </c>
      <c r="AB302" s="361"/>
      <c r="AC302" s="358">
        <f t="shared" ref="AC302:AJ302" si="834">AC133+AC148+AC160+AC163</f>
        <v>105766.46316634546</v>
      </c>
      <c r="AD302" s="359">
        <f t="shared" si="834"/>
        <v>117096.44913301215</v>
      </c>
      <c r="AE302" s="359">
        <f t="shared" si="834"/>
        <v>137871.12509967881</v>
      </c>
      <c r="AF302" s="359">
        <f t="shared" si="834"/>
        <v>230572.40425450413</v>
      </c>
      <c r="AG302" s="359">
        <f t="shared" si="834"/>
        <v>284638.51157577307</v>
      </c>
      <c r="AH302" s="359">
        <f t="shared" si="834"/>
        <v>308224.7414045019</v>
      </c>
      <c r="AI302" s="359">
        <f t="shared" si="834"/>
        <v>315289.81680676073</v>
      </c>
      <c r="AJ302" s="360">
        <f t="shared" si="834"/>
        <v>279294.72850676073</v>
      </c>
      <c r="AK302" s="361"/>
      <c r="AL302" s="358">
        <f>AL133+SUM(AL137:AL138)+AL148+AL160+AL163+AL169</f>
        <v>179112.10687195614</v>
      </c>
      <c r="AM302" s="359">
        <f>AM133+SUM(AM137:AM138)+AM148+AM160+AM163+AM169</f>
        <v>292508.26998291275</v>
      </c>
      <c r="AN302" s="359">
        <f>AN133+SUM(AN137:AN138)+AN148+AN160+AN163+AN169</f>
        <v>257569.59928291279</v>
      </c>
      <c r="AO302" s="359">
        <f>AO133+SUM(AO137:AO138)+AO148+AO160+AO163+AO169</f>
        <v>371820.50922529621</v>
      </c>
      <c r="AP302" s="359">
        <f>AP133+SUM(AP137:AP138)+AP148+AP160+AP163+AP169</f>
        <v>442971.96275248087</v>
      </c>
      <c r="AQ302" s="359">
        <f>AQ133+SUM(AQ137:AQ138)+AQ148+AQ160+AQ163+AQ166+AQ169</f>
        <v>416227.54100357438</v>
      </c>
      <c r="AR302" s="359">
        <f>AR133+SUM(AR137:AR138)+AR148+AR160+AR163+AR166+AR169</f>
        <v>501178.1852150755</v>
      </c>
      <c r="AS302" s="359">
        <f>AS133+SUM(AS137:AS138)+AS148+AS160+AS163+AS166+AS169</f>
        <v>480267.35558672552</v>
      </c>
      <c r="AT302" s="359">
        <f>AT133+SUM(AT137:AT138)+AT148+AT160+AT163+AT166+AT169</f>
        <v>509171.74702305393</v>
      </c>
      <c r="AU302" s="359">
        <f>AU133+SUM(AU137:AU138)+AU148+AU160+AU163+AU166+AU169</f>
        <v>450678.31250014715</v>
      </c>
      <c r="AV302" s="359">
        <f>AV133-SUM(AV137:AV138)+AV145+AV148+AV160+AV163+AV166+AV169</f>
        <v>197419.34556319224</v>
      </c>
      <c r="AW302" s="360">
        <f>AW133-AW140+AW145+AW148+AW160+AW163+AW166+AW169</f>
        <v>143880.81404540967</v>
      </c>
      <c r="AX302" s="357">
        <f>AW302</f>
        <v>143880.81404540967</v>
      </c>
      <c r="AY302" s="354">
        <f>AY133-AY140+AY145+AY148+AY160+AY163+AY166+AY169</f>
        <v>323881.70376585971</v>
      </c>
      <c r="AZ302" s="355">
        <f>AZ133-AZ140+AZ145+AZ148+AZ160+AZ163+AZ166+AZ169</f>
        <v>379159.30062850809</v>
      </c>
      <c r="BA302" s="355">
        <f>BA133-BA140+BA145+BA148+BA160+BA163+BA166+BA169</f>
        <v>393313.14156164241</v>
      </c>
      <c r="BB302" s="355">
        <f t="shared" ref="BB302:BG302" si="835">BB133-BB140+BB145+BB148+BB160+BB163+BB166+BB169+BB172+BB175</f>
        <v>1044898.2135244901</v>
      </c>
      <c r="BC302" s="355">
        <f t="shared" si="835"/>
        <v>964826.57285710669</v>
      </c>
      <c r="BD302" s="355">
        <f t="shared" si="835"/>
        <v>942868.70228049508</v>
      </c>
      <c r="BE302" s="355">
        <f t="shared" si="835"/>
        <v>958563.20233089721</v>
      </c>
      <c r="BF302" s="355">
        <f t="shared" si="835"/>
        <v>905136.59174801572</v>
      </c>
      <c r="BG302" s="355">
        <f t="shared" si="835"/>
        <v>1449862.7243223588</v>
      </c>
      <c r="BH302" s="355">
        <f>BH133-BH140+BH145+BH148+BH160+BH163+BH166+BH169+BH172+BH175+BH178</f>
        <v>1770894.1296742868</v>
      </c>
      <c r="BI302" s="355">
        <f>BI133-BI140+BI145+BI148+BI160+BI163+BI166+BI169+BI172+BI175+BI178+BI181+BI187</f>
        <v>1752653.1753066403</v>
      </c>
      <c r="BJ302" s="356">
        <f>BJ133-BJ140+BJ145+BJ148+BJ160+BJ163+BJ166+BJ169+BJ172+BJ175+BJ178+BJ181+BJ187</f>
        <v>1465375.4319843866</v>
      </c>
      <c r="BK302" s="357">
        <f>BJ302</f>
        <v>1465375.4319843866</v>
      </c>
      <c r="BL302" s="354">
        <f>BL133-BL140+BL145+BL148+BL160+BL163+BL166+BL169+BL172+BL175+BL178+BL181+BL187</f>
        <v>1428814.4760343542</v>
      </c>
      <c r="BM302" s="355">
        <f>BM133-BM140+BM145+BM148+BM160+BM163+BM166+BM169+BM172+BM175+BM178+BM181+BM187-20000-20000</f>
        <v>1257513.3032340263</v>
      </c>
      <c r="BN302" s="355">
        <f>BN133-BN140+BN145+BN148+BN151+BN160+BN163+BN166+BN169+BN172+BN175+BN178+BN181+BN187+BN184+BN190</f>
        <v>553464.85485566233</v>
      </c>
      <c r="BO302" s="355">
        <f>BO133-BO140+BO145+BO148+BO151+BO160+BO163+BO166+BO169+BO172+BO175+BO178+BO181+BO187+BO184+BO190-100000</f>
        <v>432040.95861734368</v>
      </c>
      <c r="BP302" s="355">
        <f>BP133-BP140+BP145+BP148+BP151+BP160+BP163+BP166+BP169+BP172+BP175+BP178+BP181+BP184+BP187+BP190-20000-20000</f>
        <v>389570.24927564978</v>
      </c>
      <c r="BQ302" s="355">
        <f t="shared" ref="BQ302:BX302" si="836">BQ133-BQ140+BQ145+BQ148+BQ151+BQ160+BQ163+BQ166+BQ169+BQ172+BQ175+BQ178+BQ181+BQ184+BQ187+BQ190</f>
        <v>416336.36289016379</v>
      </c>
      <c r="BR302" s="355">
        <f t="shared" si="836"/>
        <v>174542.05688168172</v>
      </c>
      <c r="BS302" s="355">
        <f t="shared" si="836"/>
        <v>206021.65068276267</v>
      </c>
      <c r="BT302" s="355">
        <f t="shared" si="836"/>
        <v>112326.05585776291</v>
      </c>
      <c r="BU302" s="355">
        <f t="shared" si="836"/>
        <v>87512.567255520349</v>
      </c>
      <c r="BV302" s="355">
        <f t="shared" si="836"/>
        <v>31090.766123696798</v>
      </c>
      <c r="BW302" s="356">
        <f t="shared" si="836"/>
        <v>65108.200946696663</v>
      </c>
      <c r="BX302" s="354">
        <f t="shared" si="836"/>
        <v>65108.200946695732</v>
      </c>
      <c r="BY302" s="354">
        <f t="shared" ref="BY302:CJ302" si="837">BY133-BY140+BY145+BY148+BY151+BY154+BY157+BY160+BY163+BY166+BY169+BY172+BY175+BY178+BY181+BY184+BY187+BY190+BY245-BY259+BY286+BY291+BY294+BY297</f>
        <v>78307.279658542335</v>
      </c>
      <c r="BZ302" s="355">
        <f t="shared" si="837"/>
        <v>173524.5623540821</v>
      </c>
      <c r="CA302" s="355">
        <f t="shared" si="837"/>
        <v>145879.17967003383</v>
      </c>
      <c r="CB302" s="355">
        <f t="shared" si="837"/>
        <v>247455.72462003372</v>
      </c>
      <c r="CC302" s="355">
        <f t="shared" si="837"/>
        <v>240150.5625419968</v>
      </c>
      <c r="CD302" s="355">
        <f>CD133-CD140+CD145+CD148+CD151+CD154+CD157+CD160+CD163+CD166+CD169+CD172+CD175+CD178+CD181+CD184+CD187+CD190+CD245-CD259+CD286+CD291+CD294+CD297</f>
        <v>171901.89108206084</v>
      </c>
      <c r="CE302" s="355">
        <f t="shared" si="837"/>
        <v>154411.4211620992</v>
      </c>
      <c r="CF302" s="355">
        <f t="shared" si="837"/>
        <v>59942.103013980988</v>
      </c>
      <c r="CG302" s="355">
        <f t="shared" si="837"/>
        <v>81296.903959719086</v>
      </c>
      <c r="CH302" s="355">
        <f t="shared" si="837"/>
        <v>54241.107675885636</v>
      </c>
      <c r="CI302" s="355">
        <f t="shared" si="837"/>
        <v>66304.640044415457</v>
      </c>
      <c r="CJ302" s="356">
        <f t="shared" si="837"/>
        <v>43462.626099771209</v>
      </c>
      <c r="CK302" s="356"/>
      <c r="CL302" s="355"/>
      <c r="CM302" s="354">
        <f t="shared" ref="CM302:CX302" si="838">CM133-CM140+CM145+CM148+CM151+CM154+CM157+CM160+CM163+CM166+CM169+CM172+CM175+CM178+CM181+CM184+CM187+CM190+CM245-CM259+CM286+CM291+CM294+CM297</f>
        <v>-42813.621855685633</v>
      </c>
      <c r="CN302" s="355">
        <f t="shared" si="838"/>
        <v>-270599.86814715469</v>
      </c>
      <c r="CO302" s="355">
        <f t="shared" si="838"/>
        <v>-246343.96329052016</v>
      </c>
      <c r="CP302" s="355">
        <f t="shared" si="838"/>
        <v>-253578.58199146195</v>
      </c>
      <c r="CQ302" s="355">
        <f t="shared" si="838"/>
        <v>-186411.22281123922</v>
      </c>
      <c r="CR302" s="355">
        <f t="shared" si="838"/>
        <v>-173908.18616578836</v>
      </c>
      <c r="CS302" s="355">
        <f t="shared" si="838"/>
        <v>-154120.39832482385</v>
      </c>
      <c r="CT302" s="355">
        <f t="shared" si="838"/>
        <v>-279610.59874426725</v>
      </c>
      <c r="CU302" s="355">
        <f t="shared" si="838"/>
        <v>-323390.48006533354</v>
      </c>
      <c r="CV302" s="355">
        <f t="shared" si="838"/>
        <v>-343447.94811361248</v>
      </c>
      <c r="CW302" s="355">
        <f t="shared" si="838"/>
        <v>-341202.78856481344</v>
      </c>
      <c r="CX302" s="356">
        <f t="shared" si="838"/>
        <v>-491688.12694383308</v>
      </c>
      <c r="CY302" s="355"/>
      <c r="DL302" s="355"/>
    </row>
    <row r="303" spans="2:116" s="2" customFormat="1">
      <c r="B303" s="1" t="s">
        <v>234</v>
      </c>
      <c r="C303" s="270"/>
      <c r="D303" s="270"/>
      <c r="E303" s="270"/>
      <c r="F303" s="270"/>
      <c r="G303" s="270"/>
      <c r="H303" s="270"/>
      <c r="I303" s="270"/>
      <c r="J303" s="270"/>
      <c r="K303" s="270"/>
      <c r="L303" s="270"/>
      <c r="M303" s="73"/>
      <c r="N303" s="73"/>
      <c r="O303" s="271"/>
      <c r="P303" s="73"/>
      <c r="Q303" s="73"/>
      <c r="R303" s="73"/>
      <c r="S303" s="73"/>
      <c r="T303" s="73"/>
      <c r="U303" s="73"/>
      <c r="V303" s="73"/>
      <c r="W303" s="73"/>
      <c r="X303" s="73"/>
      <c r="Y303" s="73"/>
      <c r="Z303" s="73"/>
      <c r="AA303" s="73"/>
      <c r="AB303" s="338"/>
      <c r="AC303" s="150"/>
      <c r="AD303" s="73"/>
      <c r="AE303" s="73"/>
      <c r="AF303" s="73"/>
      <c r="AG303" s="73"/>
      <c r="AH303" s="73"/>
      <c r="AI303" s="73"/>
      <c r="AJ303" s="73"/>
      <c r="AK303" s="272"/>
      <c r="AL303" s="73"/>
      <c r="AM303" s="73"/>
      <c r="AN303" s="73"/>
      <c r="AO303" s="73"/>
      <c r="AP303" s="73"/>
      <c r="AQ303" s="73"/>
      <c r="AR303" s="73"/>
      <c r="AS303" s="73"/>
      <c r="AT303" s="73"/>
      <c r="AU303" s="73"/>
      <c r="AV303" s="75">
        <f>981.9</f>
        <v>981.9</v>
      </c>
      <c r="AW303" s="75">
        <v>233.2</v>
      </c>
      <c r="AX303" s="273"/>
      <c r="AY303" s="115">
        <v>233.87</v>
      </c>
      <c r="AZ303" s="69">
        <v>2793.87</v>
      </c>
      <c r="BA303" s="69">
        <v>660.7</v>
      </c>
      <c r="BB303" s="69">
        <v>661.37</v>
      </c>
      <c r="BC303" s="69">
        <v>662.04</v>
      </c>
      <c r="BD303" s="69">
        <v>381.41</v>
      </c>
      <c r="BE303" s="72">
        <v>223576.27</v>
      </c>
      <c r="BF303" s="69">
        <v>115336.75</v>
      </c>
      <c r="BG303" s="69">
        <v>76458.34</v>
      </c>
      <c r="BH303" s="72">
        <v>77582.63</v>
      </c>
      <c r="BI303" s="69">
        <v>120521.55</v>
      </c>
      <c r="BJ303" s="69">
        <v>50660.9</v>
      </c>
      <c r="BK303" s="273"/>
      <c r="BL303" s="69">
        <v>49244.05</v>
      </c>
      <c r="BM303" s="69">
        <v>67828.289999999994</v>
      </c>
      <c r="BN303" s="213">
        <v>26411.99</v>
      </c>
      <c r="BO303" s="213">
        <v>7555.2</v>
      </c>
      <c r="BP303" s="213">
        <v>6560.57</v>
      </c>
      <c r="BQ303" s="213">
        <v>4775.55</v>
      </c>
      <c r="BR303" s="213">
        <f>573.77</f>
        <v>573.77</v>
      </c>
      <c r="BS303" s="72">
        <f>3645.25-74000</f>
        <v>-70354.75</v>
      </c>
      <c r="BT303" s="72">
        <f>1007.9-74000</f>
        <v>-72992.100000000006</v>
      </c>
      <c r="BU303" s="72">
        <f>31728.48-74000</f>
        <v>-42271.520000000004</v>
      </c>
      <c r="BV303" s="72">
        <f>11032.96-74366.57</f>
        <v>-63333.610000000008</v>
      </c>
      <c r="BW303" s="72">
        <f>10733.58-74366.57</f>
        <v>-63632.990000000005</v>
      </c>
      <c r="BX303" s="100"/>
      <c r="BY303" s="72">
        <f>12278.8-73366.57</f>
        <v>-61087.770000000004</v>
      </c>
      <c r="BZ303" s="72">
        <f>8697.36-74974.3</f>
        <v>-66276.94</v>
      </c>
      <c r="CA303" s="72">
        <f>8683.25-74974.3</f>
        <v>-66291.05</v>
      </c>
      <c r="CB303" s="72">
        <f>14578.87-72474.3</f>
        <v>-57895.43</v>
      </c>
      <c r="CC303" s="69">
        <f>10950.74-74136.86</f>
        <v>-63186.12</v>
      </c>
      <c r="CD303" s="69">
        <f>10469.53-74136.86</f>
        <v>-63667.33</v>
      </c>
      <c r="CE303" s="83">
        <f>13023.06-74136.86</f>
        <v>-61113.8</v>
      </c>
      <c r="CK303" s="273"/>
      <c r="CL303" s="383"/>
      <c r="CM303" s="109"/>
      <c r="CY303" s="273"/>
      <c r="DL303" s="273"/>
    </row>
    <row r="304" spans="2:116">
      <c r="B304" s="1" t="s">
        <v>235</v>
      </c>
      <c r="C304" s="136"/>
      <c r="D304" s="136"/>
      <c r="E304" s="136"/>
      <c r="F304" s="136"/>
      <c r="G304" s="136"/>
      <c r="H304" s="136"/>
      <c r="I304" s="136"/>
      <c r="J304" s="136"/>
      <c r="K304" s="136"/>
      <c r="L304" s="136"/>
      <c r="M304" s="102"/>
      <c r="N304" s="102"/>
      <c r="O304" s="99"/>
      <c r="P304" s="129">
        <v>54339.080000000009</v>
      </c>
      <c r="Q304" s="75">
        <v>69759.900000000023</v>
      </c>
      <c r="R304" s="75">
        <v>63654.830000000024</v>
      </c>
      <c r="S304" s="75">
        <v>64157.290000000015</v>
      </c>
      <c r="T304" s="75">
        <v>64765.440000000017</v>
      </c>
      <c r="U304" s="75">
        <v>58715.510000000017</v>
      </c>
      <c r="V304" s="75">
        <v>86660.010000000024</v>
      </c>
      <c r="W304" s="75">
        <v>94300.420000000013</v>
      </c>
      <c r="X304" s="75">
        <v>104082.03930000002</v>
      </c>
      <c r="Y304" s="75">
        <v>114594.3686</v>
      </c>
      <c r="Z304" s="75">
        <v>106893.26789999998</v>
      </c>
      <c r="AA304" s="75">
        <v>91496.36</v>
      </c>
      <c r="AB304" s="339"/>
      <c r="AC304" s="129">
        <v>105766.46</v>
      </c>
      <c r="AD304" s="75">
        <v>117096.45</v>
      </c>
      <c r="AE304" s="75">
        <v>137871.13</v>
      </c>
      <c r="AF304" s="75">
        <v>150725.23000000001</v>
      </c>
      <c r="AG304" s="75">
        <v>177303.01</v>
      </c>
      <c r="AH304" s="75">
        <v>165718.69</v>
      </c>
      <c r="AI304" s="75">
        <v>169355.93</v>
      </c>
      <c r="AJ304" s="75">
        <v>133360.84</v>
      </c>
      <c r="AK304" s="137"/>
      <c r="AL304" s="75">
        <v>31823.06</v>
      </c>
      <c r="AM304" s="75">
        <f>94351.96+31500</f>
        <v>125851.96</v>
      </c>
      <c r="AN304" s="75">
        <f>19625.95+71287.34</f>
        <v>90913.29</v>
      </c>
      <c r="AO304" s="75">
        <f>133876.86+71287.34</f>
        <v>205164.19999999998</v>
      </c>
      <c r="AP304" s="75">
        <f>215736.23+10616.3</f>
        <v>226352.53</v>
      </c>
      <c r="AQ304" s="75">
        <f>78541.02+10616.3</f>
        <v>89157.32</v>
      </c>
      <c r="AR304" s="75">
        <f>146760.32+27590.02</f>
        <v>174350.34</v>
      </c>
      <c r="AS304" s="75">
        <f>113450.13+27575.17</f>
        <v>141025.29999999999</v>
      </c>
      <c r="AT304" s="75">
        <f>55401.11+27575.17</f>
        <v>82976.28</v>
      </c>
      <c r="AU304" s="75">
        <f>43602.77+2529.49</f>
        <v>46132.259999999995</v>
      </c>
      <c r="AV304" s="75">
        <f>66382.01+21291.02</f>
        <v>87673.03</v>
      </c>
      <c r="AW304" s="75">
        <f>12860.06+19291.02</f>
        <v>32151.08</v>
      </c>
      <c r="AX304" s="100"/>
      <c r="AY304" s="115">
        <f>17266.83+228.34</f>
        <v>17495.170000000002</v>
      </c>
      <c r="AZ304" s="69">
        <f>43539.26+203.46</f>
        <v>43742.720000000001</v>
      </c>
      <c r="BA304" s="69">
        <f>57187.28+203.46</f>
        <v>57390.74</v>
      </c>
      <c r="BB304" s="72">
        <f>95717.26+203.46</f>
        <v>95920.72</v>
      </c>
      <c r="BC304" s="72">
        <f>9712.39+203.46</f>
        <v>9915.8499999999985</v>
      </c>
      <c r="BD304" s="72">
        <f>25151.03+203.46</f>
        <v>25354.489999999998</v>
      </c>
      <c r="BE304" s="72">
        <f>67739.78+203.46</f>
        <v>67943.240000000005</v>
      </c>
      <c r="BF304" s="72">
        <f>88429.1+203.46</f>
        <v>88632.560000000012</v>
      </c>
      <c r="BG304" s="72">
        <f>11956.21+203.46</f>
        <v>12159.669999999998</v>
      </c>
      <c r="BH304" s="72">
        <f>61403.03</f>
        <v>61403.03</v>
      </c>
      <c r="BI304" s="72">
        <v>75513.5</v>
      </c>
      <c r="BJ304" s="72">
        <v>46726.23</v>
      </c>
      <c r="BK304" s="100"/>
      <c r="BL304" s="72">
        <v>111414.83</v>
      </c>
      <c r="BM304" s="72">
        <v>38280.370000000003</v>
      </c>
      <c r="BN304" s="243">
        <v>58373.81</v>
      </c>
      <c r="BO304" s="72">
        <v>25084.82</v>
      </c>
      <c r="BP304" s="72">
        <v>17519.7</v>
      </c>
      <c r="BQ304" s="72">
        <v>50012.27</v>
      </c>
      <c r="BR304" s="72">
        <v>26065.56</v>
      </c>
      <c r="BS304" s="72">
        <v>75036.460000000006</v>
      </c>
      <c r="BT304" s="72">
        <v>19007.71</v>
      </c>
      <c r="BU304" s="72">
        <v>20388.59</v>
      </c>
      <c r="BV304" s="72">
        <v>86070.88</v>
      </c>
      <c r="BW304" s="72">
        <v>106387.7</v>
      </c>
      <c r="BX304" s="100"/>
      <c r="BY304" s="72">
        <v>98770.73</v>
      </c>
      <c r="BZ304" s="72">
        <v>43180.22</v>
      </c>
      <c r="CA304" s="72">
        <v>10217.799999999999</v>
      </c>
      <c r="CB304" s="72">
        <v>104057.65</v>
      </c>
      <c r="CC304" s="72">
        <v>66448.259999999995</v>
      </c>
      <c r="CD304" s="72">
        <v>40260.410000000003</v>
      </c>
      <c r="CE304" s="66">
        <v>45545.1</v>
      </c>
      <c r="CF304" s="109">
        <f t="shared" ref="CF304:CJ304" si="839">CE304+CF74-CF127+CF144+CF147+CF150+CF153+CF156+CF159+CF162+CF165+CF168+CF171+CF174+CF177+CF180-CF137-CF138-CF139+CF183+CF186+CF189+CF199-CF212-CF240-SUM(CF248:CF258)+CF263+CF266+CF269+CF272+CF275+CF278+CF281+CF284+CF290+CF293+CF296</f>
        <v>-48924.218148118554</v>
      </c>
      <c r="CG304" s="109">
        <f>CF304+CG74-CG127+CG144+CG147+CG150+CG153+CG156+CG159+CG162+CG165+CG168+CG171+CG174+CG177+CG180-CG137-CG138-CG139+CG183+CG186+CG189+CG199-CG212-CG240-SUM(CG248:CG258)+CG263+CG266+CG269+CG272+CG275+CG278+CG281+CG284+CG290+CG293+CG296</f>
        <v>-27569.417202380479</v>
      </c>
      <c r="CH304" s="109">
        <f t="shared" si="839"/>
        <v>-54625.213486213754</v>
      </c>
      <c r="CI304" s="109">
        <f t="shared" si="839"/>
        <v>-42561.681117684435</v>
      </c>
      <c r="CJ304" s="109">
        <f t="shared" si="839"/>
        <v>-65403.695062328865</v>
      </c>
      <c r="CK304" s="100"/>
      <c r="CL304" s="130"/>
      <c r="CM304" s="109"/>
      <c r="CN304" s="109"/>
      <c r="CO304" s="109"/>
      <c r="CP304" s="109"/>
      <c r="CQ304" s="109"/>
      <c r="CR304" s="109"/>
      <c r="CS304" s="109"/>
      <c r="CT304" s="109"/>
      <c r="CU304" s="109"/>
      <c r="CV304" s="109"/>
      <c r="CW304" s="109"/>
      <c r="CX304" s="109"/>
      <c r="CY304" s="100"/>
      <c r="DL304" s="100"/>
    </row>
    <row r="305" spans="2:116">
      <c r="B305" s="1" t="s">
        <v>236</v>
      </c>
      <c r="C305" s="136"/>
      <c r="D305" s="136"/>
      <c r="E305" s="136"/>
      <c r="F305" s="136"/>
      <c r="G305" s="136"/>
      <c r="H305" s="136"/>
      <c r="I305" s="136"/>
      <c r="J305" s="136"/>
      <c r="K305" s="136"/>
      <c r="L305" s="136"/>
      <c r="M305" s="102"/>
      <c r="N305" s="102"/>
      <c r="O305" s="99"/>
      <c r="P305" s="129">
        <v>0</v>
      </c>
      <c r="Q305" s="75">
        <v>0</v>
      </c>
      <c r="R305" s="75">
        <v>0</v>
      </c>
      <c r="S305" s="75">
        <v>0</v>
      </c>
      <c r="T305" s="75">
        <v>0</v>
      </c>
      <c r="U305" s="75">
        <v>0</v>
      </c>
      <c r="V305" s="75">
        <v>0</v>
      </c>
      <c r="W305" s="75">
        <v>0</v>
      </c>
      <c r="X305" s="75">
        <v>0</v>
      </c>
      <c r="Y305" s="75">
        <v>0</v>
      </c>
      <c r="Z305" s="75">
        <v>0</v>
      </c>
      <c r="AA305" s="75">
        <v>0</v>
      </c>
      <c r="AB305" s="339"/>
      <c r="AC305" s="129">
        <v>0</v>
      </c>
      <c r="AD305" s="75">
        <v>0</v>
      </c>
      <c r="AE305" s="75">
        <v>0</v>
      </c>
      <c r="AF305" s="75">
        <v>0</v>
      </c>
      <c r="AG305" s="75">
        <v>0</v>
      </c>
      <c r="AH305" s="75">
        <v>0</v>
      </c>
      <c r="AI305" s="75">
        <v>0</v>
      </c>
      <c r="AJ305" s="75">
        <v>0</v>
      </c>
      <c r="AK305" s="137"/>
      <c r="AL305" s="75">
        <v>0</v>
      </c>
      <c r="AM305" s="75">
        <v>0</v>
      </c>
      <c r="AN305" s="75">
        <v>0</v>
      </c>
      <c r="AO305" s="75">
        <v>0</v>
      </c>
      <c r="AP305" s="75">
        <f>6315.95/1.2240464</f>
        <v>5159.8942654461462</v>
      </c>
      <c r="AQ305" s="75">
        <f>747.5/1.224046</f>
        <v>610.6796639995556</v>
      </c>
      <c r="AR305" s="75">
        <f>747.5/1.224046</f>
        <v>610.6796639995556</v>
      </c>
      <c r="AS305" s="75">
        <f>15725.71/1.201768</f>
        <v>13085.479060850346</v>
      </c>
      <c r="AT305" s="75">
        <f>34073.31/1.204993</f>
        <v>28276.770072523243</v>
      </c>
      <c r="AU305" s="75">
        <f>2.43/1.205</f>
        <v>2.0165975103734439</v>
      </c>
      <c r="AV305" s="75">
        <v>0</v>
      </c>
      <c r="AW305" s="75">
        <v>2545.89</v>
      </c>
      <c r="AX305" s="100"/>
      <c r="AY305" s="75">
        <v>2545.89</v>
      </c>
      <c r="AZ305" s="69">
        <v>62.03</v>
      </c>
      <c r="BA305" s="72">
        <v>2701.02</v>
      </c>
      <c r="BB305" s="72">
        <v>2701.02</v>
      </c>
      <c r="BC305" s="69">
        <v>24.41</v>
      </c>
      <c r="BD305" s="69">
        <v>24.41</v>
      </c>
      <c r="BE305" s="69">
        <v>24.41</v>
      </c>
      <c r="BF305" s="69">
        <v>2726.55</v>
      </c>
      <c r="BG305" s="69">
        <v>5577.18</v>
      </c>
      <c r="BH305" s="69">
        <v>32.75</v>
      </c>
      <c r="BI305" s="69">
        <v>2977.94</v>
      </c>
      <c r="BJ305" s="69">
        <v>2977.94</v>
      </c>
      <c r="BK305" s="100"/>
      <c r="BL305" s="69">
        <v>2977.94</v>
      </c>
      <c r="BM305" s="69">
        <v>27.7</v>
      </c>
      <c r="BN305" s="69">
        <v>27.7</v>
      </c>
      <c r="BO305" s="69">
        <v>27.7</v>
      </c>
      <c r="BP305" s="69">
        <v>14.48</v>
      </c>
      <c r="BQ305" s="69">
        <v>2818.22</v>
      </c>
      <c r="BR305" s="69">
        <v>0</v>
      </c>
      <c r="BS305" s="69">
        <v>0</v>
      </c>
      <c r="BT305" s="69">
        <v>0</v>
      </c>
      <c r="BU305" s="69">
        <v>0</v>
      </c>
      <c r="BV305" s="69">
        <v>0</v>
      </c>
      <c r="BW305" s="69">
        <v>0</v>
      </c>
      <c r="BX305" s="100"/>
      <c r="BY305" s="69">
        <v>0</v>
      </c>
      <c r="BZ305" s="69">
        <v>0</v>
      </c>
      <c r="CA305" s="69">
        <v>0</v>
      </c>
      <c r="CB305" s="69">
        <v>0</v>
      </c>
      <c r="CC305" s="69">
        <v>0</v>
      </c>
      <c r="CD305" s="69">
        <v>0</v>
      </c>
      <c r="CE305" s="69">
        <v>0</v>
      </c>
      <c r="CK305" s="100"/>
      <c r="CL305" s="130"/>
      <c r="CY305" s="100"/>
      <c r="DL305" s="100"/>
    </row>
    <row r="306" spans="2:116">
      <c r="B306" s="1" t="s">
        <v>411</v>
      </c>
      <c r="C306" s="136"/>
      <c r="D306" s="136"/>
      <c r="E306" s="136"/>
      <c r="F306" s="136"/>
      <c r="G306" s="136"/>
      <c r="H306" s="136"/>
      <c r="I306" s="136"/>
      <c r="J306" s="136"/>
      <c r="K306" s="136"/>
      <c r="L306" s="136"/>
      <c r="M306" s="102"/>
      <c r="N306" s="102"/>
      <c r="O306" s="99"/>
      <c r="P306" s="129"/>
      <c r="Q306" s="75"/>
      <c r="R306" s="75"/>
      <c r="S306" s="75"/>
      <c r="T306" s="75"/>
      <c r="U306" s="75"/>
      <c r="V306" s="75"/>
      <c r="W306" s="75"/>
      <c r="X306" s="75"/>
      <c r="Y306" s="75"/>
      <c r="Z306" s="75"/>
      <c r="AA306" s="75"/>
      <c r="AB306" s="339"/>
      <c r="AC306" s="129"/>
      <c r="AD306" s="75"/>
      <c r="AE306" s="75"/>
      <c r="AF306" s="75"/>
      <c r="AG306" s="75"/>
      <c r="AH306" s="75"/>
      <c r="AI306" s="75"/>
      <c r="AJ306" s="75"/>
      <c r="AK306" s="137"/>
      <c r="AL306" s="75"/>
      <c r="AM306" s="75"/>
      <c r="AN306" s="75"/>
      <c r="AO306" s="75"/>
      <c r="AP306" s="75"/>
      <c r="AQ306" s="75"/>
      <c r="AR306" s="75"/>
      <c r="AS306" s="75"/>
      <c r="AT306" s="75"/>
      <c r="AU306" s="75"/>
      <c r="AV306" s="75"/>
      <c r="AW306" s="75"/>
      <c r="AX306" s="100"/>
      <c r="AY306" s="75"/>
      <c r="AZ306" s="69"/>
      <c r="BA306" s="72"/>
      <c r="BB306" s="72"/>
      <c r="BC306" s="69"/>
      <c r="BD306" s="69"/>
      <c r="BE306" s="69"/>
      <c r="BF306" s="69"/>
      <c r="BG306" s="69"/>
      <c r="BH306" s="69"/>
      <c r="BI306" s="69"/>
      <c r="BJ306" s="69"/>
      <c r="BK306" s="100"/>
      <c r="BL306" s="69"/>
      <c r="BM306" s="69"/>
      <c r="BN306" s="69"/>
      <c r="BO306" s="69"/>
      <c r="BP306" s="69"/>
      <c r="BQ306" s="69"/>
      <c r="BR306" s="69"/>
      <c r="BS306" s="69"/>
      <c r="BT306" s="69"/>
      <c r="BU306" s="69"/>
      <c r="BV306" s="69"/>
      <c r="BW306" s="69"/>
      <c r="BX306" s="100"/>
      <c r="BY306" s="69">
        <f>3201.14+7.95</f>
        <v>3209.0899999999997</v>
      </c>
      <c r="BZ306" s="69">
        <f>1239.22+7.12</f>
        <v>1246.3399999999999</v>
      </c>
      <c r="CA306" s="69">
        <f>2032.26+6.96</f>
        <v>2039.22</v>
      </c>
      <c r="CB306" s="69">
        <f>1404.53+2.56</f>
        <v>1407.09</v>
      </c>
      <c r="CC306" s="69">
        <f>15625.29+0.36</f>
        <v>15625.650000000001</v>
      </c>
      <c r="CD306" s="69">
        <f>1763.56+0.61</f>
        <v>1764.1699999999998</v>
      </c>
      <c r="CE306" s="83">
        <f>4957.27+12.92</f>
        <v>4970.1900000000005</v>
      </c>
      <c r="CK306" s="100"/>
      <c r="CL306" s="130"/>
      <c r="CY306" s="100"/>
      <c r="DL306" s="100"/>
    </row>
    <row r="307" spans="2:116">
      <c r="B307" s="1" t="s">
        <v>409</v>
      </c>
      <c r="C307" s="136"/>
      <c r="D307" s="136"/>
      <c r="E307" s="136"/>
      <c r="F307" s="136"/>
      <c r="G307" s="136"/>
      <c r="H307" s="136"/>
      <c r="I307" s="136"/>
      <c r="J307" s="136"/>
      <c r="K307" s="136"/>
      <c r="L307" s="136"/>
      <c r="M307" s="102"/>
      <c r="N307" s="102"/>
      <c r="O307" s="99"/>
      <c r="P307" s="129"/>
      <c r="Q307" s="75"/>
      <c r="R307" s="75"/>
      <c r="S307" s="75"/>
      <c r="T307" s="75"/>
      <c r="U307" s="75"/>
      <c r="V307" s="75"/>
      <c r="W307" s="75"/>
      <c r="X307" s="75"/>
      <c r="Y307" s="75"/>
      <c r="Z307" s="75"/>
      <c r="AA307" s="75"/>
      <c r="AB307" s="339"/>
      <c r="AC307" s="129"/>
      <c r="AD307" s="75"/>
      <c r="AE307" s="75"/>
      <c r="AF307" s="75"/>
      <c r="AG307" s="75"/>
      <c r="AH307" s="75"/>
      <c r="AI307" s="75"/>
      <c r="AJ307" s="75"/>
      <c r="AK307" s="137"/>
      <c r="AL307" s="75"/>
      <c r="AM307" s="75"/>
      <c r="AN307" s="75"/>
      <c r="AO307" s="75"/>
      <c r="AP307" s="75"/>
      <c r="AQ307" s="75"/>
      <c r="AR307" s="75"/>
      <c r="AS307" s="75"/>
      <c r="AT307" s="75"/>
      <c r="AU307" s="75"/>
      <c r="AV307" s="75"/>
      <c r="AW307" s="75"/>
      <c r="AX307" s="100"/>
      <c r="AY307" s="75"/>
      <c r="AZ307" s="69"/>
      <c r="BA307" s="72"/>
      <c r="BB307" s="72"/>
      <c r="BC307" s="69"/>
      <c r="BD307" s="69"/>
      <c r="BE307" s="69"/>
      <c r="BF307" s="69"/>
      <c r="BG307" s="69"/>
      <c r="BH307" s="69"/>
      <c r="BI307" s="69"/>
      <c r="BJ307" s="69"/>
      <c r="BK307" s="100"/>
      <c r="BL307" s="69"/>
      <c r="BM307" s="69"/>
      <c r="BN307" s="69"/>
      <c r="BO307" s="69"/>
      <c r="BP307" s="69"/>
      <c r="BQ307" s="69"/>
      <c r="BR307" s="69"/>
      <c r="BS307" s="69"/>
      <c r="BT307" s="69"/>
      <c r="BU307" s="69"/>
      <c r="BV307" s="69"/>
      <c r="BW307" s="69"/>
      <c r="BX307" s="100"/>
      <c r="BY307" s="69">
        <v>276.76</v>
      </c>
      <c r="BZ307" s="69">
        <v>1742.64</v>
      </c>
      <c r="CA307" s="69">
        <v>497.13</v>
      </c>
      <c r="CB307" s="69">
        <v>1501.66</v>
      </c>
      <c r="CC307" s="69">
        <v>1508.47</v>
      </c>
      <c r="CD307" s="69">
        <v>262.95999999999998</v>
      </c>
      <c r="CE307" s="1">
        <v>807.88</v>
      </c>
      <c r="CK307" s="100"/>
      <c r="CL307" s="130"/>
      <c r="CY307" s="100"/>
      <c r="DL307" s="100"/>
    </row>
    <row r="308" spans="2:116">
      <c r="B308" s="1" t="s">
        <v>410</v>
      </c>
      <c r="C308" s="136"/>
      <c r="D308" s="136"/>
      <c r="E308" s="136"/>
      <c r="F308" s="136"/>
      <c r="G308" s="136"/>
      <c r="H308" s="136"/>
      <c r="I308" s="136"/>
      <c r="J308" s="136"/>
      <c r="K308" s="136"/>
      <c r="L308" s="136"/>
      <c r="M308" s="102"/>
      <c r="N308" s="102"/>
      <c r="O308" s="99"/>
      <c r="P308" s="129"/>
      <c r="Q308" s="75"/>
      <c r="R308" s="75"/>
      <c r="S308" s="75"/>
      <c r="T308" s="75"/>
      <c r="U308" s="75"/>
      <c r="V308" s="75"/>
      <c r="W308" s="75"/>
      <c r="X308" s="75"/>
      <c r="Y308" s="75"/>
      <c r="Z308" s="75"/>
      <c r="AA308" s="75"/>
      <c r="AB308" s="339"/>
      <c r="AC308" s="129"/>
      <c r="AD308" s="75"/>
      <c r="AE308" s="75"/>
      <c r="AF308" s="75"/>
      <c r="AG308" s="75"/>
      <c r="AH308" s="75"/>
      <c r="AI308" s="75"/>
      <c r="AJ308" s="75"/>
      <c r="AK308" s="137"/>
      <c r="AL308" s="75"/>
      <c r="AM308" s="75"/>
      <c r="AN308" s="75"/>
      <c r="AO308" s="75"/>
      <c r="AP308" s="75"/>
      <c r="AQ308" s="75"/>
      <c r="AR308" s="75"/>
      <c r="AS308" s="75"/>
      <c r="AT308" s="75"/>
      <c r="AU308" s="75"/>
      <c r="AV308" s="75"/>
      <c r="AW308" s="75"/>
      <c r="AX308" s="100"/>
      <c r="AY308" s="75"/>
      <c r="AZ308" s="69"/>
      <c r="BA308" s="72"/>
      <c r="BB308" s="72"/>
      <c r="BC308" s="69"/>
      <c r="BD308" s="69"/>
      <c r="BE308" s="69"/>
      <c r="BF308" s="69"/>
      <c r="BG308" s="69"/>
      <c r="BH308" s="69"/>
      <c r="BI308" s="69"/>
      <c r="BJ308" s="69"/>
      <c r="BK308" s="100"/>
      <c r="BL308" s="69"/>
      <c r="BM308" s="69"/>
      <c r="BN308" s="69"/>
      <c r="BO308" s="69"/>
      <c r="BP308" s="69"/>
      <c r="BQ308" s="69"/>
      <c r="BR308" s="69"/>
      <c r="BS308" s="69"/>
      <c r="BT308" s="69"/>
      <c r="BU308" s="69"/>
      <c r="BV308" s="69"/>
      <c r="BW308" s="69"/>
      <c r="BX308" s="100"/>
      <c r="BY308" s="69">
        <v>459.05</v>
      </c>
      <c r="BZ308" s="69">
        <v>2742.44</v>
      </c>
      <c r="CA308" s="69">
        <v>2742.44</v>
      </c>
      <c r="CB308" s="69">
        <v>2712.44</v>
      </c>
      <c r="CC308" s="69">
        <v>2504.44</v>
      </c>
      <c r="CD308" s="69">
        <v>2439.7600000000002</v>
      </c>
      <c r="CE308" s="83">
        <v>2439.7600000000002</v>
      </c>
      <c r="CK308" s="100"/>
      <c r="CL308" s="130"/>
      <c r="CY308" s="100"/>
      <c r="DL308" s="100"/>
    </row>
    <row r="309" spans="2:116">
      <c r="B309" s="1" t="s">
        <v>237</v>
      </c>
      <c r="C309" s="136"/>
      <c r="D309" s="136"/>
      <c r="E309" s="136"/>
      <c r="F309" s="136"/>
      <c r="G309" s="136"/>
      <c r="H309" s="136"/>
      <c r="I309" s="136"/>
      <c r="J309" s="136"/>
      <c r="K309" s="136"/>
      <c r="L309" s="136"/>
      <c r="M309" s="102"/>
      <c r="N309" s="102"/>
      <c r="O309" s="99"/>
      <c r="P309" s="129">
        <v>0</v>
      </c>
      <c r="Q309" s="75">
        <v>0</v>
      </c>
      <c r="R309" s="75">
        <v>0</v>
      </c>
      <c r="S309" s="75">
        <v>0</v>
      </c>
      <c r="T309" s="75">
        <v>0</v>
      </c>
      <c r="U309" s="75">
        <v>0</v>
      </c>
      <c r="V309" s="75">
        <v>0</v>
      </c>
      <c r="W309" s="75">
        <v>0</v>
      </c>
      <c r="X309" s="75">
        <v>0</v>
      </c>
      <c r="Y309" s="75">
        <v>0</v>
      </c>
      <c r="Z309" s="75">
        <v>0</v>
      </c>
      <c r="AA309" s="75">
        <v>0</v>
      </c>
      <c r="AB309" s="339"/>
      <c r="AC309" s="129">
        <v>0</v>
      </c>
      <c r="AD309" s="75">
        <v>0</v>
      </c>
      <c r="AE309" s="75">
        <v>0</v>
      </c>
      <c r="AF309" s="75">
        <v>0</v>
      </c>
      <c r="AG309" s="75">
        <v>0</v>
      </c>
      <c r="AH309" s="75">
        <v>0</v>
      </c>
      <c r="AI309" s="75">
        <v>0</v>
      </c>
      <c r="AJ309" s="75">
        <v>0</v>
      </c>
      <c r="AK309" s="137"/>
      <c r="AL309" s="75">
        <v>0</v>
      </c>
      <c r="AM309" s="75">
        <v>0</v>
      </c>
      <c r="AN309" s="75">
        <v>0</v>
      </c>
      <c r="AO309" s="75">
        <v>0</v>
      </c>
      <c r="AP309" s="75">
        <v>0</v>
      </c>
      <c r="AQ309" s="75">
        <v>0</v>
      </c>
      <c r="AR309" s="75">
        <v>0</v>
      </c>
      <c r="AS309" s="75">
        <v>0</v>
      </c>
      <c r="AT309" s="75">
        <v>0</v>
      </c>
      <c r="AU309" s="75">
        <f>32732.04/1.205+298000/1.1539</f>
        <v>285418.13345684257</v>
      </c>
      <c r="AV309" s="75">
        <f>18696.35</f>
        <v>18696.349999999999</v>
      </c>
      <c r="AW309" s="75">
        <f>AV309</f>
        <v>18696.349999999999</v>
      </c>
      <c r="AX309" s="100"/>
      <c r="AY309" s="115">
        <v>501.4</v>
      </c>
      <c r="AZ309" s="69">
        <v>20137.2</v>
      </c>
      <c r="BA309" s="72">
        <v>20137.2</v>
      </c>
      <c r="BB309" s="72">
        <v>7785.29</v>
      </c>
      <c r="BC309" s="72">
        <v>16394.46</v>
      </c>
      <c r="BD309" s="72">
        <v>9367.3700000000008</v>
      </c>
      <c r="BE309" s="72">
        <v>4975.43</v>
      </c>
      <c r="BF309" s="69">
        <v>4746.6000000000004</v>
      </c>
      <c r="BG309" s="69">
        <v>4746.6000000000004</v>
      </c>
      <c r="BH309" s="69">
        <v>5515.21</v>
      </c>
      <c r="BI309" s="69">
        <v>11877.32</v>
      </c>
      <c r="BJ309" s="69">
        <v>11877.32</v>
      </c>
      <c r="BK309" s="100"/>
      <c r="BL309" s="69">
        <v>11877.32</v>
      </c>
      <c r="BM309" s="69">
        <v>16205.67</v>
      </c>
      <c r="BN309" s="213">
        <v>12763.72</v>
      </c>
      <c r="BO309" s="213">
        <v>44647.27</v>
      </c>
      <c r="BP309" s="213">
        <v>10749.53</v>
      </c>
      <c r="BQ309" s="69">
        <v>11004.35</v>
      </c>
      <c r="BR309" s="69">
        <v>20229.89</v>
      </c>
      <c r="BS309" s="69">
        <v>35167.230000000003</v>
      </c>
      <c r="BT309" s="72">
        <v>137.72999999999999</v>
      </c>
      <c r="BU309" s="72">
        <v>4228.09</v>
      </c>
      <c r="BV309" s="72">
        <v>6940.81</v>
      </c>
      <c r="BW309" s="72">
        <v>6940.81</v>
      </c>
      <c r="BX309" s="100"/>
      <c r="BY309" s="72">
        <v>21641.74</v>
      </c>
      <c r="BZ309" s="69">
        <v>3872.95</v>
      </c>
      <c r="CA309" s="69">
        <v>13974.06</v>
      </c>
      <c r="CB309" s="69">
        <v>13974.06</v>
      </c>
      <c r="CC309" s="69">
        <v>38586.019999999997</v>
      </c>
      <c r="CD309" s="69">
        <v>21421.200000000001</v>
      </c>
      <c r="CE309" s="83">
        <v>25956.639999999999</v>
      </c>
      <c r="CK309" s="100"/>
      <c r="CL309" s="130"/>
      <c r="CM309" s="109"/>
      <c r="CY309" s="100"/>
      <c r="DL309" s="100"/>
    </row>
    <row r="310" spans="2:116">
      <c r="B310" s="1" t="s">
        <v>238</v>
      </c>
      <c r="C310" s="136"/>
      <c r="D310" s="136"/>
      <c r="E310" s="136"/>
      <c r="F310" s="136"/>
      <c r="G310" s="136"/>
      <c r="H310" s="136"/>
      <c r="I310" s="136"/>
      <c r="J310" s="136"/>
      <c r="K310" s="136"/>
      <c r="L310" s="136"/>
      <c r="M310" s="102"/>
      <c r="N310" s="102"/>
      <c r="O310" s="99"/>
      <c r="P310" s="129">
        <v>0</v>
      </c>
      <c r="Q310" s="75">
        <v>0</v>
      </c>
      <c r="R310" s="75">
        <v>0</v>
      </c>
      <c r="S310" s="75">
        <v>0</v>
      </c>
      <c r="T310" s="75">
        <v>0</v>
      </c>
      <c r="U310" s="75">
        <v>0</v>
      </c>
      <c r="V310" s="75">
        <v>0</v>
      </c>
      <c r="W310" s="75">
        <v>0</v>
      </c>
      <c r="X310" s="75">
        <v>0</v>
      </c>
      <c r="Y310" s="75">
        <v>0</v>
      </c>
      <c r="Z310" s="75">
        <v>0</v>
      </c>
      <c r="AA310" s="75">
        <v>0</v>
      </c>
      <c r="AB310" s="339"/>
      <c r="AC310" s="129">
        <v>0</v>
      </c>
      <c r="AD310" s="75">
        <v>0</v>
      </c>
      <c r="AE310" s="75">
        <v>0</v>
      </c>
      <c r="AF310" s="75">
        <v>0</v>
      </c>
      <c r="AG310" s="75">
        <v>0</v>
      </c>
      <c r="AH310" s="75">
        <v>0</v>
      </c>
      <c r="AI310" s="75">
        <v>0</v>
      </c>
      <c r="AJ310" s="75">
        <v>0</v>
      </c>
      <c r="AK310" s="137"/>
      <c r="AL310" s="75">
        <v>0</v>
      </c>
      <c r="AM310" s="75">
        <v>0</v>
      </c>
      <c r="AN310" s="75">
        <v>0</v>
      </c>
      <c r="AO310" s="75">
        <v>0</v>
      </c>
      <c r="AP310" s="75">
        <v>0</v>
      </c>
      <c r="AQ310" s="75">
        <v>0</v>
      </c>
      <c r="AR310" s="75">
        <v>0</v>
      </c>
      <c r="AS310" s="75">
        <v>0</v>
      </c>
      <c r="AT310" s="75">
        <v>0</v>
      </c>
      <c r="AU310" s="75">
        <v>50000</v>
      </c>
      <c r="AV310" s="75">
        <f>AU310+(50000/1.1925)+(50000/1.1909)+(50000/1.1915)-133913.77+(50000/1.1865)+(50000/1.1935)+(48000/1.1935)-166216.1</f>
        <v>2.5870290119200945E-3</v>
      </c>
      <c r="AW310" s="75">
        <f>AV310</f>
        <v>2.5870290119200945E-3</v>
      </c>
      <c r="AX310" s="100"/>
      <c r="AY310" s="75">
        <f>AW310</f>
        <v>2.5870290119200945E-3</v>
      </c>
      <c r="AZ310" s="75">
        <f>AY310</f>
        <v>2.5870290119200945E-3</v>
      </c>
      <c r="BA310" s="72">
        <v>0</v>
      </c>
      <c r="BB310" s="72">
        <v>0</v>
      </c>
      <c r="BC310" s="72">
        <v>0</v>
      </c>
      <c r="BD310" s="72">
        <v>250000</v>
      </c>
      <c r="BE310" s="72">
        <v>0</v>
      </c>
      <c r="BF310" s="69">
        <v>0</v>
      </c>
      <c r="BG310" s="69">
        <v>34657.370000000003</v>
      </c>
      <c r="BH310" s="69">
        <v>310322.46000000002</v>
      </c>
      <c r="BI310" s="69">
        <v>226017.59</v>
      </c>
      <c r="BJ310" s="197">
        <v>159.13999999999999</v>
      </c>
      <c r="BK310" s="100"/>
      <c r="BL310" s="69">
        <v>100039.19</v>
      </c>
      <c r="BM310" s="69">
        <v>39.19</v>
      </c>
      <c r="BN310" s="69">
        <v>39.19</v>
      </c>
      <c r="BO310" s="69">
        <v>7774.19</v>
      </c>
      <c r="BP310" s="69">
        <v>7774.19</v>
      </c>
      <c r="BQ310" s="69">
        <v>774.19</v>
      </c>
      <c r="BR310" s="69">
        <v>0</v>
      </c>
      <c r="BS310" s="69">
        <v>0</v>
      </c>
      <c r="BT310" s="69">
        <v>0</v>
      </c>
      <c r="BU310" s="69">
        <v>8250</v>
      </c>
      <c r="BV310" s="72">
        <v>0</v>
      </c>
      <c r="BW310" s="236">
        <v>14000</v>
      </c>
      <c r="BX310" s="100"/>
      <c r="BY310" s="72">
        <f>14000-375</f>
        <v>13625</v>
      </c>
      <c r="BZ310" s="72">
        <v>40000</v>
      </c>
      <c r="CA310" s="69">
        <v>8250</v>
      </c>
      <c r="CB310" s="69">
        <v>8250</v>
      </c>
      <c r="CC310" s="69">
        <v>8250</v>
      </c>
      <c r="CD310" s="69">
        <v>0</v>
      </c>
      <c r="CE310" s="83">
        <v>0</v>
      </c>
      <c r="CK310" s="100"/>
      <c r="CL310" s="130"/>
      <c r="CM310" s="109"/>
      <c r="CY310" s="100"/>
      <c r="DL310" s="100"/>
    </row>
    <row r="311" spans="2:116">
      <c r="B311" s="1" t="s">
        <v>239</v>
      </c>
      <c r="C311" s="4"/>
      <c r="D311" s="4"/>
      <c r="E311" s="4"/>
      <c r="F311" s="4"/>
      <c r="G311" s="4"/>
      <c r="H311" s="4"/>
      <c r="I311" s="4"/>
      <c r="J311" s="4"/>
      <c r="K311" s="4"/>
      <c r="L311" s="4"/>
      <c r="M311" s="139"/>
      <c r="N311" s="139"/>
      <c r="O311" s="39"/>
      <c r="P311" s="129">
        <v>0</v>
      </c>
      <c r="Q311" s="75">
        <v>0</v>
      </c>
      <c r="R311" s="75">
        <v>0</v>
      </c>
      <c r="S311" s="75">
        <v>0</v>
      </c>
      <c r="T311" s="75">
        <v>0</v>
      </c>
      <c r="U311" s="75">
        <v>0</v>
      </c>
      <c r="V311" s="75">
        <v>0</v>
      </c>
      <c r="W311" s="75">
        <v>0</v>
      </c>
      <c r="X311" s="75">
        <v>0</v>
      </c>
      <c r="Y311" s="75">
        <v>0</v>
      </c>
      <c r="Z311" s="75">
        <v>0</v>
      </c>
      <c r="AA311" s="75">
        <v>0</v>
      </c>
      <c r="AB311" s="114"/>
      <c r="AC311" s="129">
        <v>0</v>
      </c>
      <c r="AD311" s="75">
        <v>0</v>
      </c>
      <c r="AE311" s="75">
        <v>0</v>
      </c>
      <c r="AF311" s="98">
        <v>0</v>
      </c>
      <c r="AG311" s="98">
        <f>AG23</f>
        <v>8339.5107487027435</v>
      </c>
      <c r="AH311" s="75">
        <f>AG311+AH35-AH93</f>
        <v>14316.632251593181</v>
      </c>
      <c r="AI311" s="75">
        <f>AH311+AI20-15800/1.1036+0.15</f>
        <v>3445.9001887796408</v>
      </c>
      <c r="AJ311" s="75">
        <f>AI311</f>
        <v>3445.9001887796408</v>
      </c>
      <c r="AK311" s="100">
        <v>0</v>
      </c>
      <c r="AL311" s="75">
        <f>AJ311-AL93+AL64+930/1.1703-0.07</f>
        <v>4801.0547878125353</v>
      </c>
      <c r="AM311" s="75">
        <f>AL311-AM92+AM63+AM65-28440.72/1.1759-0.33</f>
        <v>3.9854714649845691E-3</v>
      </c>
      <c r="AN311" s="75">
        <f t="shared" ref="AN311:AP312" si="840">AM311</f>
        <v>3.9854714649845691E-3</v>
      </c>
      <c r="AO311" s="75">
        <f t="shared" si="840"/>
        <v>3.9854714649845691E-3</v>
      </c>
      <c r="AP311" s="75">
        <f t="shared" si="840"/>
        <v>3.9854714649845691E-3</v>
      </c>
      <c r="AQ311" s="75">
        <f>AP311</f>
        <v>3.9854714649845691E-3</v>
      </c>
      <c r="AR311" s="75">
        <f>AQ311</f>
        <v>3.9854714649845691E-3</v>
      </c>
      <c r="AS311" s="75">
        <f>AR311</f>
        <v>3.9854714649845691E-3</v>
      </c>
      <c r="AT311" s="75">
        <f>AS311</f>
        <v>3.9854714649845691E-3</v>
      </c>
      <c r="AU311" s="75">
        <v>0</v>
      </c>
      <c r="AV311" s="75">
        <v>0</v>
      </c>
      <c r="AW311" s="75">
        <f>AV311</f>
        <v>0</v>
      </c>
      <c r="AX311" s="100"/>
      <c r="AY311" s="75">
        <f>AW311</f>
        <v>0</v>
      </c>
      <c r="AZ311" s="75">
        <f>AY311</f>
        <v>0</v>
      </c>
      <c r="BA311" s="69">
        <v>0</v>
      </c>
      <c r="BB311" s="69">
        <v>0</v>
      </c>
      <c r="BC311" s="69">
        <v>0</v>
      </c>
      <c r="BD311" s="69">
        <v>0</v>
      </c>
      <c r="BE311" s="69">
        <v>0</v>
      </c>
      <c r="BF311" s="69">
        <v>0</v>
      </c>
      <c r="BG311" s="69">
        <v>0</v>
      </c>
      <c r="BH311" s="69">
        <v>0</v>
      </c>
      <c r="BI311" s="69">
        <v>0</v>
      </c>
      <c r="BJ311" s="69">
        <v>0</v>
      </c>
      <c r="BK311" s="100"/>
      <c r="BL311" s="69">
        <v>0</v>
      </c>
      <c r="BM311" s="69">
        <v>0</v>
      </c>
      <c r="BN311" s="69">
        <v>0</v>
      </c>
      <c r="BO311" s="69">
        <v>0</v>
      </c>
      <c r="BP311" s="69">
        <v>0</v>
      </c>
      <c r="BQ311" s="69">
        <v>0</v>
      </c>
      <c r="BR311" s="69">
        <v>0</v>
      </c>
      <c r="BS311" s="69">
        <v>0</v>
      </c>
      <c r="BT311" s="69">
        <v>0</v>
      </c>
      <c r="BU311" s="72">
        <v>0</v>
      </c>
      <c r="BV311" s="72">
        <v>0</v>
      </c>
      <c r="BW311" s="72">
        <v>0</v>
      </c>
      <c r="BX311" s="100"/>
      <c r="BY311" s="72">
        <v>0</v>
      </c>
      <c r="BZ311" s="72">
        <v>0</v>
      </c>
      <c r="CA311" s="72">
        <v>0</v>
      </c>
      <c r="CB311" s="72">
        <v>0</v>
      </c>
      <c r="CC311" s="72">
        <v>0</v>
      </c>
      <c r="CD311" s="72">
        <v>0</v>
      </c>
      <c r="CE311" s="72">
        <v>0</v>
      </c>
      <c r="CK311" s="100"/>
      <c r="CL311" s="130"/>
      <c r="CY311" s="100"/>
      <c r="DL311" s="100"/>
    </row>
    <row r="312" spans="2:116">
      <c r="B312" s="1" t="s">
        <v>240</v>
      </c>
      <c r="C312" s="4"/>
      <c r="D312" s="4"/>
      <c r="E312" s="4"/>
      <c r="F312" s="4"/>
      <c r="G312" s="4"/>
      <c r="H312" s="4"/>
      <c r="I312" s="4"/>
      <c r="J312" s="4"/>
      <c r="K312" s="4"/>
      <c r="L312" s="4"/>
      <c r="M312" s="139"/>
      <c r="N312" s="139"/>
      <c r="O312" s="39"/>
      <c r="P312" s="129">
        <v>0</v>
      </c>
      <c r="Q312" s="75">
        <v>0</v>
      </c>
      <c r="R312" s="75">
        <v>0</v>
      </c>
      <c r="S312" s="75">
        <v>0</v>
      </c>
      <c r="T312" s="75">
        <v>0</v>
      </c>
      <c r="U312" s="75">
        <v>0</v>
      </c>
      <c r="V312" s="75">
        <v>0</v>
      </c>
      <c r="W312" s="75">
        <v>0</v>
      </c>
      <c r="X312" s="75">
        <v>0</v>
      </c>
      <c r="Y312" s="75">
        <v>0</v>
      </c>
      <c r="Z312" s="75">
        <v>0</v>
      </c>
      <c r="AA312" s="75">
        <v>0</v>
      </c>
      <c r="AB312" s="114"/>
      <c r="AC312" s="129">
        <v>0</v>
      </c>
      <c r="AD312" s="75">
        <v>0</v>
      </c>
      <c r="AE312" s="75">
        <v>0</v>
      </c>
      <c r="AF312" s="98">
        <f>80000-(20+145.8)/1.0849</f>
        <v>79847.174854825324</v>
      </c>
      <c r="AG312" s="98">
        <f>AF312-72.9/1.0849-20.61/1.0905+21420/1.1136</f>
        <v>98995.993927391522</v>
      </c>
      <c r="AH312" s="98">
        <f>AG312-52.29/1.0898-145.8/1.0975-2625/1.1174-75/1.121+(1050+19593+14994)/1.121</f>
        <v>128189.42295322989</v>
      </c>
      <c r="AI312" s="98">
        <f>AH312+15800/1.1036-20/1.0981</f>
        <v>142487.99111830225</v>
      </c>
      <c r="AJ312" s="98">
        <f>AI312</f>
        <v>142487.99111830225</v>
      </c>
      <c r="AK312" s="100">
        <v>0</v>
      </c>
      <c r="AL312" s="98">
        <f>AJ312</f>
        <v>142487.99111830225</v>
      </c>
      <c r="AM312" s="98">
        <f>AL312+28440.72/1.1759-20/1.1094</f>
        <v>166656.30573159998</v>
      </c>
      <c r="AN312" s="98">
        <f t="shared" si="840"/>
        <v>166656.30573159998</v>
      </c>
      <c r="AO312" s="98">
        <f t="shared" si="840"/>
        <v>166656.30573159998</v>
      </c>
      <c r="AP312" s="98">
        <f>AO312+55000/1.224-145.8/1.1094+0.01</f>
        <v>211459.53386399447</v>
      </c>
      <c r="AQ312" s="98">
        <f>AP312</f>
        <v>211459.53386399447</v>
      </c>
      <c r="AR312" s="69">
        <f>AQ312-274.8/1.1338</f>
        <v>211217.16307549563</v>
      </c>
      <c r="AS312" s="69">
        <f>AR312-68.7/1.1338</f>
        <v>211156.5703783709</v>
      </c>
      <c r="AT312" s="69">
        <f>AS312-5517.46/1.13377+92575/1.2081</f>
        <v>282918.68869107752</v>
      </c>
      <c r="AU312" s="69">
        <f>AT312-(556.38/1.1539)-(298000/1.1539)-(30/1.1539)</f>
        <v>24155.901621140787</v>
      </c>
      <c r="AV312" s="69">
        <f>AU312-(171.75/1.153899)</f>
        <v>24007.058438158569</v>
      </c>
      <c r="AW312" s="69">
        <f>AV312-(34.35/1.153899)</f>
        <v>23977.289801562125</v>
      </c>
      <c r="AX312" s="100"/>
      <c r="AY312" s="69">
        <f>AW312-(716.07/1.1539)+(18000/1.1767)-(673.17/1.1629)-(17360/1.1629)</f>
        <v>23146.673307375422</v>
      </c>
      <c r="AZ312" s="69">
        <f>AY312+10850/1.1644</f>
        <v>32464.777051793149</v>
      </c>
      <c r="BA312" s="72">
        <v>32464.78</v>
      </c>
      <c r="BB312" s="69">
        <v>50174.41</v>
      </c>
      <c r="BC312" s="69">
        <v>50174.41</v>
      </c>
      <c r="BD312" s="69">
        <v>50085.62</v>
      </c>
      <c r="BE312" s="69">
        <v>54388.45</v>
      </c>
      <c r="BF312" s="69">
        <v>86038.73</v>
      </c>
      <c r="BG312" s="69">
        <v>71108.160000000003</v>
      </c>
      <c r="BH312" s="69">
        <v>70882.649999999994</v>
      </c>
      <c r="BI312" s="69">
        <v>70589.88</v>
      </c>
      <c r="BJ312" s="69">
        <v>107818.5</v>
      </c>
      <c r="BK312" s="100"/>
      <c r="BL312" s="69">
        <v>108105.74</v>
      </c>
      <c r="BM312" s="69">
        <v>89976.68</v>
      </c>
      <c r="BN312" s="69">
        <v>109908.04</v>
      </c>
      <c r="BO312" s="69">
        <v>1011.38</v>
      </c>
      <c r="BP312" s="69">
        <v>1011.38</v>
      </c>
      <c r="BQ312" s="69">
        <v>1011.38</v>
      </c>
      <c r="BR312" s="69">
        <v>31732.43</v>
      </c>
      <c r="BS312" s="69">
        <v>70232.31</v>
      </c>
      <c r="BT312" s="69">
        <v>70232.31</v>
      </c>
      <c r="BU312" s="72">
        <v>977</v>
      </c>
      <c r="BV312" s="72">
        <v>-27.72</v>
      </c>
      <c r="BW312" s="72">
        <f t="shared" ref="BU312:BW313" si="841">BV312</f>
        <v>-27.72</v>
      </c>
      <c r="BX312" s="100"/>
      <c r="BY312" s="69">
        <f>BW312</f>
        <v>-27.72</v>
      </c>
      <c r="BZ312" s="69">
        <v>45673.66</v>
      </c>
      <c r="CA312" s="69">
        <v>34581.42</v>
      </c>
      <c r="CB312" s="69">
        <f>CA312</f>
        <v>34581.42</v>
      </c>
      <c r="CC312" s="69">
        <v>32863.75</v>
      </c>
      <c r="CD312" s="69">
        <v>32863.75</v>
      </c>
      <c r="CE312" s="83">
        <f t="shared" ref="CE312:CJ312" si="842">CD312</f>
        <v>32863.75</v>
      </c>
      <c r="CF312" s="83">
        <f t="shared" si="842"/>
        <v>32863.75</v>
      </c>
      <c r="CG312" s="83">
        <f t="shared" si="842"/>
        <v>32863.75</v>
      </c>
      <c r="CH312" s="83">
        <f t="shared" si="842"/>
        <v>32863.75</v>
      </c>
      <c r="CI312" s="83">
        <f t="shared" si="842"/>
        <v>32863.75</v>
      </c>
      <c r="CJ312" s="83">
        <f t="shared" si="842"/>
        <v>32863.75</v>
      </c>
      <c r="CK312" s="100"/>
      <c r="CL312" s="130"/>
      <c r="CM312" s="83"/>
      <c r="CN312" s="83"/>
      <c r="CO312" s="83"/>
      <c r="CP312" s="83"/>
      <c r="CQ312" s="83"/>
      <c r="CR312" s="83"/>
      <c r="CS312" s="83"/>
      <c r="CT312" s="83"/>
      <c r="CU312" s="83"/>
      <c r="CV312" s="83"/>
      <c r="CW312" s="83"/>
      <c r="CX312" s="83"/>
      <c r="CY312" s="100"/>
      <c r="DL312" s="100"/>
    </row>
    <row r="313" spans="2:116">
      <c r="B313" s="1" t="s">
        <v>241</v>
      </c>
      <c r="C313" s="4"/>
      <c r="D313" s="4"/>
      <c r="E313" s="4"/>
      <c r="F313" s="4"/>
      <c r="G313" s="4"/>
      <c r="H313" s="4"/>
      <c r="I313" s="4"/>
      <c r="J313" s="4"/>
      <c r="K313" s="4"/>
      <c r="L313" s="4"/>
      <c r="M313" s="139"/>
      <c r="N313" s="139"/>
      <c r="O313" s="39"/>
      <c r="P313" s="129">
        <v>0</v>
      </c>
      <c r="Q313" s="75">
        <v>0</v>
      </c>
      <c r="R313" s="75">
        <v>0</v>
      </c>
      <c r="S313" s="75">
        <v>0</v>
      </c>
      <c r="T313" s="75">
        <v>0</v>
      </c>
      <c r="U313" s="75">
        <v>0</v>
      </c>
      <c r="V313" s="75">
        <v>0</v>
      </c>
      <c r="W313" s="75">
        <v>0</v>
      </c>
      <c r="X313" s="75">
        <v>0</v>
      </c>
      <c r="Y313" s="75">
        <v>0</v>
      </c>
      <c r="Z313" s="75">
        <v>0</v>
      </c>
      <c r="AA313" s="75">
        <v>0</v>
      </c>
      <c r="AB313" s="114"/>
      <c r="AC313" s="129">
        <v>0</v>
      </c>
      <c r="AD313" s="75">
        <v>0</v>
      </c>
      <c r="AE313" s="75">
        <v>0</v>
      </c>
      <c r="AF313" s="75">
        <v>0</v>
      </c>
      <c r="AG313" s="75">
        <v>0</v>
      </c>
      <c r="AH313" s="75">
        <v>0</v>
      </c>
      <c r="AI313" s="75">
        <v>0</v>
      </c>
      <c r="AJ313" s="75">
        <v>0</v>
      </c>
      <c r="AK313" s="100"/>
      <c r="AL313" s="75">
        <v>0</v>
      </c>
      <c r="AM313" s="75">
        <v>0</v>
      </c>
      <c r="AN313" s="75">
        <v>0</v>
      </c>
      <c r="AO313" s="75">
        <v>0</v>
      </c>
      <c r="AP313" s="75">
        <v>0</v>
      </c>
      <c r="AQ313" s="98">
        <v>115000</v>
      </c>
      <c r="AR313" s="98">
        <v>115000</v>
      </c>
      <c r="AS313" s="98">
        <v>115000</v>
      </c>
      <c r="AT313" s="98">
        <v>115000</v>
      </c>
      <c r="AU313" s="69">
        <f>AT313-20000-50000-30</f>
        <v>44970</v>
      </c>
      <c r="AV313" s="69">
        <f>AU313+21091</f>
        <v>66061</v>
      </c>
      <c r="AW313" s="69">
        <f>AV313+216</f>
        <v>66277</v>
      </c>
      <c r="AX313" s="100"/>
      <c r="AY313" s="69">
        <f>AW313+33560+52200-78.3+128000</f>
        <v>279958.7</v>
      </c>
      <c r="AZ313" s="69">
        <f>AY313</f>
        <v>279958.7</v>
      </c>
      <c r="BA313" s="72">
        <v>279958.7</v>
      </c>
      <c r="BB313" s="72">
        <v>887655.4</v>
      </c>
      <c r="BC313" s="72">
        <v>887655.4</v>
      </c>
      <c r="BD313" s="69">
        <v>607655.4</v>
      </c>
      <c r="BE313" s="69">
        <v>607655.4</v>
      </c>
      <c r="BF313" s="69">
        <v>607655.4</v>
      </c>
      <c r="BG313" s="69">
        <v>1245155.3999999999</v>
      </c>
      <c r="BH313" s="69">
        <v>1245155.3999999999</v>
      </c>
      <c r="BI313" s="69">
        <v>1245155.3999999999</v>
      </c>
      <c r="BJ313" s="69">
        <v>1245155.3999999999</v>
      </c>
      <c r="BK313" s="100"/>
      <c r="BL313" s="69">
        <v>1045155.4</v>
      </c>
      <c r="BM313" s="69">
        <v>1045155.4</v>
      </c>
      <c r="BN313" s="69">
        <v>345940.4</v>
      </c>
      <c r="BO313" s="69">
        <v>345940.4</v>
      </c>
      <c r="BP313" s="69">
        <v>345940.4</v>
      </c>
      <c r="BQ313" s="69">
        <v>345940.4</v>
      </c>
      <c r="BR313" s="69">
        <v>95940.4</v>
      </c>
      <c r="BS313" s="69">
        <v>95940.4</v>
      </c>
      <c r="BT313" s="69">
        <v>95940.4</v>
      </c>
      <c r="BU313" s="72">
        <f t="shared" si="841"/>
        <v>95940.4</v>
      </c>
      <c r="BV313" s="72">
        <f>BU313-94500</f>
        <v>1440.3999999999942</v>
      </c>
      <c r="BW313" s="72">
        <f t="shared" si="841"/>
        <v>1440.3999999999942</v>
      </c>
      <c r="BX313" s="100"/>
      <c r="BY313" s="69">
        <v>1440.4</v>
      </c>
      <c r="BZ313" s="69">
        <f>BY313+64902.85</f>
        <v>66343.25</v>
      </c>
      <c r="CA313" s="69">
        <v>106343.25</v>
      </c>
      <c r="CB313" s="69">
        <v>106343.25</v>
      </c>
      <c r="CC313" s="69">
        <v>106343.25</v>
      </c>
      <c r="CD313" s="69">
        <v>106343.25</v>
      </c>
      <c r="CE313" s="1">
        <v>106343.25</v>
      </c>
      <c r="CK313" s="111"/>
      <c r="CL313" s="130"/>
      <c r="CX313" s="306"/>
      <c r="CY313" s="130"/>
      <c r="DL313" s="130"/>
    </row>
    <row r="314" spans="2:116">
      <c r="B314" s="1" t="s">
        <v>439</v>
      </c>
      <c r="C314" s="4"/>
      <c r="D314" s="4"/>
      <c r="E314" s="4"/>
      <c r="F314" s="4"/>
      <c r="G314" s="4"/>
      <c r="H314" s="4"/>
      <c r="I314" s="4"/>
      <c r="J314" s="4"/>
      <c r="K314" s="4"/>
      <c r="L314" s="4"/>
      <c r="M314" s="139"/>
      <c r="N314" s="139"/>
      <c r="O314" s="39"/>
      <c r="P314" s="75"/>
      <c r="Q314" s="75"/>
      <c r="R314" s="75"/>
      <c r="S314" s="75"/>
      <c r="T314" s="75"/>
      <c r="U314" s="75"/>
      <c r="V314" s="75"/>
      <c r="W314" s="75"/>
      <c r="X314" s="75"/>
      <c r="Y314" s="75"/>
      <c r="Z314" s="75"/>
      <c r="AA314" s="75"/>
      <c r="AB314" s="114"/>
      <c r="AC314" s="129"/>
      <c r="AD314" s="75"/>
      <c r="AE314" s="75"/>
      <c r="AF314" s="75"/>
      <c r="AG314" s="75"/>
      <c r="AH314" s="75"/>
      <c r="AI314" s="75"/>
      <c r="AJ314" s="75"/>
      <c r="AK314" s="100"/>
      <c r="AL314" s="75"/>
      <c r="AM314" s="75"/>
      <c r="AN314" s="75"/>
      <c r="AO314" s="75"/>
      <c r="AP314" s="75"/>
      <c r="AQ314" s="98"/>
      <c r="AR314" s="98"/>
      <c r="AS314" s="98"/>
      <c r="AT314" s="98"/>
      <c r="AU314" s="69"/>
      <c r="AV314" s="69"/>
      <c r="AW314" s="69"/>
      <c r="AX314" s="100"/>
      <c r="AY314" s="69"/>
      <c r="AZ314" s="69"/>
      <c r="BA314" s="72"/>
      <c r="BB314" s="72"/>
      <c r="BC314" s="72"/>
      <c r="BD314" s="69"/>
      <c r="BE314" s="69"/>
      <c r="BF314" s="69"/>
      <c r="BG314" s="69"/>
      <c r="BH314" s="69"/>
      <c r="BI314" s="69"/>
      <c r="BJ314" s="69"/>
      <c r="BK314" s="83"/>
      <c r="BL314" s="69"/>
      <c r="BM314" s="69"/>
      <c r="BN314" s="69"/>
      <c r="BO314" s="69"/>
      <c r="BP314" s="69"/>
      <c r="BQ314" s="69"/>
      <c r="BR314" s="69"/>
      <c r="BS314" s="69"/>
      <c r="BT314" s="69"/>
      <c r="BU314" s="72"/>
      <c r="BV314" s="72"/>
      <c r="BW314" s="72"/>
      <c r="BX314" s="100"/>
      <c r="BY314" s="69">
        <v>0</v>
      </c>
      <c r="BZ314" s="69">
        <v>35000</v>
      </c>
      <c r="CA314" s="69">
        <v>33524.910000000003</v>
      </c>
      <c r="CB314" s="69">
        <v>32523.58</v>
      </c>
      <c r="CC314" s="69">
        <v>31206.84</v>
      </c>
      <c r="CD314" s="69">
        <v>30213.72</v>
      </c>
      <c r="CE314" s="1">
        <v>243.4</v>
      </c>
      <c r="CK314" s="130"/>
      <c r="CL314" s="130"/>
      <c r="CX314" s="328"/>
      <c r="CY314" s="130"/>
      <c r="DL314" s="130"/>
    </row>
    <row r="315" spans="2:116" s="8" customFormat="1">
      <c r="B315" s="141" t="s">
        <v>243</v>
      </c>
      <c r="C315" s="142">
        <f t="shared" ref="C315:N315" si="843">SUM(C129:C131)</f>
        <v>15824.42</v>
      </c>
      <c r="D315" s="142">
        <f t="shared" si="843"/>
        <v>8686.43</v>
      </c>
      <c r="E315" s="142">
        <f t="shared" si="843"/>
        <v>16785</v>
      </c>
      <c r="F315" s="142">
        <f t="shared" si="843"/>
        <v>22049.7</v>
      </c>
      <c r="G315" s="142">
        <f t="shared" si="843"/>
        <v>25531.850000000002</v>
      </c>
      <c r="H315" s="142">
        <f t="shared" si="843"/>
        <v>28384.000000000004</v>
      </c>
      <c r="I315" s="142">
        <f t="shared" si="843"/>
        <v>30711.15</v>
      </c>
      <c r="J315" s="142">
        <f t="shared" si="843"/>
        <v>36853.300000000003</v>
      </c>
      <c r="K315" s="142">
        <f t="shared" si="843"/>
        <v>35995.450000000004</v>
      </c>
      <c r="L315" s="142">
        <f t="shared" si="843"/>
        <v>35137.600000000006</v>
      </c>
      <c r="M315" s="143">
        <f t="shared" si="843"/>
        <v>18161.530000000006</v>
      </c>
      <c r="N315" s="143">
        <f t="shared" si="843"/>
        <v>5053.1800000000057</v>
      </c>
      <c r="O315" s="144"/>
      <c r="P315" s="145">
        <f t="shared" ref="P315:AA315" si="844">SUM(P304:P313)</f>
        <v>54339.080000000009</v>
      </c>
      <c r="Q315" s="145">
        <f t="shared" si="844"/>
        <v>69759.900000000023</v>
      </c>
      <c r="R315" s="145">
        <f t="shared" si="844"/>
        <v>63654.830000000024</v>
      </c>
      <c r="S315" s="145">
        <f t="shared" si="844"/>
        <v>64157.290000000015</v>
      </c>
      <c r="T315" s="145">
        <f t="shared" si="844"/>
        <v>64765.440000000017</v>
      </c>
      <c r="U315" s="145">
        <f t="shared" si="844"/>
        <v>58715.510000000017</v>
      </c>
      <c r="V315" s="145">
        <f t="shared" si="844"/>
        <v>86660.010000000024</v>
      </c>
      <c r="W315" s="145">
        <f t="shared" si="844"/>
        <v>94300.420000000013</v>
      </c>
      <c r="X315" s="145">
        <f t="shared" si="844"/>
        <v>104082.03930000002</v>
      </c>
      <c r="Y315" s="145">
        <f t="shared" si="844"/>
        <v>114594.3686</v>
      </c>
      <c r="Z315" s="145">
        <f t="shared" si="844"/>
        <v>106893.26789999998</v>
      </c>
      <c r="AA315" s="145">
        <f t="shared" si="844"/>
        <v>91496.36</v>
      </c>
      <c r="AB315" s="340"/>
      <c r="AC315" s="346">
        <f t="shared" ref="AC315:AJ315" si="845">SUM(AC304:AC313)</f>
        <v>105766.46</v>
      </c>
      <c r="AD315" s="145">
        <f t="shared" si="845"/>
        <v>117096.45</v>
      </c>
      <c r="AE315" s="145">
        <f t="shared" si="845"/>
        <v>137871.13</v>
      </c>
      <c r="AF315" s="145">
        <f t="shared" si="845"/>
        <v>230572.40485482535</v>
      </c>
      <c r="AG315" s="145">
        <f t="shared" si="845"/>
        <v>284638.51467609429</v>
      </c>
      <c r="AH315" s="145">
        <f t="shared" si="845"/>
        <v>308224.74520482309</v>
      </c>
      <c r="AI315" s="145">
        <f t="shared" si="845"/>
        <v>315289.82130708185</v>
      </c>
      <c r="AJ315" s="145">
        <f t="shared" si="845"/>
        <v>279294.73130708188</v>
      </c>
      <c r="AK315" s="146">
        <f>SUM(AK302:AK313)</f>
        <v>0</v>
      </c>
      <c r="AL315" s="145">
        <f t="shared" ref="AL315:AU315" si="846">SUM(AL304:AL313)</f>
        <v>179112.1059061148</v>
      </c>
      <c r="AM315" s="145">
        <f t="shared" si="846"/>
        <v>292508.26971707144</v>
      </c>
      <c r="AN315" s="145">
        <f t="shared" si="846"/>
        <v>257569.59971707145</v>
      </c>
      <c r="AO315" s="145">
        <f t="shared" si="846"/>
        <v>371820.50971707143</v>
      </c>
      <c r="AP315" s="145">
        <f t="shared" si="846"/>
        <v>442971.96211491211</v>
      </c>
      <c r="AQ315" s="145">
        <f t="shared" si="846"/>
        <v>416227.5375134655</v>
      </c>
      <c r="AR315" s="145">
        <f t="shared" si="846"/>
        <v>501178.18672496662</v>
      </c>
      <c r="AS315" s="145">
        <f t="shared" si="846"/>
        <v>480267.3534246927</v>
      </c>
      <c r="AT315" s="145">
        <f t="shared" si="846"/>
        <v>509171.74274907226</v>
      </c>
      <c r="AU315" s="145">
        <f t="shared" si="846"/>
        <v>450678.31167549372</v>
      </c>
      <c r="AV315" s="145">
        <f>SUM(AV303:AV313)</f>
        <v>197419.34102518758</v>
      </c>
      <c r="AW315" s="145">
        <f>SUM(AW303:AW313)</f>
        <v>143880.81238859115</v>
      </c>
      <c r="AX315" s="147"/>
      <c r="AY315" s="145">
        <f t="shared" ref="AY315:BJ315" si="847">SUM(AY303:AY313)</f>
        <v>323881.70589440444</v>
      </c>
      <c r="AZ315" s="145">
        <f t="shared" si="847"/>
        <v>379159.29963882221</v>
      </c>
      <c r="BA315" s="145">
        <f t="shared" si="847"/>
        <v>393313.14</v>
      </c>
      <c r="BB315" s="145">
        <f t="shared" si="847"/>
        <v>1044898.21</v>
      </c>
      <c r="BC315" s="145">
        <f t="shared" si="847"/>
        <v>964826.57000000007</v>
      </c>
      <c r="BD315" s="145">
        <f t="shared" si="847"/>
        <v>942868.7</v>
      </c>
      <c r="BE315" s="145">
        <f t="shared" si="847"/>
        <v>958563.2</v>
      </c>
      <c r="BF315" s="145">
        <f t="shared" si="847"/>
        <v>905136.59000000008</v>
      </c>
      <c r="BG315" s="145">
        <f t="shared" si="847"/>
        <v>1449862.72</v>
      </c>
      <c r="BH315" s="145">
        <f t="shared" si="847"/>
        <v>1770894.13</v>
      </c>
      <c r="BI315" s="145">
        <f t="shared" si="847"/>
        <v>1752653.18</v>
      </c>
      <c r="BJ315" s="145">
        <f t="shared" si="847"/>
        <v>1465375.43</v>
      </c>
      <c r="BK315" s="148"/>
      <c r="BL315" s="145">
        <f t="shared" ref="BL315:BW315" si="848">SUM(BL303:BL313)</f>
        <v>1428814.47</v>
      </c>
      <c r="BM315" s="145">
        <f t="shared" si="848"/>
        <v>1257513.3</v>
      </c>
      <c r="BN315" s="145">
        <f t="shared" si="848"/>
        <v>553464.85000000009</v>
      </c>
      <c r="BO315" s="145">
        <f t="shared" si="848"/>
        <v>432040.96000000002</v>
      </c>
      <c r="BP315" s="145">
        <f t="shared" si="848"/>
        <v>389570.25</v>
      </c>
      <c r="BQ315" s="145">
        <f t="shared" si="848"/>
        <v>416336.36000000004</v>
      </c>
      <c r="BR315" s="145">
        <f t="shared" si="848"/>
        <v>174542.05</v>
      </c>
      <c r="BS315" s="145">
        <f t="shared" si="848"/>
        <v>206021.65</v>
      </c>
      <c r="BT315" s="145">
        <f t="shared" si="848"/>
        <v>112326.04999999999</v>
      </c>
      <c r="BU315" s="145">
        <f t="shared" si="848"/>
        <v>87512.56</v>
      </c>
      <c r="BV315" s="145">
        <f t="shared" si="848"/>
        <v>31090.759999999991</v>
      </c>
      <c r="BW315" s="145">
        <f t="shared" si="848"/>
        <v>65108.199999999983</v>
      </c>
      <c r="BX315" s="100"/>
      <c r="BY315" s="145">
        <f>SUM(BY303:BY314)</f>
        <v>78307.279999999984</v>
      </c>
      <c r="BZ315" s="145">
        <f>SUM(BZ303:BZ314)</f>
        <v>173524.56</v>
      </c>
      <c r="CA315" s="145">
        <f>SUM(CA303:CA314)</f>
        <v>145879.18</v>
      </c>
      <c r="CB315" s="145">
        <f>SUM(CB303:CB314)</f>
        <v>247455.72000000003</v>
      </c>
      <c r="CC315" s="145">
        <f>SUM(CC303:CC314)</f>
        <v>240150.55999999997</v>
      </c>
      <c r="CD315" s="145">
        <f t="shared" ref="CD315:CJ315" si="849">SUM(CD303:CD314)</f>
        <v>171901.88999999998</v>
      </c>
      <c r="CE315" s="145">
        <f t="shared" si="849"/>
        <v>158056.16999999998</v>
      </c>
      <c r="CF315" s="145">
        <f t="shared" si="849"/>
        <v>-16060.468148118554</v>
      </c>
      <c r="CG315" s="145">
        <f t="shared" si="849"/>
        <v>5294.3327976195214</v>
      </c>
      <c r="CH315" s="145">
        <f t="shared" si="849"/>
        <v>-21761.463486213754</v>
      </c>
      <c r="CI315" s="145">
        <f t="shared" si="849"/>
        <v>-9697.9311176844349</v>
      </c>
      <c r="CJ315" s="145">
        <f t="shared" si="849"/>
        <v>-32539.945062328865</v>
      </c>
      <c r="CK315" s="330"/>
      <c r="CL315" s="330"/>
      <c r="CM315" s="145"/>
      <c r="CN315" s="145"/>
      <c r="CO315" s="145"/>
      <c r="CP315" s="145"/>
      <c r="CQ315" s="145"/>
      <c r="CR315" s="145"/>
      <c r="CS315" s="145"/>
      <c r="CT315" s="145"/>
      <c r="CU315" s="145"/>
      <c r="CV315" s="145"/>
      <c r="CW315" s="145"/>
      <c r="CX315" s="145"/>
      <c r="CY315" s="330"/>
      <c r="DL315" s="330"/>
    </row>
    <row r="316" spans="2:116">
      <c r="B316" s="1" t="s">
        <v>244</v>
      </c>
      <c r="P316" s="134">
        <f t="shared" ref="P316:AA316" si="850">P315-P302</f>
        <v>0</v>
      </c>
      <c r="Q316" s="134">
        <f t="shared" si="850"/>
        <v>0</v>
      </c>
      <c r="R316" s="134">
        <f t="shared" si="850"/>
        <v>0</v>
      </c>
      <c r="S316" s="134">
        <f t="shared" si="850"/>
        <v>0</v>
      </c>
      <c r="T316" s="134">
        <f t="shared" si="850"/>
        <v>0</v>
      </c>
      <c r="U316" s="134">
        <f t="shared" si="850"/>
        <v>0</v>
      </c>
      <c r="V316" s="134">
        <f t="shared" si="850"/>
        <v>0</v>
      </c>
      <c r="W316" s="134">
        <f t="shared" si="850"/>
        <v>0</v>
      </c>
      <c r="X316" s="134">
        <f t="shared" si="850"/>
        <v>0</v>
      </c>
      <c r="Y316" s="134">
        <f t="shared" si="850"/>
        <v>0</v>
      </c>
      <c r="Z316" s="134">
        <f t="shared" si="850"/>
        <v>0</v>
      </c>
      <c r="AA316" s="134">
        <f t="shared" si="850"/>
        <v>2.8003211918985471E-3</v>
      </c>
      <c r="AB316" s="334"/>
      <c r="AC316" s="334">
        <f t="shared" ref="AC316:AJ316" si="851">AC315-AC302</f>
        <v>-3.1663454574299976E-3</v>
      </c>
      <c r="AD316" s="133">
        <f t="shared" si="851"/>
        <v>8.6698784434702247E-4</v>
      </c>
      <c r="AE316" s="133">
        <f t="shared" si="851"/>
        <v>4.9003211897797883E-3</v>
      </c>
      <c r="AF316" s="133">
        <f t="shared" si="851"/>
        <v>6.003212183713913E-4</v>
      </c>
      <c r="AG316" s="133">
        <f t="shared" si="851"/>
        <v>3.1003212206996977E-3</v>
      </c>
      <c r="AH316" s="133">
        <f t="shared" si="851"/>
        <v>3.8003211957402527E-3</v>
      </c>
      <c r="AI316" s="133">
        <f t="shared" si="851"/>
        <v>4.5003211125731468E-3</v>
      </c>
      <c r="AJ316" s="133">
        <f t="shared" si="851"/>
        <v>2.8003211482428014E-3</v>
      </c>
      <c r="AK316" s="133">
        <f>+AK315/W315</f>
        <v>0</v>
      </c>
      <c r="AL316" s="133">
        <f t="shared" ref="AL316:AW316" si="852">AL315-AL302</f>
        <v>-9.6584134735167027E-4</v>
      </c>
      <c r="AM316" s="133">
        <f t="shared" si="852"/>
        <v>-2.6584131410345435E-4</v>
      </c>
      <c r="AN316" s="133">
        <f t="shared" si="852"/>
        <v>4.3415866093710065E-4</v>
      </c>
      <c r="AO316" s="133">
        <f t="shared" si="852"/>
        <v>4.9177522305399179E-4</v>
      </c>
      <c r="AP316" s="133">
        <f t="shared" si="852"/>
        <v>-6.375687662512064E-4</v>
      </c>
      <c r="AQ316" s="133">
        <f t="shared" si="852"/>
        <v>-3.4901088802143931E-3</v>
      </c>
      <c r="AR316" s="133">
        <f t="shared" si="852"/>
        <v>1.5098911244422197E-3</v>
      </c>
      <c r="AS316" s="133">
        <f t="shared" si="852"/>
        <v>-2.1620328188873827E-3</v>
      </c>
      <c r="AT316" s="133">
        <f t="shared" si="852"/>
        <v>-4.2739816708490252E-3</v>
      </c>
      <c r="AU316" s="133">
        <f t="shared" si="852"/>
        <v>-8.2465342711657286E-4</v>
      </c>
      <c r="AV316" s="133">
        <f t="shared" si="852"/>
        <v>-4.5380046649370342E-3</v>
      </c>
      <c r="AW316" s="133">
        <f t="shared" si="852"/>
        <v>-1.6568185237701982E-3</v>
      </c>
      <c r="AX316" s="83"/>
      <c r="AY316" s="133">
        <f t="shared" ref="AY316:BJ316" si="853">AY315-AY302</f>
        <v>2.1285447292029858E-3</v>
      </c>
      <c r="AZ316" s="133">
        <f t="shared" si="853"/>
        <v>-9.8968588281422853E-4</v>
      </c>
      <c r="BA316" s="133">
        <f t="shared" si="853"/>
        <v>-1.5616423916071653E-3</v>
      </c>
      <c r="BB316" s="133">
        <f t="shared" si="853"/>
        <v>-3.5244901664555073E-3</v>
      </c>
      <c r="BC316" s="133">
        <f t="shared" si="853"/>
        <v>-2.8571066213771701E-3</v>
      </c>
      <c r="BD316" s="133">
        <f t="shared" si="853"/>
        <v>-2.2804951295256615E-3</v>
      </c>
      <c r="BE316" s="133">
        <f t="shared" si="853"/>
        <v>-2.3308972595259547E-3</v>
      </c>
      <c r="BF316" s="133">
        <f t="shared" si="853"/>
        <v>-1.7480156384408474E-3</v>
      </c>
      <c r="BG316" s="133">
        <f t="shared" si="853"/>
        <v>-4.3223588727414608E-3</v>
      </c>
      <c r="BH316" s="133">
        <f t="shared" si="853"/>
        <v>3.2571307383477688E-4</v>
      </c>
      <c r="BI316" s="133">
        <f t="shared" si="853"/>
        <v>4.6933596022427082E-3</v>
      </c>
      <c r="BJ316" s="133">
        <f t="shared" si="853"/>
        <v>-1.9843867048621178E-3</v>
      </c>
      <c r="BK316" s="83"/>
      <c r="BL316" s="133">
        <f t="shared" ref="BL316:BW316" si="854">BL315-BL302</f>
        <v>-6.0343542136251926E-3</v>
      </c>
      <c r="BM316" s="133">
        <f t="shared" si="854"/>
        <v>-3.2340262550860643E-3</v>
      </c>
      <c r="BN316" s="133">
        <f t="shared" si="854"/>
        <v>-4.8556622350588441E-3</v>
      </c>
      <c r="BO316" s="133">
        <f t="shared" si="854"/>
        <v>1.3826563372276723E-3</v>
      </c>
      <c r="BP316" s="133">
        <f t="shared" si="854"/>
        <v>7.2435021866112947E-4</v>
      </c>
      <c r="BQ316" s="133">
        <f t="shared" si="854"/>
        <v>-2.8901637415401638E-3</v>
      </c>
      <c r="BR316" s="133">
        <f t="shared" si="854"/>
        <v>-6.8816817365586758E-3</v>
      </c>
      <c r="BS316" s="133">
        <f t="shared" si="854"/>
        <v>-6.8276267847977579E-4</v>
      </c>
      <c r="BT316" s="133">
        <f t="shared" si="854"/>
        <v>-5.8577629242790863E-3</v>
      </c>
      <c r="BU316" s="133">
        <f t="shared" si="854"/>
        <v>-7.2555203514639288E-3</v>
      </c>
      <c r="BV316" s="133">
        <f t="shared" si="854"/>
        <v>-6.1236968067532871E-3</v>
      </c>
      <c r="BW316" s="133">
        <f t="shared" si="854"/>
        <v>-9.4669668033020571E-4</v>
      </c>
      <c r="BX316" s="100"/>
      <c r="BY316" s="133">
        <f>BY315-BY302</f>
        <v>3.4145764948334545E-4</v>
      </c>
      <c r="BZ316" s="133">
        <f>BZ315-BZ302</f>
        <v>-2.3540820984635502E-3</v>
      </c>
      <c r="CA316" s="133">
        <f t="shared" ref="CA316:CJ316" si="855">CA315-CA302</f>
        <v>3.2996616209857166E-4</v>
      </c>
      <c r="CB316" s="133">
        <f t="shared" si="855"/>
        <v>-4.6200336946640164E-3</v>
      </c>
      <c r="CC316" s="133">
        <f t="shared" si="855"/>
        <v>-2.5419968296773732E-3</v>
      </c>
      <c r="CD316" s="133">
        <f t="shared" si="855"/>
        <v>-1.0820608586072922E-3</v>
      </c>
      <c r="CE316" s="133">
        <f t="shared" si="855"/>
        <v>3644.7488379007846</v>
      </c>
      <c r="CF316" s="133">
        <f t="shared" si="855"/>
        <v>-76002.571162099543</v>
      </c>
      <c r="CG316" s="133">
        <f t="shared" si="855"/>
        <v>-76002.571162099572</v>
      </c>
      <c r="CH316" s="133">
        <f t="shared" si="855"/>
        <v>-76002.571162099397</v>
      </c>
      <c r="CI316" s="133">
        <f t="shared" si="855"/>
        <v>-76002.571162099892</v>
      </c>
      <c r="CJ316" s="133">
        <f t="shared" si="855"/>
        <v>-76002.571162100066</v>
      </c>
      <c r="CK316" s="130"/>
      <c r="CL316" s="130"/>
      <c r="CM316" s="133"/>
      <c r="CN316" s="133"/>
      <c r="CO316" s="133"/>
      <c r="CP316" s="133"/>
      <c r="CQ316" s="133"/>
      <c r="CR316" s="133"/>
      <c r="CS316" s="133"/>
      <c r="CT316" s="133"/>
      <c r="CU316" s="133"/>
      <c r="CV316" s="133"/>
      <c r="CW316" s="133"/>
      <c r="CX316" s="133"/>
      <c r="CY316" s="130"/>
      <c r="DL316" s="130"/>
    </row>
    <row r="317" spans="2:116">
      <c r="P317" s="83"/>
      <c r="Q317" s="83"/>
      <c r="R317" s="83"/>
      <c r="S317" s="83"/>
      <c r="T317" s="83"/>
      <c r="U317" s="83"/>
      <c r="V317" s="83"/>
      <c r="W317" s="83"/>
      <c r="X317" s="83"/>
      <c r="Y317" s="83"/>
      <c r="Z317" s="83"/>
      <c r="AA317" s="83"/>
      <c r="AB317" s="114"/>
      <c r="AC317" s="114"/>
      <c r="AD317" s="83"/>
      <c r="AE317" s="83"/>
      <c r="AF317" s="83"/>
      <c r="AG317" s="83"/>
      <c r="AH317" s="83"/>
      <c r="AI317" s="83"/>
      <c r="AJ317" s="83"/>
      <c r="AK317" s="83">
        <f>+AK315-W315</f>
        <v>-94300.420000000013</v>
      </c>
      <c r="AL317" s="83"/>
      <c r="AM317" s="83"/>
      <c r="AN317" s="83"/>
      <c r="AO317" s="83"/>
      <c r="AP317" s="83"/>
      <c r="AQ317" s="83"/>
      <c r="AR317" s="83"/>
      <c r="AS317" s="83"/>
      <c r="AT317" s="83"/>
      <c r="AU317" s="83"/>
      <c r="AV317" s="83"/>
      <c r="AW317" s="83"/>
      <c r="AX317" s="83"/>
      <c r="AY317" s="83"/>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CK317" s="130"/>
      <c r="CL317" s="83"/>
      <c r="CY317" s="130"/>
      <c r="DL317" s="130"/>
    </row>
    <row r="318" spans="2:116">
      <c r="P318" s="83"/>
      <c r="Q318" s="83"/>
      <c r="R318" s="83"/>
      <c r="S318" s="83"/>
      <c r="T318" s="83"/>
      <c r="U318" s="83"/>
      <c r="V318" s="83"/>
      <c r="W318" s="83"/>
      <c r="X318" s="83"/>
      <c r="Y318" s="83"/>
      <c r="Z318" s="83"/>
      <c r="AA318" s="83"/>
      <c r="AB318" s="114"/>
      <c r="AC318" s="114"/>
      <c r="AD318" s="83"/>
      <c r="AE318" s="83"/>
      <c r="AF318" s="92"/>
      <c r="AG318" s="92"/>
      <c r="AH318" s="92"/>
      <c r="AI318" s="92"/>
      <c r="AJ318" s="92"/>
      <c r="AK318" s="83"/>
      <c r="AL318" s="92"/>
      <c r="AM318" s="92"/>
      <c r="AN318" s="92"/>
      <c r="AO318" s="92"/>
      <c r="AP318" s="92"/>
      <c r="AQ318" s="92"/>
      <c r="AR318" s="92"/>
      <c r="AS318" s="92"/>
      <c r="AT318" s="92"/>
      <c r="AU318" s="92"/>
      <c r="AV318" s="92"/>
      <c r="AW318" s="92"/>
      <c r="AX318" s="83"/>
      <c r="AY318" s="83"/>
      <c r="AZ318" s="83"/>
      <c r="BA318" s="83"/>
      <c r="BB318" s="109"/>
      <c r="BC318" s="109"/>
      <c r="BD318" s="109"/>
      <c r="BE318" s="109"/>
      <c r="BF318" s="109"/>
      <c r="BG318" s="109"/>
      <c r="BH318" s="109"/>
      <c r="BI318" s="109"/>
      <c r="BJ318" s="109"/>
      <c r="BK318" s="83"/>
      <c r="BL318" s="83"/>
      <c r="BM318" s="83"/>
      <c r="BN318" s="83"/>
      <c r="BO318" s="83"/>
      <c r="BP318" s="83"/>
      <c r="BQ318" s="83"/>
      <c r="BR318" s="83"/>
      <c r="BS318" s="83"/>
      <c r="BT318" s="83"/>
      <c r="BU318" s="83"/>
      <c r="BV318" s="83"/>
      <c r="BW318" s="83"/>
      <c r="BX318" s="83"/>
      <c r="CK318" s="130"/>
      <c r="CL318" s="83"/>
      <c r="CY318" s="130"/>
      <c r="DL318" s="130"/>
    </row>
    <row r="319" spans="2:116">
      <c r="B319" s="1" t="s">
        <v>452</v>
      </c>
      <c r="P319" s="83"/>
      <c r="Q319" s="83"/>
      <c r="R319" s="83"/>
      <c r="S319" s="83"/>
      <c r="T319" s="83"/>
      <c r="U319" s="83"/>
      <c r="V319" s="83"/>
      <c r="W319" s="83"/>
      <c r="X319" s="83"/>
      <c r="Y319" s="83"/>
      <c r="Z319" s="83"/>
      <c r="AA319" s="83"/>
      <c r="AB319" s="114"/>
      <c r="AC319" s="114"/>
      <c r="AD319" s="83"/>
      <c r="AE319" s="83"/>
      <c r="AF319" s="92"/>
      <c r="AG319" s="92"/>
      <c r="AH319" s="92"/>
      <c r="AI319" s="92"/>
      <c r="AJ319" s="92"/>
      <c r="AK319" s="83"/>
      <c r="AL319" s="83">
        <v>100000</v>
      </c>
      <c r="AM319" s="83">
        <v>100000</v>
      </c>
      <c r="AN319" s="83">
        <v>100000</v>
      </c>
      <c r="AO319" s="83">
        <v>100000</v>
      </c>
      <c r="AP319" s="83">
        <v>100000</v>
      </c>
      <c r="AQ319" s="83">
        <v>100000</v>
      </c>
      <c r="AR319" s="83">
        <v>100000</v>
      </c>
      <c r="AS319" s="83"/>
      <c r="AT319" s="83"/>
      <c r="AU319" s="83"/>
      <c r="AV319" s="83"/>
      <c r="AW319" s="83"/>
      <c r="AX319" s="83"/>
      <c r="AY319" s="83"/>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Z319" s="83">
        <v>100000</v>
      </c>
      <c r="CK319" s="130"/>
      <c r="CL319" s="83"/>
      <c r="CY319" s="130"/>
      <c r="DL319" s="130"/>
    </row>
    <row r="320" spans="2:116">
      <c r="B320" s="1" t="s">
        <v>245</v>
      </c>
      <c r="P320" s="83"/>
      <c r="Q320" s="83"/>
      <c r="R320" s="83"/>
      <c r="S320" s="83"/>
      <c r="T320" s="83"/>
      <c r="U320" s="83"/>
      <c r="V320" s="83"/>
      <c r="W320" s="83"/>
      <c r="X320" s="83"/>
      <c r="Y320" s="83"/>
      <c r="Z320" s="83"/>
      <c r="AA320" s="83"/>
      <c r="AB320" s="114"/>
      <c r="AC320" s="114"/>
      <c r="AD320" s="83"/>
      <c r="AE320" s="83"/>
      <c r="AF320" s="83"/>
      <c r="AG320" s="83"/>
      <c r="AH320" s="83"/>
      <c r="AI320" s="83"/>
      <c r="AJ320" s="83"/>
      <c r="AK320" s="83"/>
      <c r="AL320" s="83">
        <f t="shared" ref="AL320:AW320" si="856">AL302+AL319</f>
        <v>279112.10687195614</v>
      </c>
      <c r="AM320" s="83">
        <f t="shared" si="856"/>
        <v>392508.26998291275</v>
      </c>
      <c r="AN320" s="83">
        <f t="shared" si="856"/>
        <v>357569.59928291279</v>
      </c>
      <c r="AO320" s="83">
        <f t="shared" si="856"/>
        <v>471820.50922529621</v>
      </c>
      <c r="AP320" s="83">
        <f t="shared" si="856"/>
        <v>542971.96275248087</v>
      </c>
      <c r="AQ320" s="83">
        <f t="shared" si="856"/>
        <v>516227.54100357438</v>
      </c>
      <c r="AR320" s="83">
        <f t="shared" si="856"/>
        <v>601178.1852150755</v>
      </c>
      <c r="AS320" s="83">
        <f t="shared" si="856"/>
        <v>480267.35558672552</v>
      </c>
      <c r="AT320" s="83">
        <f t="shared" si="856"/>
        <v>509171.74702305393</v>
      </c>
      <c r="AU320" s="83">
        <f t="shared" si="856"/>
        <v>450678.31250014715</v>
      </c>
      <c r="AV320" s="83">
        <f t="shared" si="856"/>
        <v>197419.34556319224</v>
      </c>
      <c r="AW320" s="83">
        <f t="shared" si="856"/>
        <v>143880.81404540967</v>
      </c>
      <c r="AX320" s="83"/>
      <c r="AY320" s="83">
        <f t="shared" ref="AY320:BJ320" si="857">AY302+AY319</f>
        <v>323881.70376585971</v>
      </c>
      <c r="AZ320" s="83">
        <f t="shared" si="857"/>
        <v>379159.30062850809</v>
      </c>
      <c r="BA320" s="83">
        <f t="shared" si="857"/>
        <v>393313.14156164241</v>
      </c>
      <c r="BB320" s="83">
        <f t="shared" si="857"/>
        <v>1044898.2135244901</v>
      </c>
      <c r="BC320" s="83">
        <f t="shared" si="857"/>
        <v>964826.57285710669</v>
      </c>
      <c r="BD320" s="83">
        <f t="shared" si="857"/>
        <v>942868.70228049508</v>
      </c>
      <c r="BE320" s="83">
        <f t="shared" si="857"/>
        <v>958563.20233089721</v>
      </c>
      <c r="BF320" s="83">
        <f t="shared" si="857"/>
        <v>905136.59174801572</v>
      </c>
      <c r="BG320" s="83">
        <f t="shared" si="857"/>
        <v>1449862.7243223588</v>
      </c>
      <c r="BH320" s="83">
        <f t="shared" si="857"/>
        <v>1770894.1296742868</v>
      </c>
      <c r="BI320" s="83">
        <f t="shared" si="857"/>
        <v>1752653.1753066403</v>
      </c>
      <c r="BJ320" s="83">
        <f t="shared" si="857"/>
        <v>1465375.4319843866</v>
      </c>
      <c r="BK320" s="83"/>
      <c r="BL320" s="83">
        <f t="shared" ref="BL320:BW320" si="858">BL302+BL319</f>
        <v>1428814.4760343542</v>
      </c>
      <c r="BM320" s="83">
        <f t="shared" si="858"/>
        <v>1257513.3032340263</v>
      </c>
      <c r="BN320" s="83">
        <f t="shared" si="858"/>
        <v>553464.85485566233</v>
      </c>
      <c r="BO320" s="83">
        <f t="shared" si="858"/>
        <v>432040.95861734368</v>
      </c>
      <c r="BP320" s="83">
        <f t="shared" si="858"/>
        <v>389570.24927564978</v>
      </c>
      <c r="BQ320" s="83">
        <f t="shared" si="858"/>
        <v>416336.36289016379</v>
      </c>
      <c r="BR320" s="83">
        <f t="shared" si="858"/>
        <v>174542.05688168172</v>
      </c>
      <c r="BS320" s="83">
        <f t="shared" si="858"/>
        <v>206021.65068276267</v>
      </c>
      <c r="BT320" s="83">
        <f t="shared" si="858"/>
        <v>112326.05585776291</v>
      </c>
      <c r="BU320" s="83">
        <f t="shared" si="858"/>
        <v>87512.567255520349</v>
      </c>
      <c r="BV320" s="83">
        <f t="shared" si="858"/>
        <v>31090.766123696798</v>
      </c>
      <c r="BW320" s="83">
        <f t="shared" si="858"/>
        <v>65108.200946696663</v>
      </c>
      <c r="BX320" s="83"/>
      <c r="BZ320" s="83">
        <v>100000</v>
      </c>
      <c r="CK320" s="130"/>
      <c r="CL320" s="83"/>
      <c r="CY320" s="130"/>
      <c r="DL320" s="130"/>
    </row>
    <row r="321" spans="2:79">
      <c r="B321" s="152" t="s">
        <v>246</v>
      </c>
      <c r="P321" s="83"/>
      <c r="Q321" s="83"/>
      <c r="R321" s="83"/>
      <c r="S321" s="83"/>
      <c r="T321" s="83"/>
      <c r="U321" s="83"/>
      <c r="V321" s="83"/>
      <c r="W321" s="83"/>
      <c r="X321" s="83"/>
      <c r="Y321" s="83"/>
      <c r="Z321" s="83"/>
      <c r="AA321" s="83"/>
      <c r="AB321" s="114"/>
      <c r="AC321" s="114"/>
      <c r="AD321" s="83"/>
      <c r="AE321" s="83"/>
      <c r="AF321" s="83"/>
      <c r="AG321" s="83"/>
      <c r="AH321" s="83"/>
      <c r="AI321" s="83"/>
      <c r="AJ321" s="83"/>
      <c r="AK321" s="83"/>
      <c r="AL321" s="83"/>
      <c r="AM321" s="83"/>
      <c r="AN321" s="83"/>
      <c r="AO321" s="83"/>
      <c r="AP321" s="83"/>
      <c r="AQ321" s="83"/>
      <c r="AR321" s="83"/>
      <c r="AS321" s="83"/>
      <c r="AT321" s="83"/>
      <c r="AU321" s="83"/>
      <c r="AV321" s="83"/>
      <c r="AW321" s="83"/>
      <c r="AX321" s="83"/>
      <c r="AY321" s="83"/>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Z321" s="83">
        <f>BZ320+BZ302+BZ319</f>
        <v>373524.56235408213</v>
      </c>
    </row>
    <row r="322" spans="2:79">
      <c r="P322" s="83"/>
      <c r="Q322" s="83"/>
      <c r="R322" s="83"/>
      <c r="S322" s="83"/>
      <c r="T322" s="83"/>
      <c r="U322" s="83"/>
      <c r="V322" s="83"/>
      <c r="W322" s="83"/>
      <c r="X322" s="83"/>
      <c r="Y322" s="83"/>
      <c r="Z322" s="83"/>
      <c r="AA322" s="83"/>
      <c r="AB322" s="114"/>
      <c r="AC322" s="114"/>
      <c r="AD322" s="83"/>
      <c r="AE322" s="83"/>
      <c r="AF322" s="83"/>
      <c r="AG322" s="83"/>
      <c r="AH322" s="83"/>
      <c r="AI322" s="83"/>
      <c r="AJ322" s="83"/>
      <c r="AK322" s="83"/>
      <c r="AL322" s="83"/>
      <c r="AM322" s="83"/>
      <c r="AN322" s="83"/>
      <c r="AO322" s="83"/>
      <c r="AP322" s="83"/>
      <c r="AQ322" s="83"/>
      <c r="AR322" s="83"/>
      <c r="AS322" s="83"/>
      <c r="AT322" s="83"/>
      <c r="AU322" s="83"/>
      <c r="AV322" s="83"/>
      <c r="AW322" s="83"/>
      <c r="AX322" s="83"/>
      <c r="AY322" s="83"/>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row>
    <row r="323" spans="2:79">
      <c r="B323" s="2"/>
      <c r="AA323" s="1"/>
    </row>
    <row r="324" spans="2:79" ht="16.5">
      <c r="AA324" s="1"/>
      <c r="AL324" s="171"/>
      <c r="AM324" s="172"/>
      <c r="AN324" s="171"/>
      <c r="AO324" s="36"/>
      <c r="AT324" s="171" t="s">
        <v>247</v>
      </c>
      <c r="AU324" s="172"/>
      <c r="AV324" s="171" t="s">
        <v>248</v>
      </c>
      <c r="AW324" s="36"/>
    </row>
    <row r="325" spans="2:79" ht="16.5">
      <c r="AA325" s="1"/>
      <c r="AM325" s="135"/>
      <c r="AN325" s="36"/>
      <c r="AO325" s="36"/>
      <c r="AT325" s="1" t="s">
        <v>249</v>
      </c>
      <c r="AU325" s="135"/>
      <c r="AV325" s="36" t="s">
        <v>250</v>
      </c>
      <c r="AW325" s="36"/>
    </row>
    <row r="326" spans="2:79">
      <c r="AA326" s="1"/>
      <c r="AL326" s="173"/>
      <c r="AM326" s="173"/>
      <c r="AN326" s="173"/>
      <c r="AO326" s="36"/>
      <c r="AT326" s="173" t="s">
        <v>251</v>
      </c>
      <c r="AU326" s="173"/>
      <c r="AV326" s="173" t="s">
        <v>252</v>
      </c>
      <c r="AW326" s="36"/>
    </row>
    <row r="327" spans="2:79" ht="16.5">
      <c r="AA327" s="1"/>
      <c r="AL327" s="2"/>
      <c r="AM327" s="174"/>
      <c r="AN327" s="175"/>
      <c r="AO327" s="36"/>
      <c r="AT327" s="2" t="s">
        <v>253</v>
      </c>
      <c r="AU327" s="174"/>
      <c r="AV327" s="175" t="s">
        <v>254</v>
      </c>
      <c r="AW327" s="36"/>
    </row>
    <row r="328" spans="2:79">
      <c r="AA328" s="1"/>
      <c r="AT328" s="74" t="s">
        <v>255</v>
      </c>
      <c r="AU328" s="74"/>
      <c r="AV328" s="74" t="s">
        <v>256</v>
      </c>
      <c r="AW328" s="74"/>
      <c r="AX328" s="74"/>
      <c r="BZ328" s="1" t="s">
        <v>414</v>
      </c>
    </row>
    <row r="329" spans="2:79">
      <c r="AA329" s="1"/>
      <c r="AL329" s="83"/>
      <c r="AM329" s="83"/>
      <c r="AN329" s="83"/>
      <c r="AO329" s="83"/>
      <c r="AP329" s="83"/>
      <c r="AQ329" s="83"/>
      <c r="AT329" s="180" t="s">
        <v>257</v>
      </c>
      <c r="AU329" s="180"/>
      <c r="AV329" s="180" t="s">
        <v>258</v>
      </c>
      <c r="AW329" s="180"/>
      <c r="AX329" s="180"/>
      <c r="BZ329" s="1" t="s">
        <v>415</v>
      </c>
    </row>
    <row r="330" spans="2:79">
      <c r="AA330" s="1"/>
      <c r="AO330" s="36"/>
      <c r="AT330" s="176" t="s">
        <v>259</v>
      </c>
      <c r="AU330" s="176"/>
      <c r="AV330" s="176" t="s">
        <v>260</v>
      </c>
      <c r="AW330" s="177"/>
      <c r="AX330" s="176"/>
    </row>
    <row r="331" spans="2:79">
      <c r="AA331" s="1"/>
    </row>
    <row r="332" spans="2:79">
      <c r="AA332" s="1"/>
      <c r="BZ332" s="1" t="s">
        <v>416</v>
      </c>
    </row>
    <row r="333" spans="2:79">
      <c r="AA333" s="1"/>
      <c r="AI333" s="36"/>
    </row>
    <row r="334" spans="2:79">
      <c r="AA334" s="1"/>
      <c r="AI334" s="36"/>
    </row>
    <row r="335" spans="2:79">
      <c r="AA335" s="1"/>
      <c r="AI335" s="36"/>
    </row>
    <row r="336" spans="2:79">
      <c r="AA336" s="1"/>
      <c r="BZ336" s="1" t="s">
        <v>417</v>
      </c>
      <c r="CA336" s="83">
        <f>-18560+(3700*2+900*9+2200*3.5)*1.21+1334.03+852.38+1762.96+1766+851.24</f>
        <v>16078.609999999999</v>
      </c>
    </row>
    <row r="337" spans="27:27">
      <c r="AA337" s="1"/>
    </row>
    <row r="338" spans="27:27">
      <c r="AA338" s="1"/>
    </row>
    <row r="339" spans="27:27">
      <c r="AA339" s="1"/>
    </row>
    <row r="340" spans="27:27">
      <c r="AA340" s="1"/>
    </row>
    <row r="341" spans="27:27">
      <c r="AA341" s="1"/>
    </row>
    <row r="342" spans="27:27">
      <c r="AA342" s="1"/>
    </row>
    <row r="343" spans="27:27">
      <c r="AA343" s="1"/>
    </row>
    <row r="344" spans="27:27">
      <c r="AA344" s="1"/>
    </row>
    <row r="345" spans="27:27">
      <c r="AA345" s="1"/>
    </row>
    <row r="346" spans="27:27">
      <c r="AA346" s="1"/>
    </row>
    <row r="347" spans="27:27">
      <c r="AA347" s="1"/>
    </row>
    <row r="348" spans="27:27">
      <c r="AA348" s="1"/>
    </row>
    <row r="349" spans="27:27">
      <c r="AA349" s="1"/>
    </row>
    <row r="350" spans="27:27">
      <c r="AA350" s="1"/>
    </row>
    <row r="351" spans="27:27">
      <c r="AA351" s="1"/>
    </row>
    <row r="352" spans="27:27">
      <c r="AA352" s="1"/>
    </row>
    <row r="353" spans="27:27">
      <c r="AA353" s="1"/>
    </row>
    <row r="354" spans="27:27">
      <c r="AA354" s="1"/>
    </row>
    <row r="355" spans="27:27">
      <c r="AA355" s="1"/>
    </row>
    <row r="356" spans="27:27">
      <c r="AA356" s="1"/>
    </row>
    <row r="357" spans="27:27">
      <c r="AA357" s="1"/>
    </row>
  </sheetData>
  <mergeCells count="4">
    <mergeCell ref="C2:N2"/>
    <mergeCell ref="BY2:CJ2"/>
    <mergeCell ref="CM2:CX2"/>
    <mergeCell ref="CZ2:DK2"/>
  </mergeCells>
  <pageMargins left="0.7" right="0.7" top="0.75" bottom="0.75" header="0.3" footer="0.3"/>
  <pageSetup paperSize="9" scale="10"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Q320"/>
  <sheetViews>
    <sheetView zoomScale="90" zoomScaleNormal="90" workbookViewId="0">
      <pane xSplit="1" ySplit="3" topLeftCell="E165" activePane="bottomRight" state="frozen"/>
      <selection pane="topRight" activeCell="B1" sqref="B1"/>
      <selection pane="bottomLeft" activeCell="A4" sqref="A4"/>
      <selection pane="bottomRight" activeCell="G88" sqref="G88"/>
    </sheetView>
  </sheetViews>
  <sheetFormatPr baseColWidth="10" defaultColWidth="11.28515625" defaultRowHeight="15"/>
  <cols>
    <col min="1" max="1" width="37.28515625" style="1" customWidth="1"/>
    <col min="2" max="2" width="22" style="207" customWidth="1"/>
    <col min="3" max="3" width="22" style="283" customWidth="1"/>
    <col min="4" max="5" width="28.28515625" style="283" customWidth="1"/>
    <col min="6" max="6" width="21.28515625" style="283" customWidth="1"/>
    <col min="7" max="7" width="11.28515625" style="238"/>
  </cols>
  <sheetData>
    <row r="3" spans="1:6">
      <c r="A3" s="14" t="s">
        <v>125</v>
      </c>
      <c r="B3" s="250" t="s">
        <v>261</v>
      </c>
      <c r="C3" s="275" t="s">
        <v>340</v>
      </c>
      <c r="D3" s="275" t="s">
        <v>349</v>
      </c>
      <c r="E3" s="275" t="s">
        <v>362</v>
      </c>
      <c r="F3" s="275" t="s">
        <v>262</v>
      </c>
    </row>
    <row r="4" spans="1:6">
      <c r="A4" s="31" t="s">
        <v>139</v>
      </c>
      <c r="B4" s="251"/>
      <c r="C4" s="276"/>
      <c r="D4" s="276"/>
      <c r="E4" s="276"/>
      <c r="F4" s="276"/>
    </row>
    <row r="5" spans="1:6">
      <c r="A5" s="81" t="s">
        <v>140</v>
      </c>
      <c r="B5" s="81">
        <v>0</v>
      </c>
      <c r="C5" s="277"/>
      <c r="D5" s="277"/>
      <c r="E5" s="277"/>
      <c r="F5" s="277"/>
    </row>
    <row r="6" spans="1:6">
      <c r="A6" s="1" t="s">
        <v>141</v>
      </c>
      <c r="B6" s="83">
        <v>15000</v>
      </c>
      <c r="C6" s="100">
        <v>15000</v>
      </c>
      <c r="D6" s="100">
        <v>15000</v>
      </c>
      <c r="E6" s="100">
        <v>15000</v>
      </c>
      <c r="F6" s="100">
        <f>E6-D6</f>
        <v>0</v>
      </c>
    </row>
    <row r="7" spans="1:6">
      <c r="A7" s="1" t="s">
        <v>13</v>
      </c>
      <c r="B7" s="83">
        <v>40000</v>
      </c>
      <c r="C7" s="100">
        <v>50000</v>
      </c>
      <c r="D7" s="100">
        <v>40000</v>
      </c>
      <c r="E7" s="100">
        <v>40000</v>
      </c>
      <c r="F7" s="100">
        <f t="shared" ref="F7:F69" si="0">E7-D7</f>
        <v>0</v>
      </c>
    </row>
    <row r="8" spans="1:6">
      <c r="A8" s="1" t="s">
        <v>16</v>
      </c>
      <c r="B8" s="83">
        <v>39000</v>
      </c>
      <c r="C8" s="100">
        <v>39000</v>
      </c>
      <c r="D8" s="100">
        <v>15000</v>
      </c>
      <c r="E8" s="100">
        <v>15000</v>
      </c>
      <c r="F8" s="100">
        <f t="shared" si="0"/>
        <v>0</v>
      </c>
    </row>
    <row r="9" spans="1:6">
      <c r="A9" s="1" t="s">
        <v>21</v>
      </c>
      <c r="B9" s="83">
        <v>25000</v>
      </c>
      <c r="C9" s="100">
        <v>50000</v>
      </c>
      <c r="D9" s="100">
        <v>50000</v>
      </c>
      <c r="E9" s="100">
        <v>50000</v>
      </c>
      <c r="F9" s="100">
        <f>E9-D9</f>
        <v>0</v>
      </c>
    </row>
    <row r="10" spans="1:6">
      <c r="A10" s="1" t="s">
        <v>26</v>
      </c>
      <c r="B10" s="83">
        <v>9000</v>
      </c>
      <c r="C10" s="100">
        <v>9000</v>
      </c>
      <c r="D10" s="100">
        <v>12000</v>
      </c>
      <c r="E10" s="100">
        <v>12000</v>
      </c>
      <c r="F10" s="99">
        <f t="shared" si="0"/>
        <v>0</v>
      </c>
    </row>
    <row r="11" spans="1:6">
      <c r="A11" s="1" t="s">
        <v>40</v>
      </c>
      <c r="B11" s="83">
        <v>10000</v>
      </c>
      <c r="C11" s="100">
        <v>10000</v>
      </c>
      <c r="D11" s="100">
        <v>10000</v>
      </c>
      <c r="E11" s="100">
        <v>20500</v>
      </c>
      <c r="F11" s="293">
        <f t="shared" si="0"/>
        <v>10500</v>
      </c>
    </row>
    <row r="12" spans="1:6">
      <c r="A12" s="1" t="s">
        <v>142</v>
      </c>
      <c r="B12" s="83">
        <v>15000</v>
      </c>
      <c r="C12" s="100">
        <v>15000</v>
      </c>
      <c r="D12" s="100">
        <v>15000</v>
      </c>
      <c r="E12" s="100">
        <v>15000</v>
      </c>
      <c r="F12" s="100">
        <f t="shared" si="0"/>
        <v>0</v>
      </c>
    </row>
    <row r="13" spans="1:6">
      <c r="A13" s="1" t="s">
        <v>143</v>
      </c>
      <c r="B13" s="83">
        <v>10000</v>
      </c>
      <c r="C13" s="100">
        <v>10000</v>
      </c>
      <c r="D13" s="100">
        <v>12500</v>
      </c>
      <c r="E13" s="100">
        <v>12500</v>
      </c>
      <c r="F13" s="100">
        <f t="shared" si="0"/>
        <v>0</v>
      </c>
    </row>
    <row r="14" spans="1:6">
      <c r="A14" s="36" t="s">
        <v>28</v>
      </c>
      <c r="B14" s="66">
        <v>6000</v>
      </c>
      <c r="C14" s="99">
        <v>18000</v>
      </c>
      <c r="D14" s="99">
        <v>12000</v>
      </c>
      <c r="E14" s="99">
        <v>12000</v>
      </c>
      <c r="F14" s="99">
        <f t="shared" si="0"/>
        <v>0</v>
      </c>
    </row>
    <row r="15" spans="1:6">
      <c r="A15" s="36" t="s">
        <v>23</v>
      </c>
      <c r="B15" s="66">
        <v>0</v>
      </c>
      <c r="C15" s="99">
        <v>0</v>
      </c>
      <c r="D15" s="99">
        <v>0</v>
      </c>
      <c r="E15" s="99">
        <v>0</v>
      </c>
      <c r="F15" s="99">
        <f t="shared" si="0"/>
        <v>0</v>
      </c>
    </row>
    <row r="16" spans="1:6">
      <c r="A16" s="36" t="s">
        <v>38</v>
      </c>
      <c r="B16" s="66">
        <v>0</v>
      </c>
      <c r="C16" s="99">
        <v>10000</v>
      </c>
      <c r="D16" s="99">
        <v>7500</v>
      </c>
      <c r="E16" s="99">
        <v>0</v>
      </c>
      <c r="F16" s="116">
        <f t="shared" si="0"/>
        <v>-7500</v>
      </c>
    </row>
    <row r="17" spans="1:6">
      <c r="A17" s="36" t="s">
        <v>49</v>
      </c>
      <c r="B17" s="66">
        <v>0</v>
      </c>
      <c r="C17" s="99">
        <v>0</v>
      </c>
      <c r="D17" s="99">
        <v>0</v>
      </c>
      <c r="E17" s="99">
        <v>0</v>
      </c>
      <c r="F17" s="99">
        <f t="shared" si="0"/>
        <v>0</v>
      </c>
    </row>
    <row r="18" spans="1:6">
      <c r="A18" s="36" t="s">
        <v>144</v>
      </c>
      <c r="B18" s="66">
        <v>12000</v>
      </c>
      <c r="C18" s="99">
        <v>12000</v>
      </c>
      <c r="D18" s="99">
        <v>12000</v>
      </c>
      <c r="E18" s="99">
        <v>12000</v>
      </c>
      <c r="F18" s="99">
        <f t="shared" si="0"/>
        <v>0</v>
      </c>
    </row>
    <row r="19" spans="1:6">
      <c r="A19" s="36" t="s">
        <v>145</v>
      </c>
      <c r="B19" s="66">
        <v>24000</v>
      </c>
      <c r="C19" s="99">
        <v>0</v>
      </c>
      <c r="D19" s="99">
        <v>23500</v>
      </c>
      <c r="E19" s="99">
        <v>23500</v>
      </c>
      <c r="F19" s="99">
        <f t="shared" si="0"/>
        <v>0</v>
      </c>
    </row>
    <row r="20" spans="1:6">
      <c r="A20" s="36" t="s">
        <v>67</v>
      </c>
      <c r="B20" s="66">
        <v>4146.2807861348374</v>
      </c>
      <c r="C20" s="99">
        <v>5593.8840201379826</v>
      </c>
      <c r="D20" s="99">
        <v>6000</v>
      </c>
      <c r="E20" s="99">
        <v>5484.460694698354</v>
      </c>
      <c r="F20" s="116">
        <f t="shared" si="0"/>
        <v>-515.53930530164598</v>
      </c>
    </row>
    <row r="21" spans="1:6">
      <c r="A21" s="36" t="s">
        <v>34</v>
      </c>
      <c r="B21" s="66">
        <v>40696.354210928868</v>
      </c>
      <c r="C21" s="99">
        <v>20313.942751615883</v>
      </c>
      <c r="D21" s="99">
        <v>15000</v>
      </c>
      <c r="E21" s="99">
        <v>20229.885057471267</v>
      </c>
      <c r="F21" s="293">
        <f t="shared" si="0"/>
        <v>5229.8850574712669</v>
      </c>
    </row>
    <row r="22" spans="1:6">
      <c r="A22" s="36" t="s">
        <v>33</v>
      </c>
      <c r="B22" s="66">
        <v>36300</v>
      </c>
      <c r="C22" s="99">
        <v>22687.5</v>
      </c>
      <c r="D22" s="99">
        <v>19965</v>
      </c>
      <c r="E22" s="99">
        <v>19965</v>
      </c>
      <c r="F22" s="99">
        <f t="shared" si="0"/>
        <v>0</v>
      </c>
    </row>
    <row r="23" spans="1:6">
      <c r="A23" s="36" t="s">
        <v>146</v>
      </c>
      <c r="B23" s="66">
        <v>0</v>
      </c>
      <c r="C23" s="99">
        <v>0</v>
      </c>
      <c r="D23" s="99">
        <v>0</v>
      </c>
      <c r="E23" s="99">
        <v>0</v>
      </c>
      <c r="F23" s="99">
        <f t="shared" si="0"/>
        <v>0</v>
      </c>
    </row>
    <row r="24" spans="1:6">
      <c r="A24" s="36" t="s">
        <v>147</v>
      </c>
      <c r="B24" s="66">
        <v>0</v>
      </c>
      <c r="C24" s="99">
        <v>14992.503748125939</v>
      </c>
      <c r="D24" s="99">
        <v>29944.704593005878</v>
      </c>
      <c r="E24" s="99">
        <v>28608.395611406311</v>
      </c>
      <c r="F24" s="116">
        <f t="shared" si="0"/>
        <v>-1336.3089815995663</v>
      </c>
    </row>
    <row r="25" spans="1:6">
      <c r="A25" s="36" t="s">
        <v>148</v>
      </c>
      <c r="B25" s="66">
        <v>0</v>
      </c>
      <c r="C25" s="99">
        <v>4796.1630695443646</v>
      </c>
      <c r="D25" s="99">
        <v>10070.993914807303</v>
      </c>
      <c r="E25" s="99">
        <v>9636.7869930649958</v>
      </c>
      <c r="F25" s="116">
        <f t="shared" si="0"/>
        <v>-434.2069217423068</v>
      </c>
    </row>
    <row r="26" spans="1:6">
      <c r="A26" s="36" t="s">
        <v>56</v>
      </c>
      <c r="B26" s="66">
        <v>0</v>
      </c>
      <c r="C26" s="99">
        <v>0</v>
      </c>
      <c r="D26" s="99">
        <v>0</v>
      </c>
      <c r="E26" s="99">
        <v>0</v>
      </c>
      <c r="F26" s="99">
        <f t="shared" si="0"/>
        <v>0</v>
      </c>
    </row>
    <row r="27" spans="1:6">
      <c r="A27" s="36" t="s">
        <v>30</v>
      </c>
      <c r="B27" s="66">
        <v>18500</v>
      </c>
      <c r="C27" s="99">
        <v>18500</v>
      </c>
      <c r="D27" s="99">
        <v>15000</v>
      </c>
      <c r="E27" s="99">
        <v>15000</v>
      </c>
      <c r="F27" s="99">
        <f t="shared" si="0"/>
        <v>0</v>
      </c>
    </row>
    <row r="28" spans="1:6">
      <c r="A28" s="1" t="s">
        <v>100</v>
      </c>
      <c r="B28" s="83">
        <v>12500</v>
      </c>
      <c r="C28" s="100">
        <v>0</v>
      </c>
      <c r="D28" s="100">
        <v>25000</v>
      </c>
      <c r="E28" s="100">
        <v>26500</v>
      </c>
      <c r="F28" s="293">
        <f t="shared" si="0"/>
        <v>1500</v>
      </c>
    </row>
    <row r="29" spans="1:6">
      <c r="A29" s="1" t="s">
        <v>149</v>
      </c>
      <c r="B29" s="83">
        <v>0</v>
      </c>
      <c r="C29" s="100">
        <v>16000</v>
      </c>
      <c r="D29" s="100">
        <v>8000</v>
      </c>
      <c r="E29" s="100">
        <v>12000</v>
      </c>
      <c r="F29" s="293">
        <f>E29-D29</f>
        <v>4000</v>
      </c>
    </row>
    <row r="30" spans="1:6">
      <c r="A30" s="1" t="s">
        <v>150</v>
      </c>
      <c r="B30" s="83">
        <v>12500</v>
      </c>
      <c r="C30" s="100">
        <v>12500</v>
      </c>
      <c r="D30" s="100">
        <v>12500</v>
      </c>
      <c r="E30" s="100">
        <v>12500</v>
      </c>
      <c r="F30" s="100">
        <f t="shared" si="0"/>
        <v>0</v>
      </c>
    </row>
    <row r="31" spans="1:6">
      <c r="A31" s="1" t="s">
        <v>61</v>
      </c>
      <c r="B31" s="83">
        <v>4108.32</v>
      </c>
      <c r="C31" s="100">
        <v>6011.3763681806422</v>
      </c>
      <c r="D31" s="100">
        <v>10000</v>
      </c>
      <c r="E31" s="100">
        <v>9436.7532655646355</v>
      </c>
      <c r="F31" s="116">
        <f t="shared" si="0"/>
        <v>-563.24673443536449</v>
      </c>
    </row>
    <row r="32" spans="1:6">
      <c r="A32" s="1" t="s">
        <v>151</v>
      </c>
      <c r="B32" s="83">
        <v>15125</v>
      </c>
      <c r="C32" s="100">
        <v>15125</v>
      </c>
      <c r="D32" s="100">
        <v>15125</v>
      </c>
      <c r="E32" s="100">
        <v>15125</v>
      </c>
      <c r="F32" s="100">
        <f t="shared" si="0"/>
        <v>0</v>
      </c>
    </row>
    <row r="33" spans="1:6">
      <c r="A33" s="1" t="s">
        <v>152</v>
      </c>
      <c r="B33" s="83">
        <v>11677.298578681235</v>
      </c>
      <c r="C33" s="100">
        <v>11167.310222480475</v>
      </c>
      <c r="D33" s="100">
        <v>11871.850406118638</v>
      </c>
      <c r="E33" s="100">
        <v>11311.350025083262</v>
      </c>
      <c r="F33" s="116">
        <f t="shared" si="0"/>
        <v>-560.50038103537554</v>
      </c>
    </row>
    <row r="34" spans="1:6">
      <c r="A34" s="1" t="s">
        <v>153</v>
      </c>
      <c r="B34" s="83">
        <v>5000</v>
      </c>
      <c r="C34" s="100">
        <v>5000</v>
      </c>
      <c r="D34" s="100">
        <v>5000</v>
      </c>
      <c r="E34" s="100">
        <v>5000</v>
      </c>
      <c r="F34" s="100">
        <f t="shared" si="0"/>
        <v>0</v>
      </c>
    </row>
    <row r="35" spans="1:6">
      <c r="A35" s="1" t="s">
        <v>154</v>
      </c>
      <c r="B35" s="83">
        <v>0</v>
      </c>
      <c r="C35" s="100">
        <v>6885.3448275862074</v>
      </c>
      <c r="D35" s="100">
        <v>0</v>
      </c>
      <c r="E35" s="100">
        <v>0</v>
      </c>
      <c r="F35" s="100">
        <f t="shared" si="0"/>
        <v>0</v>
      </c>
    </row>
    <row r="36" spans="1:6">
      <c r="A36" s="1" t="s">
        <v>155</v>
      </c>
      <c r="B36" s="83">
        <v>0</v>
      </c>
      <c r="C36" s="100">
        <v>44000</v>
      </c>
      <c r="D36" s="100">
        <v>15000</v>
      </c>
      <c r="E36" s="100">
        <v>16500</v>
      </c>
      <c r="F36" s="293">
        <f t="shared" si="0"/>
        <v>1500</v>
      </c>
    </row>
    <row r="37" spans="1:6">
      <c r="A37" s="1" t="s">
        <v>156</v>
      </c>
      <c r="B37" s="83">
        <v>5721.7131962105905</v>
      </c>
      <c r="C37" s="100">
        <v>5971.5770609318988</v>
      </c>
      <c r="D37" s="100">
        <v>11004.351096696382</v>
      </c>
      <c r="E37" s="100">
        <v>11004.351096696382</v>
      </c>
      <c r="F37" s="100">
        <f t="shared" si="0"/>
        <v>0</v>
      </c>
    </row>
    <row r="38" spans="1:6">
      <c r="A38" s="1" t="s">
        <v>157</v>
      </c>
      <c r="B38" s="83">
        <v>20600</v>
      </c>
      <c r="C38" s="100">
        <v>0</v>
      </c>
      <c r="D38" s="100">
        <v>30000</v>
      </c>
      <c r="E38" s="100">
        <v>30000</v>
      </c>
      <c r="F38" s="100">
        <f t="shared" si="0"/>
        <v>0</v>
      </c>
    </row>
    <row r="39" spans="1:6">
      <c r="A39" s="1" t="s">
        <v>47</v>
      </c>
      <c r="B39" s="83">
        <v>0</v>
      </c>
      <c r="C39" s="100">
        <v>24000</v>
      </c>
      <c r="D39" s="100">
        <v>39000</v>
      </c>
      <c r="E39" s="100">
        <v>24000</v>
      </c>
      <c r="F39" s="116">
        <f t="shared" si="0"/>
        <v>-15000</v>
      </c>
    </row>
    <row r="40" spans="1:6">
      <c r="A40" s="1" t="s">
        <v>158</v>
      </c>
      <c r="B40" s="83">
        <v>0</v>
      </c>
      <c r="C40" s="100">
        <v>15000</v>
      </c>
      <c r="D40" s="100">
        <v>15000</v>
      </c>
      <c r="E40" s="100">
        <v>15000</v>
      </c>
      <c r="F40" s="100">
        <f t="shared" si="0"/>
        <v>0</v>
      </c>
    </row>
    <row r="41" spans="1:6">
      <c r="A41" s="1" t="s">
        <v>159</v>
      </c>
      <c r="B41" s="83">
        <v>0</v>
      </c>
      <c r="C41" s="100">
        <v>10000</v>
      </c>
      <c r="D41" s="100">
        <v>10000</v>
      </c>
      <c r="E41" s="100">
        <v>10000</v>
      </c>
      <c r="F41" s="100">
        <f>E41-D41</f>
        <v>0</v>
      </c>
    </row>
    <row r="42" spans="1:6">
      <c r="A42" s="1" t="s">
        <v>160</v>
      </c>
      <c r="B42" s="83">
        <v>0</v>
      </c>
      <c r="C42" s="100">
        <v>11166.945840312674</v>
      </c>
      <c r="D42" s="100">
        <v>14000</v>
      </c>
      <c r="E42" s="100">
        <v>12879.484820607177</v>
      </c>
      <c r="F42" s="116">
        <f>E42-D42</f>
        <v>-1120.5151793928235</v>
      </c>
    </row>
    <row r="43" spans="1:6">
      <c r="A43" s="1" t="s">
        <v>161</v>
      </c>
      <c r="B43" s="83">
        <v>0</v>
      </c>
      <c r="C43" s="100">
        <v>4000</v>
      </c>
      <c r="D43" s="100">
        <v>4000</v>
      </c>
      <c r="E43" s="100">
        <v>4000</v>
      </c>
      <c r="F43" s="100">
        <f t="shared" si="0"/>
        <v>0</v>
      </c>
    </row>
    <row r="44" spans="1:6">
      <c r="A44" s="1" t="s">
        <v>162</v>
      </c>
      <c r="B44" s="83">
        <v>0</v>
      </c>
      <c r="C44" s="100">
        <v>9000</v>
      </c>
      <c r="D44" s="100">
        <v>16500</v>
      </c>
      <c r="E44" s="100">
        <v>17250</v>
      </c>
      <c r="F44" s="293">
        <f t="shared" si="0"/>
        <v>750</v>
      </c>
    </row>
    <row r="45" spans="1:6">
      <c r="A45" s="1" t="s">
        <v>330</v>
      </c>
      <c r="B45" s="83">
        <v>0</v>
      </c>
      <c r="C45" s="100">
        <v>8000</v>
      </c>
      <c r="D45" s="100">
        <v>8000</v>
      </c>
      <c r="E45" s="100">
        <v>8000</v>
      </c>
      <c r="F45" s="100">
        <f t="shared" si="0"/>
        <v>0</v>
      </c>
    </row>
    <row r="46" spans="1:6">
      <c r="A46" s="1" t="s">
        <v>337</v>
      </c>
      <c r="B46" s="83">
        <v>0</v>
      </c>
      <c r="C46" s="100">
        <v>0</v>
      </c>
      <c r="D46" s="100">
        <v>12272.448353446513</v>
      </c>
      <c r="E46" s="100">
        <v>12272.448353446513</v>
      </c>
      <c r="F46" s="100">
        <f t="shared" si="0"/>
        <v>0</v>
      </c>
    </row>
    <row r="47" spans="1:6">
      <c r="A47" s="1" t="s">
        <v>356</v>
      </c>
      <c r="B47" s="83">
        <v>0</v>
      </c>
      <c r="C47" s="100">
        <v>0</v>
      </c>
      <c r="D47" s="100"/>
      <c r="E47" s="100">
        <v>9000</v>
      </c>
      <c r="F47" s="293">
        <f t="shared" si="0"/>
        <v>9000</v>
      </c>
    </row>
    <row r="48" spans="1:6">
      <c r="A48" s="81" t="s">
        <v>163</v>
      </c>
      <c r="B48" s="67"/>
      <c r="C48" s="278"/>
      <c r="D48" s="278"/>
      <c r="E48" s="278">
        <v>0</v>
      </c>
      <c r="F48" s="278">
        <f t="shared" si="0"/>
        <v>0</v>
      </c>
    </row>
    <row r="49" spans="1:7">
      <c r="A49" s="1" t="s">
        <v>164</v>
      </c>
      <c r="B49" s="83">
        <v>0</v>
      </c>
      <c r="C49" s="100">
        <v>0</v>
      </c>
      <c r="D49" s="100">
        <v>0</v>
      </c>
      <c r="E49" s="100">
        <v>0</v>
      </c>
      <c r="F49" s="100">
        <f t="shared" si="0"/>
        <v>0</v>
      </c>
    </row>
    <row r="50" spans="1:7">
      <c r="A50" s="1" t="s">
        <v>33</v>
      </c>
      <c r="B50" s="83">
        <v>0</v>
      </c>
      <c r="C50" s="100">
        <v>0</v>
      </c>
      <c r="D50" s="100">
        <v>0</v>
      </c>
      <c r="E50" s="100">
        <v>0</v>
      </c>
      <c r="F50" s="100">
        <f t="shared" si="0"/>
        <v>0</v>
      </c>
    </row>
    <row r="51" spans="1:7">
      <c r="A51" s="1" t="s">
        <v>21</v>
      </c>
      <c r="B51" s="83">
        <v>0</v>
      </c>
      <c r="C51" s="100">
        <v>0</v>
      </c>
      <c r="D51" s="100">
        <v>0</v>
      </c>
      <c r="E51" s="100">
        <v>0</v>
      </c>
      <c r="F51" s="100">
        <f t="shared" si="0"/>
        <v>0</v>
      </c>
    </row>
    <row r="52" spans="1:7">
      <c r="A52" s="1" t="s">
        <v>53</v>
      </c>
      <c r="B52" s="83">
        <v>0</v>
      </c>
      <c r="C52" s="100">
        <v>0</v>
      </c>
      <c r="D52" s="100">
        <v>0</v>
      </c>
      <c r="E52" s="100">
        <v>0</v>
      </c>
      <c r="F52" s="100">
        <f t="shared" si="0"/>
        <v>0</v>
      </c>
    </row>
    <row r="53" spans="1:7">
      <c r="A53" s="1" t="s">
        <v>165</v>
      </c>
      <c r="B53" s="83">
        <v>0</v>
      </c>
      <c r="C53" s="100">
        <v>650</v>
      </c>
      <c r="D53" s="100">
        <v>0</v>
      </c>
      <c r="E53" s="100">
        <v>273.33</v>
      </c>
      <c r="F53" s="293">
        <f t="shared" si="0"/>
        <v>273.33</v>
      </c>
    </row>
    <row r="54" spans="1:7">
      <c r="A54" s="1" t="s">
        <v>166</v>
      </c>
      <c r="B54" s="83">
        <v>22290.5</v>
      </c>
      <c r="C54" s="100">
        <v>0</v>
      </c>
      <c r="D54" s="100">
        <v>0</v>
      </c>
      <c r="E54" s="100">
        <v>0</v>
      </c>
      <c r="F54" s="100">
        <f t="shared" si="0"/>
        <v>0</v>
      </c>
    </row>
    <row r="55" spans="1:7">
      <c r="A55" s="1" t="s">
        <v>167</v>
      </c>
      <c r="B55" s="83">
        <v>2663.9722999999999</v>
      </c>
      <c r="C55" s="100">
        <v>0</v>
      </c>
      <c r="D55" s="100">
        <v>0</v>
      </c>
      <c r="E55" s="100">
        <v>0</v>
      </c>
      <c r="F55" s="99">
        <f t="shared" si="0"/>
        <v>0</v>
      </c>
    </row>
    <row r="56" spans="1:7">
      <c r="A56" s="81" t="s">
        <v>168</v>
      </c>
      <c r="B56" s="67"/>
      <c r="C56" s="278"/>
      <c r="D56" s="278"/>
      <c r="E56" s="278">
        <v>0</v>
      </c>
      <c r="F56" s="278">
        <f t="shared" si="0"/>
        <v>0</v>
      </c>
    </row>
    <row r="57" spans="1:7">
      <c r="A57" s="36" t="s">
        <v>30</v>
      </c>
      <c r="B57" s="66">
        <v>0</v>
      </c>
      <c r="C57" s="99">
        <v>0</v>
      </c>
      <c r="D57" s="99">
        <v>0</v>
      </c>
      <c r="E57" s="99">
        <v>0</v>
      </c>
      <c r="F57" s="99">
        <f t="shared" si="0"/>
        <v>0</v>
      </c>
    </row>
    <row r="58" spans="1:7">
      <c r="A58" s="1" t="s">
        <v>169</v>
      </c>
      <c r="B58" s="83">
        <v>0</v>
      </c>
      <c r="C58" s="100">
        <v>0</v>
      </c>
      <c r="D58" s="100">
        <v>0</v>
      </c>
      <c r="E58" s="100">
        <v>0</v>
      </c>
      <c r="F58" s="100">
        <f t="shared" si="0"/>
        <v>0</v>
      </c>
    </row>
    <row r="59" spans="1:7">
      <c r="A59" s="1" t="s">
        <v>170</v>
      </c>
      <c r="B59" s="83">
        <v>0</v>
      </c>
      <c r="C59" s="100">
        <v>0</v>
      </c>
      <c r="D59" s="100">
        <v>0</v>
      </c>
      <c r="E59" s="100">
        <v>0</v>
      </c>
      <c r="F59" s="100">
        <f t="shared" si="0"/>
        <v>0</v>
      </c>
    </row>
    <row r="60" spans="1:7">
      <c r="A60" s="1" t="s">
        <v>171</v>
      </c>
      <c r="B60" s="83">
        <v>12492.712584325809</v>
      </c>
      <c r="C60" s="100">
        <v>0</v>
      </c>
      <c r="D60" s="100">
        <v>0</v>
      </c>
      <c r="E60" s="100">
        <v>0</v>
      </c>
      <c r="F60" s="100">
        <f t="shared" si="0"/>
        <v>0</v>
      </c>
    </row>
    <row r="61" spans="1:7">
      <c r="A61" s="1" t="s">
        <v>142</v>
      </c>
      <c r="B61" s="83">
        <v>12781.648258283773</v>
      </c>
      <c r="C61" s="100">
        <v>16839.811077715756</v>
      </c>
      <c r="D61" s="100">
        <v>0</v>
      </c>
      <c r="E61" s="100">
        <v>0</v>
      </c>
      <c r="F61" s="100">
        <f t="shared" si="0"/>
        <v>0</v>
      </c>
    </row>
    <row r="62" spans="1:7">
      <c r="A62" s="1" t="s">
        <v>172</v>
      </c>
      <c r="B62" s="83">
        <v>11413.55138705374</v>
      </c>
      <c r="C62" s="100">
        <v>6596.2788292498772</v>
      </c>
      <c r="D62" s="100">
        <v>20735.37</v>
      </c>
      <c r="E62" s="100">
        <v>17403.517892122465</v>
      </c>
      <c r="F62" s="116">
        <f t="shared" si="0"/>
        <v>-3331.8521078775339</v>
      </c>
      <c r="G62" s="259"/>
    </row>
    <row r="63" spans="1:7">
      <c r="A63" s="1" t="s">
        <v>173</v>
      </c>
      <c r="B63" s="83">
        <v>9617.8350383631714</v>
      </c>
      <c r="C63" s="100">
        <v>0</v>
      </c>
      <c r="D63" s="100">
        <v>0</v>
      </c>
      <c r="E63" s="100">
        <v>0</v>
      </c>
      <c r="F63" s="100">
        <f t="shared" si="0"/>
        <v>0</v>
      </c>
    </row>
    <row r="64" spans="1:7">
      <c r="A64" s="1" t="s">
        <v>174</v>
      </c>
      <c r="B64" s="83">
        <v>12228.95</v>
      </c>
      <c r="C64" s="100">
        <v>40287.335850000003</v>
      </c>
      <c r="D64" s="100">
        <v>0</v>
      </c>
      <c r="E64" s="100">
        <v>0</v>
      </c>
      <c r="F64" s="100">
        <f t="shared" si="0"/>
        <v>0</v>
      </c>
    </row>
    <row r="65" spans="1:8">
      <c r="A65" s="1" t="s">
        <v>13</v>
      </c>
      <c r="B65" s="83">
        <v>2859</v>
      </c>
      <c r="C65" s="100">
        <v>0</v>
      </c>
      <c r="D65" s="100">
        <v>0</v>
      </c>
      <c r="E65" s="100">
        <v>0</v>
      </c>
      <c r="F65" s="100">
        <f t="shared" si="0"/>
        <v>0</v>
      </c>
    </row>
    <row r="66" spans="1:8">
      <c r="A66" s="1" t="s">
        <v>175</v>
      </c>
      <c r="B66" s="83">
        <v>0</v>
      </c>
      <c r="C66" s="100">
        <v>143461.323652611</v>
      </c>
      <c r="D66" s="100">
        <v>60575.916230366485</v>
      </c>
      <c r="E66" s="100">
        <v>40575.916230366485</v>
      </c>
      <c r="F66" s="116">
        <f t="shared" si="0"/>
        <v>-20000</v>
      </c>
    </row>
    <row r="67" spans="1:8">
      <c r="A67" s="1" t="s">
        <v>162</v>
      </c>
      <c r="B67" s="83"/>
      <c r="C67" s="100">
        <v>0</v>
      </c>
      <c r="D67" s="100">
        <v>20000</v>
      </c>
      <c r="E67" s="100">
        <v>18511.139286361165</v>
      </c>
      <c r="F67" s="116">
        <f t="shared" si="0"/>
        <v>-1488.8607136388346</v>
      </c>
    </row>
    <row r="68" spans="1:8">
      <c r="A68" s="81" t="s">
        <v>176</v>
      </c>
      <c r="B68" s="67"/>
      <c r="C68" s="278"/>
      <c r="D68" s="278"/>
      <c r="E68" s="278">
        <v>0</v>
      </c>
      <c r="F68" s="278">
        <f t="shared" si="0"/>
        <v>0</v>
      </c>
    </row>
    <row r="69" spans="1:8">
      <c r="A69" s="1" t="s">
        <v>177</v>
      </c>
      <c r="B69" s="83">
        <v>77935.590348481084</v>
      </c>
      <c r="C69" s="100">
        <v>1339426.1203956138</v>
      </c>
      <c r="D69" s="100">
        <v>-598605.73324148217</v>
      </c>
      <c r="E69" s="100">
        <v>-674077.45176837465</v>
      </c>
      <c r="F69" s="116">
        <f t="shared" si="0"/>
        <v>-75471.71852689248</v>
      </c>
      <c r="H69" s="239"/>
    </row>
    <row r="70" spans="1:8">
      <c r="A70" s="1" t="s">
        <v>178</v>
      </c>
      <c r="B70" s="83">
        <v>0</v>
      </c>
      <c r="C70" s="100">
        <v>0</v>
      </c>
      <c r="D70" s="100">
        <v>0</v>
      </c>
      <c r="E70" s="100">
        <v>0</v>
      </c>
      <c r="F70" s="100">
        <f t="shared" ref="F70:F133" si="1">E70-D70</f>
        <v>0</v>
      </c>
    </row>
    <row r="71" spans="1:8">
      <c r="A71" s="140" t="s">
        <v>179</v>
      </c>
      <c r="B71" s="77"/>
      <c r="C71" s="279">
        <v>0</v>
      </c>
      <c r="D71" s="279">
        <v>0</v>
      </c>
      <c r="E71" s="279">
        <v>0</v>
      </c>
      <c r="F71" s="298">
        <f t="shared" si="1"/>
        <v>0</v>
      </c>
    </row>
    <row r="72" spans="1:8" ht="16.5">
      <c r="A72" s="154" t="s">
        <v>180</v>
      </c>
      <c r="B72" s="252">
        <v>556158.72668846312</v>
      </c>
      <c r="C72" s="280">
        <v>2075972.4177141064</v>
      </c>
      <c r="D72" s="280">
        <v>85459.901352958987</v>
      </c>
      <c r="E72" s="280">
        <v>-9109.6324414856063</v>
      </c>
      <c r="F72" s="294">
        <f t="shared" si="1"/>
        <v>-94569.533794444593</v>
      </c>
    </row>
    <row r="73" spans="1:8">
      <c r="B73" s="83">
        <v>0</v>
      </c>
      <c r="C73" s="100">
        <v>0</v>
      </c>
      <c r="D73" s="100">
        <v>0</v>
      </c>
      <c r="E73" s="100">
        <v>0</v>
      </c>
      <c r="F73" s="100">
        <f t="shared" si="1"/>
        <v>0</v>
      </c>
    </row>
    <row r="74" spans="1:8">
      <c r="A74" s="31" t="s">
        <v>181</v>
      </c>
      <c r="B74" s="253"/>
      <c r="C74" s="281"/>
      <c r="D74" s="281"/>
      <c r="E74" s="281">
        <v>0</v>
      </c>
      <c r="F74" s="281">
        <f t="shared" si="1"/>
        <v>0</v>
      </c>
    </row>
    <row r="75" spans="1:8">
      <c r="A75" s="2" t="s">
        <v>182</v>
      </c>
      <c r="B75" s="254"/>
      <c r="C75" s="273"/>
      <c r="D75" s="273"/>
      <c r="E75" s="273">
        <v>0</v>
      </c>
      <c r="F75" s="273">
        <f t="shared" si="1"/>
        <v>0</v>
      </c>
    </row>
    <row r="76" spans="1:8">
      <c r="A76" s="1" t="s">
        <v>183</v>
      </c>
      <c r="B76" s="83">
        <v>0</v>
      </c>
      <c r="C76" s="100">
        <v>1113.2</v>
      </c>
      <c r="D76" s="100">
        <v>1149.5</v>
      </c>
      <c r="E76" s="100">
        <v>1149.5</v>
      </c>
      <c r="F76" s="100">
        <f t="shared" si="1"/>
        <v>0</v>
      </c>
    </row>
    <row r="77" spans="1:8">
      <c r="A77" s="1" t="s">
        <v>184</v>
      </c>
      <c r="B77" s="83">
        <v>1188.4387999999999</v>
      </c>
      <c r="C77" s="100">
        <v>6323.3069999999998</v>
      </c>
      <c r="D77" s="100">
        <v>837.81700000000001</v>
      </c>
      <c r="E77" s="100">
        <v>897.34400000000005</v>
      </c>
      <c r="F77" s="116">
        <f t="shared" si="1"/>
        <v>59.527000000000044</v>
      </c>
    </row>
    <row r="78" spans="1:8">
      <c r="A78" s="1" t="s">
        <v>350</v>
      </c>
      <c r="B78" s="83">
        <v>0</v>
      </c>
      <c r="C78" s="100">
        <v>0</v>
      </c>
      <c r="D78" s="100">
        <v>23.39</v>
      </c>
      <c r="E78" s="100">
        <v>327.57000000000005</v>
      </c>
      <c r="F78" s="116">
        <f t="shared" si="1"/>
        <v>304.18000000000006</v>
      </c>
    </row>
    <row r="79" spans="1:8">
      <c r="A79" s="1" t="s">
        <v>342</v>
      </c>
      <c r="B79" s="83">
        <v>2480.9799999999996</v>
      </c>
      <c r="C79" s="100">
        <v>16545.180000000004</v>
      </c>
      <c r="D79" s="100">
        <v>12414.54042153254</v>
      </c>
      <c r="E79" s="100">
        <v>17391.300421532542</v>
      </c>
      <c r="F79" s="116">
        <f t="shared" si="1"/>
        <v>4976.760000000002</v>
      </c>
    </row>
    <row r="80" spans="1:8">
      <c r="A80" s="1" t="s">
        <v>185</v>
      </c>
      <c r="B80" s="83">
        <v>3536</v>
      </c>
      <c r="C80" s="100">
        <v>4540</v>
      </c>
      <c r="D80" s="100">
        <v>6100</v>
      </c>
      <c r="E80" s="100">
        <v>6100</v>
      </c>
      <c r="F80" s="100">
        <f t="shared" si="1"/>
        <v>0</v>
      </c>
    </row>
    <row r="81" spans="1:6">
      <c r="A81" s="1" t="s">
        <v>186</v>
      </c>
      <c r="B81" s="83">
        <v>45409.520000000004</v>
      </c>
      <c r="C81" s="100">
        <v>53650.06</v>
      </c>
      <c r="D81" s="100">
        <v>47574.95</v>
      </c>
      <c r="E81" s="100">
        <v>47574.95</v>
      </c>
      <c r="F81" s="100">
        <f t="shared" si="1"/>
        <v>0</v>
      </c>
    </row>
    <row r="82" spans="1:6">
      <c r="A82" s="1" t="s">
        <v>187</v>
      </c>
      <c r="B82" s="83">
        <v>139920</v>
      </c>
      <c r="C82" s="100">
        <v>139920</v>
      </c>
      <c r="D82" s="100">
        <v>139920</v>
      </c>
      <c r="E82" s="100">
        <v>139920</v>
      </c>
      <c r="F82" s="100">
        <f t="shared" si="1"/>
        <v>0</v>
      </c>
    </row>
    <row r="83" spans="1:6">
      <c r="A83" s="1" t="s">
        <v>188</v>
      </c>
      <c r="B83" s="83">
        <v>4266.66</v>
      </c>
      <c r="C83" s="100">
        <v>9600</v>
      </c>
      <c r="D83" s="100">
        <v>12480</v>
      </c>
      <c r="E83" s="100">
        <v>12000</v>
      </c>
      <c r="F83" s="293">
        <f t="shared" si="1"/>
        <v>-480</v>
      </c>
    </row>
    <row r="84" spans="1:6">
      <c r="A84" s="1" t="s">
        <v>189</v>
      </c>
      <c r="B84" s="83">
        <v>2978.0599999999995</v>
      </c>
      <c r="C84" s="100">
        <v>0</v>
      </c>
      <c r="D84" s="100">
        <v>0</v>
      </c>
      <c r="E84" s="100">
        <v>0</v>
      </c>
      <c r="F84" s="100">
        <f t="shared" si="1"/>
        <v>0</v>
      </c>
    </row>
    <row r="85" spans="1:6">
      <c r="A85" s="1" t="s">
        <v>190</v>
      </c>
      <c r="B85" s="83">
        <v>10441.27</v>
      </c>
      <c r="C85" s="100">
        <v>11415.86</v>
      </c>
      <c r="D85" s="100">
        <v>11508.339999999998</v>
      </c>
      <c r="E85" s="100">
        <v>12704.64</v>
      </c>
      <c r="F85" s="116">
        <f t="shared" si="1"/>
        <v>1196.3000000000011</v>
      </c>
    </row>
    <row r="86" spans="1:6">
      <c r="A86" s="1" t="s">
        <v>191</v>
      </c>
      <c r="B86" s="83">
        <v>3063.6163000000006</v>
      </c>
      <c r="C86" s="100">
        <v>6848.3295000000016</v>
      </c>
      <c r="D86" s="100">
        <v>6659.2866000000013</v>
      </c>
      <c r="E86" s="100">
        <v>7213.134</v>
      </c>
      <c r="F86" s="116">
        <f t="shared" si="1"/>
        <v>553.84739999999874</v>
      </c>
    </row>
    <row r="87" spans="1:6">
      <c r="A87" s="1" t="s">
        <v>192</v>
      </c>
      <c r="B87" s="83">
        <v>556.6</v>
      </c>
      <c r="C87" s="100">
        <v>0</v>
      </c>
      <c r="D87" s="100">
        <v>0</v>
      </c>
      <c r="E87" s="100">
        <v>0</v>
      </c>
      <c r="F87" s="100">
        <f t="shared" si="1"/>
        <v>0</v>
      </c>
    </row>
    <row r="88" spans="1:6">
      <c r="A88" s="1" t="s">
        <v>46</v>
      </c>
      <c r="B88" s="83">
        <v>13834.267899999999</v>
      </c>
      <c r="C88" s="100">
        <v>1754.38</v>
      </c>
      <c r="D88" s="100">
        <v>5410.37</v>
      </c>
      <c r="E88" s="100">
        <v>4718.28</v>
      </c>
      <c r="F88" s="116">
        <f t="shared" si="1"/>
        <v>-692.09000000000015</v>
      </c>
    </row>
    <row r="89" spans="1:6">
      <c r="A89" s="1" t="s">
        <v>193</v>
      </c>
      <c r="B89" s="83">
        <v>4961</v>
      </c>
      <c r="C89" s="100">
        <v>3388</v>
      </c>
      <c r="D89" s="100">
        <v>2783</v>
      </c>
      <c r="E89" s="100">
        <v>0</v>
      </c>
      <c r="F89" s="100">
        <f t="shared" si="1"/>
        <v>-2783</v>
      </c>
    </row>
    <row r="90" spans="1:6">
      <c r="A90" s="1" t="s">
        <v>48</v>
      </c>
      <c r="B90" s="83">
        <v>3013.8617229356241</v>
      </c>
      <c r="C90" s="100">
        <v>3220.747889022919</v>
      </c>
      <c r="D90" s="100">
        <v>3939.7590361445782</v>
      </c>
      <c r="E90" s="100">
        <v>3939.7590361445782</v>
      </c>
      <c r="F90" s="100">
        <f t="shared" si="1"/>
        <v>0</v>
      </c>
    </row>
    <row r="91" spans="1:6">
      <c r="A91" s="1" t="s">
        <v>194</v>
      </c>
      <c r="B91" s="83">
        <v>16541.371651112357</v>
      </c>
      <c r="C91" s="100">
        <v>16029.340817979246</v>
      </c>
      <c r="D91" s="100">
        <v>18437.010699505401</v>
      </c>
      <c r="E91" s="100">
        <v>12811.099918836255</v>
      </c>
      <c r="F91" s="293">
        <f t="shared" si="1"/>
        <v>-5625.9107806691463</v>
      </c>
    </row>
    <row r="92" spans="1:6">
      <c r="A92" s="1" t="s">
        <v>329</v>
      </c>
      <c r="B92" s="83">
        <v>5000</v>
      </c>
      <c r="C92" s="100">
        <v>2190</v>
      </c>
      <c r="D92" s="100">
        <v>2190</v>
      </c>
      <c r="E92" s="100">
        <v>2365.5</v>
      </c>
      <c r="F92" s="116">
        <f t="shared" si="1"/>
        <v>175.5</v>
      </c>
    </row>
    <row r="93" spans="1:6">
      <c r="A93" s="1" t="s">
        <v>195</v>
      </c>
      <c r="B93" s="83">
        <v>15602.320000000002</v>
      </c>
      <c r="C93" s="100">
        <v>-14000.08</v>
      </c>
      <c r="D93" s="100">
        <v>-75218.070000000007</v>
      </c>
      <c r="E93" s="100">
        <v>-131905.13999999998</v>
      </c>
      <c r="F93" s="293">
        <f t="shared" si="1"/>
        <v>-56687.069999999978</v>
      </c>
    </row>
    <row r="94" spans="1:6">
      <c r="A94" s="1" t="s">
        <v>196</v>
      </c>
      <c r="B94" s="83">
        <v>34154.18</v>
      </c>
      <c r="C94" s="100">
        <v>40812.870000000003</v>
      </c>
      <c r="D94" s="100">
        <v>40982.800000000003</v>
      </c>
      <c r="E94" s="100">
        <v>44303.310000000012</v>
      </c>
      <c r="F94" s="116">
        <f t="shared" si="1"/>
        <v>3320.5100000000093</v>
      </c>
    </row>
    <row r="95" spans="1:6">
      <c r="A95" s="1" t="s">
        <v>197</v>
      </c>
      <c r="B95" s="83">
        <v>4896.09</v>
      </c>
      <c r="C95" s="100">
        <v>33359.160000000003</v>
      </c>
      <c r="D95" s="100">
        <v>270074.35060000001</v>
      </c>
      <c r="E95" s="100">
        <v>240511.8</v>
      </c>
      <c r="F95" s="293">
        <f t="shared" si="1"/>
        <v>-29562.550600000017</v>
      </c>
    </row>
    <row r="96" spans="1:6">
      <c r="A96" s="1" t="s">
        <v>198</v>
      </c>
      <c r="B96" s="83">
        <v>29.6</v>
      </c>
      <c r="C96" s="100">
        <v>678.24</v>
      </c>
      <c r="D96" s="100">
        <v>1275.33</v>
      </c>
      <c r="E96" s="100">
        <v>1376.02</v>
      </c>
      <c r="F96" s="116">
        <f t="shared" si="1"/>
        <v>100.69000000000005</v>
      </c>
    </row>
    <row r="97" spans="1:10">
      <c r="A97" s="1" t="s">
        <v>199</v>
      </c>
      <c r="B97" s="83">
        <v>9156.1220369395687</v>
      </c>
      <c r="C97" s="100">
        <v>3970.3221689159673</v>
      </c>
      <c r="D97" s="100">
        <v>391.85</v>
      </c>
      <c r="E97" s="100">
        <v>2343.1094079915274</v>
      </c>
      <c r="F97" s="116">
        <f t="shared" si="1"/>
        <v>1951.2594079915275</v>
      </c>
    </row>
    <row r="98" spans="1:10">
      <c r="A98" s="1" t="s">
        <v>200</v>
      </c>
      <c r="B98" s="83">
        <v>1485</v>
      </c>
      <c r="C98" s="100">
        <v>1475.1299624999999</v>
      </c>
      <c r="D98" s="100">
        <v>1296.4782249999998</v>
      </c>
      <c r="E98" s="100">
        <v>1296.4782249999998</v>
      </c>
      <c r="F98" s="100">
        <f t="shared" si="1"/>
        <v>0</v>
      </c>
    </row>
    <row r="99" spans="1:10">
      <c r="A99" s="1" t="s">
        <v>201</v>
      </c>
      <c r="B99" s="83">
        <v>339.72</v>
      </c>
      <c r="C99" s="100">
        <v>0</v>
      </c>
      <c r="D99" s="100">
        <v>0</v>
      </c>
      <c r="E99" s="100">
        <v>0</v>
      </c>
      <c r="F99" s="100">
        <f t="shared" si="1"/>
        <v>0</v>
      </c>
    </row>
    <row r="100" spans="1:10">
      <c r="A100" s="1" t="s">
        <v>202</v>
      </c>
      <c r="B100" s="83">
        <v>829.36999999999989</v>
      </c>
      <c r="C100" s="100">
        <v>7439.0556159999996</v>
      </c>
      <c r="D100" s="100">
        <v>6988.2619519999971</v>
      </c>
      <c r="E100" s="100">
        <v>6988.2649599999977</v>
      </c>
      <c r="F100" s="100">
        <f t="shared" si="1"/>
        <v>3.0080000005909824E-3</v>
      </c>
    </row>
    <row r="101" spans="1:10">
      <c r="A101" s="1" t="s">
        <v>203</v>
      </c>
      <c r="B101" s="83">
        <v>0</v>
      </c>
      <c r="C101" s="100">
        <v>0</v>
      </c>
      <c r="D101" s="100">
        <v>0</v>
      </c>
      <c r="E101" s="100">
        <v>0</v>
      </c>
      <c r="F101" s="100">
        <f t="shared" si="1"/>
        <v>0</v>
      </c>
      <c r="J101" s="83"/>
    </row>
    <row r="102" spans="1:10">
      <c r="A102" s="1" t="s">
        <v>204</v>
      </c>
      <c r="B102" s="83">
        <v>2977.3599999999997</v>
      </c>
      <c r="C102" s="100">
        <v>3623.15</v>
      </c>
      <c r="D102" s="100">
        <v>4526.01</v>
      </c>
      <c r="E102" s="100">
        <v>4526.01</v>
      </c>
      <c r="F102" s="100">
        <f t="shared" si="1"/>
        <v>0</v>
      </c>
    </row>
    <row r="103" spans="1:10">
      <c r="A103" s="1" t="s">
        <v>205</v>
      </c>
      <c r="B103" s="83">
        <v>0</v>
      </c>
      <c r="C103" s="100">
        <v>0</v>
      </c>
      <c r="D103" s="100">
        <v>0</v>
      </c>
      <c r="E103" s="100">
        <v>0</v>
      </c>
      <c r="F103" s="100">
        <f t="shared" si="1"/>
        <v>0</v>
      </c>
    </row>
    <row r="104" spans="1:10">
      <c r="A104" s="1" t="s">
        <v>206</v>
      </c>
      <c r="B104" s="83">
        <v>0</v>
      </c>
      <c r="C104" s="100">
        <v>0</v>
      </c>
      <c r="D104" s="100">
        <v>0</v>
      </c>
      <c r="E104" s="100">
        <v>0</v>
      </c>
      <c r="F104" s="100">
        <f t="shared" si="1"/>
        <v>0</v>
      </c>
    </row>
    <row r="105" spans="1:10">
      <c r="A105" s="1" t="s">
        <v>207</v>
      </c>
      <c r="B105" s="83">
        <v>87.080000000000013</v>
      </c>
      <c r="C105" s="100">
        <v>183.13</v>
      </c>
      <c r="D105" s="100">
        <v>25.7</v>
      </c>
      <c r="E105" s="100">
        <v>44.989999999999995</v>
      </c>
      <c r="F105" s="116">
        <f t="shared" si="1"/>
        <v>19.289999999999996</v>
      </c>
    </row>
    <row r="106" spans="1:10">
      <c r="A106" s="1" t="s">
        <v>208</v>
      </c>
      <c r="B106" s="83">
        <v>1753.31</v>
      </c>
      <c r="C106" s="100">
        <v>2099.66</v>
      </c>
      <c r="D106" s="100">
        <v>3112.3999999999996</v>
      </c>
      <c r="E106" s="100">
        <v>6635.9900000000007</v>
      </c>
      <c r="F106" s="116">
        <f t="shared" si="1"/>
        <v>3523.5900000000011</v>
      </c>
      <c r="G106" s="259"/>
    </row>
    <row r="107" spans="1:10">
      <c r="A107" s="1" t="s">
        <v>209</v>
      </c>
      <c r="B107" s="83">
        <v>2180.4299999999998</v>
      </c>
      <c r="C107" s="100">
        <v>2251.71</v>
      </c>
      <c r="D107" s="100">
        <v>2377.0499999999993</v>
      </c>
      <c r="E107" s="100">
        <v>2458.8199999999997</v>
      </c>
      <c r="F107" s="116">
        <f t="shared" si="1"/>
        <v>81.770000000000437</v>
      </c>
    </row>
    <row r="108" spans="1:10">
      <c r="A108" s="1" t="s">
        <v>343</v>
      </c>
      <c r="B108" s="83">
        <v>0</v>
      </c>
      <c r="C108" s="100">
        <v>964.18</v>
      </c>
      <c r="D108" s="100">
        <v>969.01</v>
      </c>
      <c r="E108" s="100">
        <v>969.01</v>
      </c>
      <c r="F108" s="100">
        <f t="shared" si="1"/>
        <v>0</v>
      </c>
      <c r="G108" s="259"/>
    </row>
    <row r="109" spans="1:10">
      <c r="A109" s="1" t="s">
        <v>210</v>
      </c>
      <c r="B109" s="83">
        <v>0</v>
      </c>
      <c r="C109" s="100">
        <v>546.19000000000005</v>
      </c>
      <c r="D109" s="100">
        <v>566.80000000000007</v>
      </c>
      <c r="E109" s="100">
        <v>587.17999999999995</v>
      </c>
      <c r="F109" s="100">
        <f t="shared" si="1"/>
        <v>20.379999999999882</v>
      </c>
    </row>
    <row r="110" spans="1:10">
      <c r="A110" s="1" t="s">
        <v>334</v>
      </c>
      <c r="B110" s="83">
        <v>0</v>
      </c>
      <c r="C110" s="100">
        <v>393.95</v>
      </c>
      <c r="D110" s="100">
        <v>393.95</v>
      </c>
      <c r="E110" s="100">
        <v>393.95</v>
      </c>
      <c r="F110" s="100">
        <f t="shared" si="1"/>
        <v>0</v>
      </c>
    </row>
    <row r="111" spans="1:10">
      <c r="A111" s="1" t="s">
        <v>351</v>
      </c>
      <c r="B111" s="83"/>
      <c r="C111" s="100">
        <v>0</v>
      </c>
      <c r="D111" s="100">
        <v>0</v>
      </c>
      <c r="E111" s="100">
        <v>393.95</v>
      </c>
      <c r="F111" s="116">
        <f t="shared" si="1"/>
        <v>393.95</v>
      </c>
    </row>
    <row r="112" spans="1:10">
      <c r="A112" s="1" t="s">
        <v>333</v>
      </c>
      <c r="B112" s="83">
        <v>0</v>
      </c>
      <c r="C112" s="100">
        <v>182.64</v>
      </c>
      <c r="D112" s="100">
        <v>103.2</v>
      </c>
      <c r="E112" s="100">
        <v>103.2</v>
      </c>
      <c r="F112" s="100">
        <f t="shared" si="1"/>
        <v>0</v>
      </c>
    </row>
    <row r="113" spans="1:7">
      <c r="A113" s="1" t="s">
        <v>211</v>
      </c>
      <c r="B113" s="83">
        <v>0</v>
      </c>
      <c r="C113" s="100">
        <v>0</v>
      </c>
      <c r="D113" s="100">
        <v>0</v>
      </c>
      <c r="E113" s="100">
        <v>0</v>
      </c>
      <c r="F113" s="100">
        <f t="shared" si="1"/>
        <v>0</v>
      </c>
    </row>
    <row r="114" spans="1:7">
      <c r="A114" s="1" t="s">
        <v>212</v>
      </c>
      <c r="B114" s="83">
        <v>0</v>
      </c>
      <c r="C114" s="100">
        <v>6150.4099999999989</v>
      </c>
      <c r="D114" s="100">
        <v>6276.1000000000013</v>
      </c>
      <c r="E114" s="100">
        <v>6476.28</v>
      </c>
      <c r="F114" s="116">
        <f t="shared" si="1"/>
        <v>200.17999999999847</v>
      </c>
    </row>
    <row r="115" spans="1:7">
      <c r="A115" s="1" t="s">
        <v>213</v>
      </c>
      <c r="B115" s="83">
        <v>0</v>
      </c>
      <c r="C115" s="100">
        <v>1108.5700000000002</v>
      </c>
      <c r="D115" s="100">
        <v>2522.7799999999997</v>
      </c>
      <c r="E115" s="100">
        <v>2192.7599999999998</v>
      </c>
      <c r="F115" s="293">
        <f t="shared" si="1"/>
        <v>-330.02</v>
      </c>
    </row>
    <row r="116" spans="1:7">
      <c r="A116" s="1" t="s">
        <v>341</v>
      </c>
      <c r="B116" s="83">
        <v>0</v>
      </c>
      <c r="C116" s="100">
        <v>6317.8399999999992</v>
      </c>
      <c r="D116" s="100">
        <v>15468.6</v>
      </c>
      <c r="E116" s="100">
        <v>22115.620000000003</v>
      </c>
      <c r="F116" s="116">
        <f t="shared" si="1"/>
        <v>6647.0200000000023</v>
      </c>
      <c r="G116" s="259"/>
    </row>
    <row r="117" spans="1:7" s="220" customFormat="1">
      <c r="A117" s="1" t="s">
        <v>214</v>
      </c>
      <c r="B117" s="83">
        <v>75107.547500000001</v>
      </c>
      <c r="C117" s="100">
        <v>31365.172299999998</v>
      </c>
      <c r="D117" s="100">
        <v>11724.920000000002</v>
      </c>
      <c r="E117" s="100">
        <v>11725.830000000004</v>
      </c>
      <c r="F117" s="116">
        <f t="shared" si="1"/>
        <v>0.91000000000167347</v>
      </c>
      <c r="G117" s="260"/>
    </row>
    <row r="118" spans="1:7">
      <c r="A118" s="1" t="s">
        <v>215</v>
      </c>
      <c r="B118" s="83">
        <v>4112.03</v>
      </c>
      <c r="C118" s="100">
        <v>0</v>
      </c>
      <c r="D118" s="100">
        <v>0</v>
      </c>
      <c r="E118" s="100">
        <v>0</v>
      </c>
      <c r="F118" s="100">
        <f t="shared" si="1"/>
        <v>0</v>
      </c>
    </row>
    <row r="119" spans="1:7">
      <c r="A119" s="13"/>
      <c r="B119" s="113"/>
      <c r="C119" s="111"/>
      <c r="D119" s="111"/>
      <c r="E119" s="111">
        <v>0</v>
      </c>
      <c r="F119" s="111">
        <f t="shared" si="1"/>
        <v>0</v>
      </c>
    </row>
    <row r="120" spans="1:7" ht="16.5">
      <c r="A120" s="154" t="s">
        <v>216</v>
      </c>
      <c r="B120" s="252">
        <v>409901.80591098749</v>
      </c>
      <c r="C120" s="280">
        <v>405459.70525441814</v>
      </c>
      <c r="D120" s="280">
        <v>565262.09453418257</v>
      </c>
      <c r="E120" s="280">
        <v>492650.50996950507</v>
      </c>
      <c r="F120" s="296">
        <f t="shared" si="1"/>
        <v>-72611.584564677498</v>
      </c>
    </row>
    <row r="121" spans="1:7">
      <c r="B121" s="83"/>
      <c r="C121" s="100"/>
      <c r="D121" s="100"/>
      <c r="E121" s="100">
        <v>0</v>
      </c>
      <c r="F121" s="100">
        <f t="shared" si="1"/>
        <v>0</v>
      </c>
    </row>
    <row r="122" spans="1:7" s="220" customFormat="1">
      <c r="A122" s="1" t="s">
        <v>217</v>
      </c>
      <c r="B122" s="83">
        <v>313984.04850676074</v>
      </c>
      <c r="C122" s="100">
        <v>460240.96928423614</v>
      </c>
      <c r="D122" s="100">
        <v>2130753.6817439245</v>
      </c>
      <c r="E122" s="100">
        <v>2130753.6817439245</v>
      </c>
      <c r="F122" s="100">
        <f t="shared" si="1"/>
        <v>0</v>
      </c>
      <c r="G122" s="260"/>
    </row>
    <row r="123" spans="1:7">
      <c r="A123" s="1" t="s">
        <v>139</v>
      </c>
      <c r="B123" s="83">
        <v>556158.72668846301</v>
      </c>
      <c r="C123" s="100">
        <v>2075972.4177141066</v>
      </c>
      <c r="D123" s="100">
        <v>85459.901352958987</v>
      </c>
      <c r="E123" s="100">
        <v>-9109.6324414856063</v>
      </c>
      <c r="F123" s="100">
        <f t="shared" si="1"/>
        <v>-94569.533794444593</v>
      </c>
    </row>
    <row r="124" spans="1:7">
      <c r="A124" s="13" t="s">
        <v>181</v>
      </c>
      <c r="B124" s="113">
        <v>-409901.8059109876</v>
      </c>
      <c r="C124" s="111">
        <v>-405459.70525441808</v>
      </c>
      <c r="D124" s="111">
        <v>-565285.48453418259</v>
      </c>
      <c r="E124" s="111">
        <v>-492650.5099695049</v>
      </c>
      <c r="F124" s="111">
        <f t="shared" si="1"/>
        <v>72634.974564677686</v>
      </c>
    </row>
    <row r="125" spans="1:7" ht="19.5">
      <c r="A125" s="248" t="s">
        <v>218</v>
      </c>
      <c r="B125" s="188">
        <v>460240.96928423614</v>
      </c>
      <c r="C125" s="178">
        <v>2130753.6817439245</v>
      </c>
      <c r="D125" s="178">
        <v>1650928.0985627007</v>
      </c>
      <c r="E125" s="178">
        <v>1628993.5393329337</v>
      </c>
      <c r="F125" s="299">
        <f t="shared" si="1"/>
        <v>-21934.55922976695</v>
      </c>
    </row>
    <row r="126" spans="1:7">
      <c r="A126" s="1" t="s">
        <v>219</v>
      </c>
      <c r="B126" s="83"/>
      <c r="C126" s="100"/>
      <c r="D126" s="100"/>
      <c r="E126" s="100"/>
      <c r="F126" s="100">
        <f t="shared" si="1"/>
        <v>0</v>
      </c>
    </row>
    <row r="127" spans="1:7">
      <c r="B127" s="83"/>
      <c r="C127" s="100"/>
      <c r="D127" s="100"/>
      <c r="E127" s="100"/>
      <c r="F127" s="100">
        <f t="shared" si="1"/>
        <v>0</v>
      </c>
    </row>
    <row r="128" spans="1:7" s="220" customFormat="1">
      <c r="A128" s="14" t="s">
        <v>220</v>
      </c>
      <c r="B128" s="255"/>
      <c r="C128" s="282"/>
      <c r="D128" s="282"/>
      <c r="E128" s="282"/>
      <c r="F128" s="282">
        <f t="shared" si="1"/>
        <v>0</v>
      </c>
      <c r="G128" s="260"/>
    </row>
    <row r="129" spans="1:7" s="249" customFormat="1">
      <c r="A129" s="1" t="s">
        <v>221</v>
      </c>
      <c r="B129" s="83"/>
      <c r="C129" s="100"/>
      <c r="D129" s="100"/>
      <c r="E129" s="100"/>
      <c r="F129" s="100">
        <f t="shared" si="1"/>
        <v>0</v>
      </c>
      <c r="G129" s="261"/>
    </row>
    <row r="130" spans="1:7">
      <c r="A130" s="1" t="s">
        <v>222</v>
      </c>
      <c r="B130" s="83"/>
      <c r="C130" s="100"/>
      <c r="D130" s="100"/>
      <c r="E130" s="100"/>
      <c r="F130" s="100">
        <f t="shared" si="1"/>
        <v>0</v>
      </c>
    </row>
    <row r="131" spans="1:7">
      <c r="A131" s="13" t="s">
        <v>348</v>
      </c>
      <c r="B131" s="113"/>
      <c r="C131" s="111"/>
      <c r="D131" s="111"/>
      <c r="E131" s="111"/>
      <c r="F131" s="111">
        <f t="shared" si="1"/>
        <v>0</v>
      </c>
    </row>
    <row r="132" spans="1:7">
      <c r="A132" s="14" t="s">
        <v>223</v>
      </c>
      <c r="B132" s="255">
        <v>709000</v>
      </c>
      <c r="C132" s="282">
        <v>790708.8600000001</v>
      </c>
      <c r="D132" s="282">
        <v>1024840.8281999998</v>
      </c>
      <c r="E132" s="282">
        <v>1025370.6386500001</v>
      </c>
      <c r="F132" s="300">
        <f t="shared" si="1"/>
        <v>529.81045000033919</v>
      </c>
    </row>
    <row r="133" spans="1:7">
      <c r="B133" s="83"/>
      <c r="C133" s="100"/>
      <c r="D133" s="100"/>
      <c r="E133" s="100"/>
      <c r="F133" s="100">
        <f t="shared" si="1"/>
        <v>0</v>
      </c>
    </row>
    <row r="134" spans="1:7">
      <c r="A134" s="14" t="s">
        <v>224</v>
      </c>
      <c r="B134" s="255"/>
      <c r="C134" s="282"/>
      <c r="D134" s="282"/>
      <c r="E134" s="282"/>
      <c r="F134" s="282">
        <f t="shared" ref="F134:F179" si="2">E134-D134</f>
        <v>0</v>
      </c>
    </row>
    <row r="135" spans="1:7">
      <c r="A135" s="9" t="s">
        <v>225</v>
      </c>
      <c r="B135" s="256"/>
      <c r="C135" s="285"/>
      <c r="D135" s="285"/>
      <c r="E135" s="285"/>
      <c r="F135" s="285">
        <f t="shared" si="2"/>
        <v>0</v>
      </c>
    </row>
    <row r="136" spans="1:7">
      <c r="A136" s="1" t="s">
        <v>226</v>
      </c>
      <c r="B136" s="83"/>
      <c r="C136" s="100"/>
      <c r="D136" s="100"/>
      <c r="E136" s="100"/>
      <c r="F136" s="100">
        <f t="shared" si="2"/>
        <v>0</v>
      </c>
    </row>
    <row r="137" spans="1:7">
      <c r="A137" s="13" t="s">
        <v>227</v>
      </c>
      <c r="B137" s="113">
        <v>398080.67</v>
      </c>
      <c r="C137" s="111">
        <v>374807.75999999995</v>
      </c>
      <c r="D137" s="111">
        <v>351084.06999999995</v>
      </c>
      <c r="E137" s="111">
        <v>351084.06999999995</v>
      </c>
      <c r="F137" s="111">
        <f t="shared" si="2"/>
        <v>0</v>
      </c>
      <c r="G137" s="259"/>
    </row>
    <row r="138" spans="1:7">
      <c r="A138" s="9" t="s">
        <v>352</v>
      </c>
      <c r="B138" s="256"/>
      <c r="C138" s="285"/>
      <c r="D138" s="285"/>
      <c r="E138" s="285"/>
      <c r="F138" s="285">
        <f t="shared" si="2"/>
        <v>0</v>
      </c>
    </row>
    <row r="139" spans="1:7">
      <c r="A139" s="1" t="s">
        <v>226</v>
      </c>
      <c r="B139" s="83"/>
      <c r="C139" s="100"/>
      <c r="D139" s="100"/>
      <c r="E139" s="100"/>
      <c r="F139" s="100">
        <f t="shared" si="2"/>
        <v>0</v>
      </c>
    </row>
    <row r="140" spans="1:7">
      <c r="A140" s="13" t="s">
        <v>227</v>
      </c>
      <c r="B140" s="113">
        <v>99000</v>
      </c>
      <c r="C140" s="111">
        <v>93730.489999999991</v>
      </c>
      <c r="D140" s="111">
        <v>77763.039999999979</v>
      </c>
      <c r="E140" s="111">
        <v>77763.039999999979</v>
      </c>
      <c r="F140" s="111">
        <f t="shared" si="2"/>
        <v>0</v>
      </c>
    </row>
    <row r="141" spans="1:7">
      <c r="A141" s="9" t="s">
        <v>353</v>
      </c>
      <c r="B141" s="256"/>
      <c r="C141" s="285"/>
      <c r="D141" s="285"/>
      <c r="E141" s="285"/>
      <c r="F141" s="285">
        <f t="shared" si="2"/>
        <v>0</v>
      </c>
    </row>
    <row r="142" spans="1:7">
      <c r="A142" s="1" t="s">
        <v>226</v>
      </c>
      <c r="B142" s="83"/>
      <c r="C142" s="100"/>
      <c r="D142" s="100"/>
      <c r="E142" s="100"/>
      <c r="F142" s="100">
        <f t="shared" si="2"/>
        <v>0</v>
      </c>
    </row>
    <row r="143" spans="1:7">
      <c r="A143" s="13" t="s">
        <v>227</v>
      </c>
      <c r="B143" s="113"/>
      <c r="C143" s="111"/>
      <c r="D143" s="111">
        <v>0</v>
      </c>
      <c r="E143" s="111">
        <v>73633.430023299996</v>
      </c>
      <c r="F143" s="302">
        <f t="shared" si="2"/>
        <v>73633.430023299996</v>
      </c>
    </row>
    <row r="144" spans="1:7">
      <c r="A144" s="9" t="s">
        <v>228</v>
      </c>
      <c r="B144" s="256"/>
      <c r="C144" s="285"/>
      <c r="D144" s="285"/>
      <c r="E144" s="285">
        <v>0</v>
      </c>
      <c r="F144" s="285">
        <f t="shared" si="2"/>
        <v>0</v>
      </c>
    </row>
    <row r="145" spans="1:69">
      <c r="A145" s="1" t="s">
        <v>226</v>
      </c>
      <c r="B145" s="83"/>
      <c r="C145" s="100"/>
      <c r="D145" s="100"/>
      <c r="E145" s="100">
        <v>0</v>
      </c>
      <c r="F145" s="100">
        <f t="shared" si="2"/>
        <v>0</v>
      </c>
    </row>
    <row r="146" spans="1:69">
      <c r="A146" s="13" t="s">
        <v>227</v>
      </c>
      <c r="B146" s="113">
        <v>-12271.254422500009</v>
      </c>
      <c r="C146" s="111">
        <v>106983.28312868989</v>
      </c>
      <c r="D146" s="111">
        <v>106983.28312868989</v>
      </c>
      <c r="E146" s="111">
        <v>106983.28312868989</v>
      </c>
      <c r="F146" s="111">
        <f t="shared" si="2"/>
        <v>0</v>
      </c>
    </row>
    <row r="147" spans="1:69">
      <c r="A147" s="9" t="s">
        <v>229</v>
      </c>
      <c r="B147" s="256"/>
      <c r="C147" s="285"/>
      <c r="D147" s="285"/>
      <c r="E147" s="285"/>
      <c r="F147" s="285">
        <f t="shared" si="2"/>
        <v>0</v>
      </c>
    </row>
    <row r="148" spans="1:69" s="220" customFormat="1">
      <c r="A148" s="1" t="s">
        <v>226</v>
      </c>
      <c r="B148" s="83"/>
      <c r="C148" s="100"/>
      <c r="D148" s="100"/>
      <c r="E148" s="100"/>
      <c r="F148" s="100">
        <f t="shared" si="2"/>
        <v>0</v>
      </c>
      <c r="G148" s="23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row>
    <row r="149" spans="1:69">
      <c r="A149" s="13" t="s">
        <v>227</v>
      </c>
      <c r="B149" s="113">
        <v>-199346.53000000003</v>
      </c>
      <c r="C149" s="111">
        <v>-590092.27</v>
      </c>
      <c r="D149" s="111">
        <v>-1110552.27</v>
      </c>
      <c r="E149" s="111">
        <v>-1277795.81</v>
      </c>
      <c r="F149" s="301">
        <f t="shared" si="2"/>
        <v>-167243.54000000004</v>
      </c>
    </row>
    <row r="150" spans="1:69" s="220" customFormat="1">
      <c r="A150" s="11" t="s">
        <v>230</v>
      </c>
      <c r="B150" s="257"/>
      <c r="C150" s="286"/>
      <c r="D150" s="286"/>
      <c r="E150" s="286"/>
      <c r="F150" s="286">
        <f t="shared" si="2"/>
        <v>0</v>
      </c>
      <c r="G150" s="238"/>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row>
    <row r="151" spans="1:69" s="220" customFormat="1">
      <c r="A151" s="1" t="s">
        <v>226</v>
      </c>
      <c r="B151" s="83"/>
      <c r="C151" s="100"/>
      <c r="D151" s="100"/>
      <c r="E151" s="100"/>
      <c r="F151" s="100">
        <f t="shared" si="2"/>
        <v>0</v>
      </c>
      <c r="G151" s="238"/>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row>
    <row r="152" spans="1:69">
      <c r="A152" s="13" t="s">
        <v>227</v>
      </c>
      <c r="B152" s="113">
        <v>-3000</v>
      </c>
      <c r="C152" s="111">
        <v>-3500</v>
      </c>
      <c r="D152" s="111">
        <v>-3500</v>
      </c>
      <c r="E152" s="111">
        <v>-7500</v>
      </c>
      <c r="F152" s="111">
        <f t="shared" si="2"/>
        <v>-4000</v>
      </c>
    </row>
    <row r="153" spans="1:69">
      <c r="A153" s="219" t="s">
        <v>215</v>
      </c>
      <c r="B153" s="258"/>
      <c r="C153" s="287"/>
      <c r="D153" s="287"/>
      <c r="E153" s="287"/>
      <c r="F153" s="287">
        <f t="shared" si="2"/>
        <v>0</v>
      </c>
    </row>
    <row r="154" spans="1:69">
      <c r="A154" s="1" t="s">
        <v>226</v>
      </c>
      <c r="B154" s="83"/>
      <c r="C154" s="100"/>
      <c r="D154" s="100"/>
      <c r="E154" s="100"/>
      <c r="F154" s="100">
        <f t="shared" si="2"/>
        <v>0</v>
      </c>
    </row>
    <row r="155" spans="1:69">
      <c r="A155" s="13" t="s">
        <v>227</v>
      </c>
      <c r="B155" s="113">
        <v>110176.95918367346</v>
      </c>
      <c r="C155" s="111">
        <v>163176.95918367346</v>
      </c>
      <c r="D155" s="111">
        <v>303176.95918367349</v>
      </c>
      <c r="E155" s="111">
        <v>303176.95918367349</v>
      </c>
      <c r="F155" s="111">
        <f t="shared" si="2"/>
        <v>0</v>
      </c>
    </row>
    <row r="156" spans="1:69">
      <c r="A156" s="11" t="s">
        <v>231</v>
      </c>
      <c r="B156" s="257"/>
      <c r="C156" s="286"/>
      <c r="D156" s="286"/>
      <c r="E156" s="286"/>
      <c r="F156" s="286">
        <f t="shared" si="2"/>
        <v>0</v>
      </c>
    </row>
    <row r="157" spans="1:69">
      <c r="A157" s="1" t="s">
        <v>226</v>
      </c>
      <c r="B157" s="83"/>
      <c r="C157" s="100"/>
      <c r="D157" s="100"/>
      <c r="E157" s="100"/>
      <c r="F157" s="100">
        <f t="shared" si="2"/>
        <v>0</v>
      </c>
    </row>
    <row r="158" spans="1:69">
      <c r="A158" s="13" t="s">
        <v>227</v>
      </c>
      <c r="B158" s="113"/>
      <c r="C158" s="111">
        <v>8000</v>
      </c>
      <c r="D158" s="111">
        <v>8000</v>
      </c>
      <c r="E158" s="111">
        <v>8000</v>
      </c>
      <c r="F158" s="111">
        <f t="shared" si="2"/>
        <v>0</v>
      </c>
    </row>
    <row r="159" spans="1:69">
      <c r="A159" s="11" t="s">
        <v>232</v>
      </c>
      <c r="B159" s="257"/>
      <c r="C159" s="286"/>
      <c r="D159" s="286"/>
      <c r="E159" s="286"/>
      <c r="F159" s="286">
        <f t="shared" si="2"/>
        <v>0</v>
      </c>
    </row>
    <row r="160" spans="1:69">
      <c r="A160" s="1" t="s">
        <v>226</v>
      </c>
      <c r="B160" s="83"/>
      <c r="C160" s="100"/>
      <c r="D160" s="100"/>
      <c r="E160" s="100"/>
      <c r="F160" s="100">
        <f t="shared" si="2"/>
        <v>0</v>
      </c>
    </row>
    <row r="161" spans="1:6">
      <c r="A161" s="13" t="s">
        <v>227</v>
      </c>
      <c r="B161" s="113"/>
      <c r="C161" s="111">
        <v>95000</v>
      </c>
      <c r="D161" s="111">
        <v>95000</v>
      </c>
      <c r="E161" s="111">
        <v>95000</v>
      </c>
      <c r="F161" s="111">
        <f t="shared" si="2"/>
        <v>0</v>
      </c>
    </row>
    <row r="162" spans="1:6">
      <c r="A162" s="11" t="s">
        <v>332</v>
      </c>
      <c r="B162" s="257"/>
      <c r="C162" s="286"/>
      <c r="D162" s="286"/>
      <c r="E162" s="286"/>
      <c r="F162" s="286">
        <f t="shared" si="2"/>
        <v>0</v>
      </c>
    </row>
    <row r="163" spans="1:6">
      <c r="A163" s="1" t="s">
        <v>226</v>
      </c>
      <c r="B163" s="83"/>
      <c r="C163" s="100"/>
      <c r="D163" s="100"/>
      <c r="E163" s="100"/>
      <c r="F163" s="100">
        <f t="shared" si="2"/>
        <v>0</v>
      </c>
    </row>
    <row r="164" spans="1:6">
      <c r="A164" s="13" t="s">
        <v>227</v>
      </c>
      <c r="B164" s="113"/>
      <c r="C164" s="111">
        <v>-43453.46</v>
      </c>
      <c r="D164" s="111">
        <v>-43453.46</v>
      </c>
      <c r="E164" s="111">
        <v>-43453.46</v>
      </c>
      <c r="F164" s="111">
        <f t="shared" si="2"/>
        <v>0</v>
      </c>
    </row>
    <row r="165" spans="1:6">
      <c r="A165" s="11" t="s">
        <v>335</v>
      </c>
      <c r="B165" s="257"/>
      <c r="C165" s="286"/>
      <c r="D165" s="286"/>
      <c r="E165" s="286"/>
      <c r="F165" s="286">
        <f t="shared" si="2"/>
        <v>0</v>
      </c>
    </row>
    <row r="166" spans="1:6">
      <c r="A166" s="1" t="s">
        <v>226</v>
      </c>
      <c r="B166" s="83"/>
      <c r="C166" s="100"/>
      <c r="D166" s="100"/>
      <c r="E166" s="100"/>
      <c r="F166" s="100">
        <f t="shared" si="2"/>
        <v>0</v>
      </c>
    </row>
    <row r="167" spans="1:6">
      <c r="A167" s="13" t="s">
        <v>336</v>
      </c>
      <c r="B167" s="113"/>
      <c r="C167" s="111">
        <v>-64604.73</v>
      </c>
      <c r="D167" s="111">
        <v>-112204.73000000001</v>
      </c>
      <c r="E167" s="111">
        <v>-112204.73000000001</v>
      </c>
      <c r="F167" s="111">
        <f t="shared" si="2"/>
        <v>0</v>
      </c>
    </row>
    <row r="168" spans="1:6">
      <c r="A168" s="11" t="s">
        <v>345</v>
      </c>
      <c r="B168" s="257"/>
      <c r="C168" s="286"/>
      <c r="D168" s="286"/>
      <c r="E168" s="286"/>
      <c r="F168" s="286">
        <f t="shared" si="2"/>
        <v>0</v>
      </c>
    </row>
    <row r="169" spans="1:6">
      <c r="A169" s="1" t="s">
        <v>226</v>
      </c>
      <c r="B169" s="83"/>
      <c r="C169" s="100"/>
      <c r="D169" s="100"/>
      <c r="E169" s="100"/>
      <c r="F169" s="100">
        <f t="shared" si="2"/>
        <v>0</v>
      </c>
    </row>
    <row r="170" spans="1:6">
      <c r="A170" s="13" t="s">
        <v>336</v>
      </c>
      <c r="B170" s="113"/>
      <c r="C170" s="111">
        <v>0</v>
      </c>
      <c r="D170" s="111">
        <v>-15000</v>
      </c>
      <c r="E170" s="111">
        <v>-15000</v>
      </c>
      <c r="F170" s="111">
        <f t="shared" si="2"/>
        <v>0</v>
      </c>
    </row>
    <row r="171" spans="1:6">
      <c r="A171" s="11" t="s">
        <v>346</v>
      </c>
      <c r="B171" s="257"/>
      <c r="C171" s="286"/>
      <c r="D171" s="286"/>
      <c r="E171" s="286"/>
      <c r="F171" s="286">
        <f t="shared" si="2"/>
        <v>0</v>
      </c>
    </row>
    <row r="172" spans="1:6">
      <c r="A172" s="1" t="s">
        <v>226</v>
      </c>
      <c r="B172" s="83"/>
      <c r="C172" s="100"/>
      <c r="D172" s="100"/>
      <c r="E172" s="100"/>
      <c r="F172" s="100">
        <f t="shared" si="2"/>
        <v>0</v>
      </c>
    </row>
    <row r="173" spans="1:6">
      <c r="A173" s="13" t="s">
        <v>336</v>
      </c>
      <c r="B173" s="113"/>
      <c r="C173" s="111">
        <v>-14717.425431711144</v>
      </c>
      <c r="D173" s="111">
        <v>-18933.095431711146</v>
      </c>
      <c r="E173" s="111">
        <v>-19312.385431711147</v>
      </c>
      <c r="F173" s="301">
        <f t="shared" si="2"/>
        <v>-379.29000000000087</v>
      </c>
    </row>
    <row r="174" spans="1:6">
      <c r="A174" s="11" t="s">
        <v>347</v>
      </c>
      <c r="B174" s="257"/>
      <c r="C174" s="286"/>
      <c r="D174" s="286"/>
      <c r="E174" s="286"/>
      <c r="F174" s="286">
        <f t="shared" si="2"/>
        <v>0</v>
      </c>
    </row>
    <row r="175" spans="1:6">
      <c r="A175" s="1" t="s">
        <v>226</v>
      </c>
      <c r="B175" s="83"/>
      <c r="C175" s="100"/>
      <c r="D175" s="100"/>
      <c r="E175" s="100"/>
      <c r="F175" s="100">
        <f t="shared" si="2"/>
        <v>0</v>
      </c>
    </row>
    <row r="176" spans="1:6">
      <c r="A176" s="13" t="s">
        <v>336</v>
      </c>
      <c r="B176" s="113"/>
      <c r="C176" s="111">
        <v>0</v>
      </c>
      <c r="D176" s="111">
        <v>-3270.76</v>
      </c>
      <c r="E176" s="111">
        <v>-3889.1000000000004</v>
      </c>
      <c r="F176" s="301">
        <f t="shared" si="2"/>
        <v>-618.34000000000015</v>
      </c>
    </row>
    <row r="177" spans="1:6">
      <c r="B177" s="83"/>
      <c r="C177" s="100"/>
      <c r="D177" s="100"/>
      <c r="E177" s="100">
        <v>0</v>
      </c>
      <c r="F177" s="100">
        <f t="shared" si="2"/>
        <v>0</v>
      </c>
    </row>
    <row r="178" spans="1:6">
      <c r="A178" s="13"/>
      <c r="B178" s="113"/>
      <c r="C178" s="111"/>
      <c r="D178" s="111"/>
      <c r="E178" s="111">
        <v>0</v>
      </c>
      <c r="F178" s="111">
        <f t="shared" si="2"/>
        <v>0</v>
      </c>
    </row>
    <row r="179" spans="1:6" ht="16.5">
      <c r="A179" s="58" t="s">
        <v>233</v>
      </c>
      <c r="B179" s="168">
        <v>143880.81404540967</v>
      </c>
      <c r="C179" s="165">
        <v>1465375.4286245767</v>
      </c>
      <c r="D179" s="165">
        <v>81360.307243353207</v>
      </c>
      <c r="E179" s="165">
        <v>140108.19758688571</v>
      </c>
      <c r="F179" s="300">
        <f t="shared" si="2"/>
        <v>58747.890343532505</v>
      </c>
    </row>
    <row r="180" spans="1:6">
      <c r="A180" s="1" t="s">
        <v>234</v>
      </c>
      <c r="B180" s="83"/>
      <c r="C180" s="100"/>
      <c r="D180" s="100"/>
      <c r="E180" s="100">
        <v>0</v>
      </c>
      <c r="F180" s="111"/>
    </row>
    <row r="181" spans="1:6">
      <c r="A181" s="1" t="s">
        <v>235</v>
      </c>
      <c r="B181" s="83"/>
      <c r="C181" s="100"/>
      <c r="D181" s="100"/>
      <c r="E181" s="100">
        <v>140108.19758688571</v>
      </c>
      <c r="F181" s="100"/>
    </row>
    <row r="182" spans="1:6">
      <c r="A182" s="1" t="s">
        <v>236</v>
      </c>
      <c r="B182" s="83"/>
      <c r="C182" s="100"/>
      <c r="D182" s="100"/>
      <c r="E182" s="100"/>
      <c r="F182" s="100"/>
    </row>
    <row r="183" spans="1:6">
      <c r="A183" s="1" t="s">
        <v>237</v>
      </c>
      <c r="B183" s="83"/>
      <c r="C183" s="100"/>
      <c r="D183" s="100"/>
      <c r="E183" s="100"/>
      <c r="F183" s="100"/>
    </row>
    <row r="184" spans="1:6">
      <c r="A184" s="1" t="s">
        <v>238</v>
      </c>
      <c r="B184" s="83"/>
      <c r="C184" s="100"/>
      <c r="D184" s="100"/>
      <c r="E184" s="100"/>
      <c r="F184" s="100"/>
    </row>
    <row r="185" spans="1:6">
      <c r="A185" s="1" t="s">
        <v>239</v>
      </c>
      <c r="B185" s="83"/>
      <c r="C185" s="100"/>
      <c r="D185" s="100"/>
      <c r="E185" s="100"/>
      <c r="F185" s="100"/>
    </row>
    <row r="186" spans="1:6">
      <c r="A186" s="1" t="s">
        <v>240</v>
      </c>
      <c r="B186" s="83"/>
      <c r="C186" s="100"/>
      <c r="D186" s="100"/>
      <c r="E186" s="100"/>
      <c r="F186" s="100"/>
    </row>
    <row r="187" spans="1:6">
      <c r="A187" s="1" t="s">
        <v>241</v>
      </c>
      <c r="B187" s="83"/>
      <c r="C187" s="100"/>
      <c r="D187" s="100"/>
      <c r="E187" s="100"/>
      <c r="F187" s="100"/>
    </row>
    <row r="188" spans="1:6">
      <c r="A188" s="1" t="s">
        <v>242</v>
      </c>
      <c r="B188" s="83"/>
      <c r="C188" s="100"/>
      <c r="D188" s="288"/>
      <c r="E188" s="288"/>
      <c r="F188" s="288"/>
    </row>
    <row r="189" spans="1:6">
      <c r="A189" s="141" t="s">
        <v>243</v>
      </c>
      <c r="B189" s="284"/>
      <c r="C189" s="288"/>
      <c r="D189" s="100"/>
      <c r="E189" s="100"/>
      <c r="F189" s="100"/>
    </row>
    <row r="190" spans="1:6">
      <c r="A190" s="1" t="s">
        <v>244</v>
      </c>
      <c r="B190" s="83"/>
      <c r="C190" s="100"/>
      <c r="D190" s="100"/>
      <c r="E190" s="100"/>
      <c r="F190" s="100"/>
    </row>
    <row r="191" spans="1:6">
      <c r="B191" s="1"/>
      <c r="C191" s="267"/>
      <c r="D191" s="267"/>
      <c r="E191" s="267"/>
      <c r="F191" s="267"/>
    </row>
    <row r="192" spans="1:6">
      <c r="B192" s="221"/>
      <c r="C192" s="267"/>
      <c r="D192" s="267"/>
      <c r="E192" s="267"/>
      <c r="F192" s="267"/>
    </row>
    <row r="193" spans="2:6">
      <c r="B193" s="221"/>
      <c r="C193" s="267"/>
      <c r="D193" s="267"/>
      <c r="E193" s="267"/>
      <c r="F193" s="267"/>
    </row>
    <row r="194" spans="2:6">
      <c r="B194" s="221"/>
      <c r="C194" s="267"/>
      <c r="D194" s="267"/>
      <c r="E194" s="267"/>
      <c r="F194" s="267"/>
    </row>
    <row r="195" spans="2:6">
      <c r="B195" s="221"/>
      <c r="C195" s="267"/>
      <c r="D195" s="267"/>
      <c r="E195" s="267"/>
      <c r="F195" s="267"/>
    </row>
    <row r="196" spans="2:6">
      <c r="B196" s="221"/>
      <c r="C196" s="267"/>
      <c r="D196" s="267"/>
      <c r="E196" s="267"/>
      <c r="F196" s="267"/>
    </row>
    <row r="197" spans="2:6">
      <c r="B197" s="221"/>
      <c r="C197" s="267"/>
      <c r="D197" s="267"/>
      <c r="E197" s="267"/>
      <c r="F197" s="267"/>
    </row>
    <row r="198" spans="2:6">
      <c r="B198" s="221"/>
      <c r="C198" s="267"/>
      <c r="D198" s="267"/>
      <c r="E198" s="267"/>
      <c r="F198" s="267"/>
    </row>
    <row r="199" spans="2:6">
      <c r="B199" s="221"/>
      <c r="C199" s="267"/>
      <c r="D199" s="267"/>
      <c r="E199" s="267"/>
      <c r="F199" s="267"/>
    </row>
    <row r="200" spans="2:6">
      <c r="B200" s="221"/>
      <c r="C200" s="267"/>
      <c r="D200" s="267"/>
      <c r="E200" s="267"/>
      <c r="F200" s="267"/>
    </row>
    <row r="201" spans="2:6">
      <c r="B201" s="221"/>
      <c r="C201" s="267"/>
      <c r="D201" s="267"/>
      <c r="E201" s="267"/>
      <c r="F201" s="267"/>
    </row>
    <row r="202" spans="2:6">
      <c r="B202" s="221"/>
      <c r="C202" s="267"/>
      <c r="D202" s="267"/>
      <c r="E202" s="267"/>
      <c r="F202" s="267"/>
    </row>
    <row r="203" spans="2:6">
      <c r="B203" s="221"/>
      <c r="C203" s="267"/>
      <c r="D203" s="267"/>
      <c r="E203" s="267"/>
      <c r="F203" s="267"/>
    </row>
    <row r="204" spans="2:6">
      <c r="B204" s="221"/>
      <c r="C204" s="267"/>
      <c r="D204" s="267"/>
      <c r="E204" s="267"/>
      <c r="F204" s="267"/>
    </row>
    <row r="205" spans="2:6">
      <c r="B205" s="221"/>
      <c r="C205" s="267"/>
      <c r="D205" s="267"/>
      <c r="E205" s="267"/>
      <c r="F205" s="267"/>
    </row>
    <row r="206" spans="2:6">
      <c r="B206" s="221"/>
      <c r="C206" s="267"/>
      <c r="D206" s="267"/>
      <c r="E206" s="267"/>
      <c r="F206" s="267"/>
    </row>
    <row r="207" spans="2:6">
      <c r="B207" s="221"/>
      <c r="C207" s="267"/>
      <c r="D207" s="267"/>
      <c r="E207" s="267"/>
      <c r="F207" s="267"/>
    </row>
    <row r="208" spans="2:6">
      <c r="B208" s="221"/>
      <c r="C208" s="267"/>
      <c r="D208" s="267"/>
      <c r="E208" s="267"/>
      <c r="F208" s="267"/>
    </row>
    <row r="209" spans="2:6">
      <c r="B209" s="221"/>
      <c r="C209" s="267"/>
      <c r="D209" s="267"/>
      <c r="E209" s="267"/>
      <c r="F209" s="267"/>
    </row>
    <row r="210" spans="2:6">
      <c r="B210" s="221"/>
      <c r="C210" s="267"/>
      <c r="D210" s="267"/>
      <c r="E210" s="267"/>
      <c r="F210" s="267"/>
    </row>
    <row r="211" spans="2:6">
      <c r="B211" s="221"/>
      <c r="C211" s="267"/>
      <c r="D211" s="267"/>
      <c r="E211" s="267"/>
      <c r="F211" s="267"/>
    </row>
    <row r="212" spans="2:6">
      <c r="B212" s="221"/>
      <c r="C212" s="267"/>
      <c r="D212" s="267"/>
      <c r="E212" s="267"/>
      <c r="F212" s="267"/>
    </row>
    <row r="213" spans="2:6">
      <c r="B213" s="221"/>
      <c r="C213" s="267"/>
      <c r="D213" s="267"/>
      <c r="E213" s="267"/>
      <c r="F213" s="267"/>
    </row>
    <row r="214" spans="2:6">
      <c r="B214" s="221"/>
      <c r="C214" s="267"/>
      <c r="D214" s="267"/>
      <c r="E214" s="267"/>
      <c r="F214" s="267"/>
    </row>
    <row r="215" spans="2:6">
      <c r="B215" s="221"/>
      <c r="C215" s="267"/>
      <c r="D215" s="267"/>
      <c r="E215" s="267"/>
      <c r="F215" s="267"/>
    </row>
    <row r="216" spans="2:6">
      <c r="B216" s="221"/>
      <c r="C216" s="267"/>
      <c r="D216" s="267"/>
      <c r="E216" s="267"/>
      <c r="F216" s="267"/>
    </row>
    <row r="217" spans="2:6">
      <c r="B217" s="221"/>
      <c r="C217" s="267"/>
      <c r="D217" s="267"/>
      <c r="E217" s="267"/>
      <c r="F217" s="267"/>
    </row>
    <row r="218" spans="2:6">
      <c r="B218" s="221"/>
      <c r="C218" s="267"/>
      <c r="D218" s="267"/>
      <c r="E218" s="267"/>
      <c r="F218" s="267"/>
    </row>
    <row r="219" spans="2:6">
      <c r="B219" s="221"/>
      <c r="C219" s="267"/>
      <c r="D219" s="267"/>
      <c r="E219" s="267"/>
      <c r="F219" s="267"/>
    </row>
    <row r="220" spans="2:6">
      <c r="B220" s="221"/>
      <c r="C220" s="267"/>
      <c r="D220" s="267"/>
      <c r="E220" s="267"/>
      <c r="F220" s="267"/>
    </row>
    <row r="221" spans="2:6">
      <c r="B221" s="221"/>
      <c r="C221" s="267"/>
      <c r="D221" s="267"/>
      <c r="E221" s="267"/>
      <c r="F221" s="267"/>
    </row>
    <row r="222" spans="2:6">
      <c r="B222" s="221"/>
      <c r="C222" s="267"/>
      <c r="D222" s="267"/>
      <c r="E222" s="267"/>
      <c r="F222" s="267"/>
    </row>
    <row r="223" spans="2:6">
      <c r="B223" s="221"/>
      <c r="C223" s="267"/>
      <c r="D223" s="267"/>
      <c r="E223" s="267"/>
      <c r="F223" s="267"/>
    </row>
    <row r="224" spans="2:6">
      <c r="B224" s="221"/>
      <c r="C224" s="267"/>
      <c r="D224" s="267"/>
      <c r="E224" s="267"/>
      <c r="F224" s="267"/>
    </row>
    <row r="225" spans="2:6">
      <c r="B225" s="221"/>
      <c r="C225" s="267"/>
      <c r="D225" s="267"/>
      <c r="E225" s="267"/>
      <c r="F225" s="267"/>
    </row>
    <row r="226" spans="2:6">
      <c r="B226" s="221"/>
      <c r="C226" s="267"/>
      <c r="D226" s="267"/>
      <c r="E226" s="267"/>
      <c r="F226" s="267"/>
    </row>
    <row r="227" spans="2:6">
      <c r="B227" s="221"/>
      <c r="C227" s="267"/>
      <c r="D227" s="267"/>
      <c r="E227" s="267"/>
      <c r="F227" s="267"/>
    </row>
    <row r="228" spans="2:6">
      <c r="B228" s="221"/>
      <c r="C228" s="267"/>
      <c r="D228" s="267"/>
      <c r="E228" s="267"/>
      <c r="F228" s="267"/>
    </row>
    <row r="229" spans="2:6">
      <c r="B229" s="221"/>
      <c r="C229" s="267"/>
      <c r="D229" s="267"/>
      <c r="E229" s="267"/>
      <c r="F229" s="267"/>
    </row>
    <row r="230" spans="2:6">
      <c r="B230" s="221"/>
      <c r="C230" s="267"/>
      <c r="D230" s="267"/>
      <c r="E230" s="267"/>
      <c r="F230" s="267"/>
    </row>
    <row r="231" spans="2:6">
      <c r="B231" s="221"/>
      <c r="C231" s="267"/>
      <c r="D231" s="267"/>
      <c r="E231" s="267"/>
      <c r="F231" s="267"/>
    </row>
    <row r="232" spans="2:6">
      <c r="B232" s="221"/>
      <c r="C232" s="267"/>
      <c r="D232" s="267"/>
      <c r="E232" s="267"/>
      <c r="F232" s="267"/>
    </row>
    <row r="233" spans="2:6">
      <c r="B233" s="221"/>
      <c r="C233" s="267"/>
      <c r="D233" s="267"/>
      <c r="E233" s="267"/>
      <c r="F233" s="267"/>
    </row>
    <row r="234" spans="2:6">
      <c r="B234" s="221"/>
      <c r="C234" s="267"/>
      <c r="D234" s="267"/>
      <c r="E234" s="267"/>
      <c r="F234" s="267"/>
    </row>
    <row r="235" spans="2:6">
      <c r="B235" s="221"/>
      <c r="C235" s="267"/>
      <c r="D235" s="267"/>
      <c r="E235" s="267"/>
      <c r="F235" s="267"/>
    </row>
    <row r="236" spans="2:6">
      <c r="B236" s="221"/>
      <c r="C236" s="267"/>
      <c r="D236" s="267"/>
      <c r="E236" s="267"/>
      <c r="F236" s="267"/>
    </row>
    <row r="237" spans="2:6">
      <c r="B237" s="221"/>
      <c r="C237" s="267"/>
      <c r="D237" s="267"/>
      <c r="E237" s="267"/>
      <c r="F237" s="267"/>
    </row>
    <row r="238" spans="2:6">
      <c r="B238" s="221"/>
      <c r="C238" s="267"/>
      <c r="D238" s="267"/>
      <c r="E238" s="267"/>
      <c r="F238" s="267"/>
    </row>
    <row r="239" spans="2:6">
      <c r="B239" s="221"/>
      <c r="C239" s="267"/>
      <c r="D239" s="267"/>
      <c r="E239" s="267"/>
      <c r="F239" s="267"/>
    </row>
    <row r="240" spans="2:6">
      <c r="B240" s="221"/>
      <c r="C240" s="267"/>
      <c r="D240" s="267"/>
      <c r="E240" s="267"/>
      <c r="F240" s="267"/>
    </row>
    <row r="241" spans="2:6">
      <c r="B241" s="221"/>
      <c r="C241" s="267"/>
      <c r="D241" s="267"/>
      <c r="E241" s="267"/>
      <c r="F241" s="267"/>
    </row>
    <row r="242" spans="2:6">
      <c r="B242" s="221"/>
      <c r="C242" s="267"/>
      <c r="D242" s="267"/>
      <c r="E242" s="267"/>
      <c r="F242" s="267"/>
    </row>
    <row r="243" spans="2:6">
      <c r="B243" s="221"/>
      <c r="C243" s="267"/>
      <c r="D243" s="267"/>
      <c r="E243" s="267"/>
      <c r="F243" s="267"/>
    </row>
    <row r="244" spans="2:6">
      <c r="B244" s="221"/>
      <c r="C244" s="267"/>
      <c r="D244" s="267"/>
      <c r="E244" s="267"/>
      <c r="F244" s="267"/>
    </row>
    <row r="245" spans="2:6">
      <c r="B245" s="221"/>
      <c r="C245" s="267"/>
      <c r="D245" s="267"/>
      <c r="E245" s="267"/>
      <c r="F245" s="267"/>
    </row>
    <row r="246" spans="2:6">
      <c r="B246" s="221"/>
      <c r="C246" s="267"/>
      <c r="D246" s="267"/>
      <c r="E246" s="267"/>
      <c r="F246" s="267"/>
    </row>
    <row r="247" spans="2:6">
      <c r="B247" s="221"/>
      <c r="C247" s="267"/>
      <c r="D247" s="267"/>
      <c r="E247" s="267"/>
      <c r="F247" s="267"/>
    </row>
    <row r="248" spans="2:6">
      <c r="B248" s="221"/>
      <c r="C248" s="267"/>
      <c r="D248" s="267"/>
      <c r="E248" s="267"/>
      <c r="F248" s="267"/>
    </row>
    <row r="249" spans="2:6">
      <c r="B249" s="221"/>
      <c r="C249" s="267"/>
      <c r="D249" s="267"/>
      <c r="E249" s="267"/>
      <c r="F249" s="267"/>
    </row>
    <row r="250" spans="2:6">
      <c r="B250" s="221"/>
      <c r="C250" s="267"/>
      <c r="D250" s="267"/>
      <c r="E250" s="267"/>
      <c r="F250" s="267"/>
    </row>
    <row r="251" spans="2:6">
      <c r="B251" s="221"/>
      <c r="C251" s="267"/>
      <c r="D251" s="267"/>
      <c r="E251" s="267"/>
      <c r="F251" s="267"/>
    </row>
    <row r="252" spans="2:6">
      <c r="B252" s="221"/>
      <c r="C252" s="267"/>
      <c r="D252" s="267"/>
      <c r="E252" s="267"/>
      <c r="F252" s="267"/>
    </row>
    <row r="253" spans="2:6">
      <c r="B253" s="221"/>
      <c r="C253" s="267"/>
      <c r="D253" s="267"/>
      <c r="E253" s="267"/>
      <c r="F253" s="267"/>
    </row>
    <row r="254" spans="2:6">
      <c r="B254" s="221"/>
      <c r="C254" s="267"/>
      <c r="D254" s="267"/>
      <c r="E254" s="267"/>
      <c r="F254" s="267"/>
    </row>
    <row r="255" spans="2:6">
      <c r="B255" s="221"/>
      <c r="C255" s="267"/>
      <c r="D255" s="267"/>
      <c r="E255" s="267"/>
      <c r="F255" s="267"/>
    </row>
    <row r="256" spans="2:6">
      <c r="B256" s="221"/>
      <c r="C256" s="267"/>
      <c r="D256" s="267"/>
      <c r="E256" s="267"/>
      <c r="F256" s="267"/>
    </row>
    <row r="257" spans="2:6">
      <c r="B257" s="221"/>
      <c r="C257" s="267"/>
      <c r="D257" s="267"/>
      <c r="E257" s="267"/>
      <c r="F257" s="267"/>
    </row>
    <row r="258" spans="2:6">
      <c r="B258" s="221"/>
      <c r="C258" s="267"/>
      <c r="D258" s="267"/>
      <c r="E258" s="267"/>
      <c r="F258" s="267"/>
    </row>
    <row r="259" spans="2:6">
      <c r="B259" s="221"/>
      <c r="C259" s="267"/>
      <c r="D259" s="267"/>
      <c r="E259" s="267"/>
      <c r="F259" s="267"/>
    </row>
    <row r="260" spans="2:6">
      <c r="B260" s="221"/>
      <c r="C260" s="267"/>
      <c r="D260" s="267"/>
      <c r="E260" s="267"/>
      <c r="F260" s="267"/>
    </row>
    <row r="261" spans="2:6">
      <c r="B261" s="221"/>
      <c r="C261" s="267"/>
      <c r="D261" s="267"/>
      <c r="E261" s="267"/>
      <c r="F261" s="267"/>
    </row>
    <row r="262" spans="2:6">
      <c r="B262" s="221"/>
      <c r="C262" s="267"/>
      <c r="D262" s="267"/>
      <c r="E262" s="267"/>
      <c r="F262" s="267"/>
    </row>
    <row r="263" spans="2:6">
      <c r="B263" s="221"/>
      <c r="C263" s="267"/>
      <c r="D263" s="267"/>
      <c r="E263" s="267"/>
      <c r="F263" s="267"/>
    </row>
    <row r="264" spans="2:6">
      <c r="B264" s="221"/>
      <c r="C264" s="267"/>
      <c r="D264" s="267"/>
      <c r="E264" s="267"/>
      <c r="F264" s="267"/>
    </row>
    <row r="265" spans="2:6">
      <c r="B265" s="221"/>
      <c r="C265" s="267"/>
      <c r="D265" s="267"/>
      <c r="E265" s="267"/>
      <c r="F265" s="267"/>
    </row>
    <row r="266" spans="2:6">
      <c r="B266" s="221"/>
      <c r="C266" s="267"/>
      <c r="D266" s="267"/>
      <c r="E266" s="267"/>
      <c r="F266" s="267"/>
    </row>
    <row r="267" spans="2:6">
      <c r="B267" s="221"/>
      <c r="C267" s="267"/>
      <c r="D267" s="267"/>
      <c r="E267" s="267"/>
      <c r="F267" s="267"/>
    </row>
    <row r="268" spans="2:6">
      <c r="B268" s="221"/>
      <c r="C268" s="267"/>
      <c r="D268" s="267"/>
      <c r="E268" s="267"/>
      <c r="F268" s="267"/>
    </row>
    <row r="269" spans="2:6">
      <c r="B269" s="221"/>
      <c r="C269" s="267"/>
      <c r="D269" s="267"/>
      <c r="E269" s="267"/>
      <c r="F269" s="267"/>
    </row>
    <row r="270" spans="2:6">
      <c r="B270" s="221"/>
      <c r="C270" s="267"/>
      <c r="D270" s="267"/>
      <c r="E270" s="267"/>
      <c r="F270" s="267"/>
    </row>
    <row r="271" spans="2:6">
      <c r="B271" s="221"/>
      <c r="C271" s="267"/>
      <c r="D271" s="267"/>
      <c r="E271" s="267"/>
      <c r="F271" s="267"/>
    </row>
    <row r="272" spans="2:6">
      <c r="B272" s="221"/>
      <c r="C272" s="267"/>
      <c r="D272" s="267"/>
      <c r="E272" s="267"/>
      <c r="F272" s="267"/>
    </row>
    <row r="273" spans="2:6">
      <c r="B273" s="221"/>
      <c r="C273" s="267"/>
      <c r="D273" s="267"/>
      <c r="E273" s="267"/>
      <c r="F273" s="267"/>
    </row>
    <row r="274" spans="2:6">
      <c r="B274" s="221"/>
      <c r="C274" s="267"/>
      <c r="D274" s="267"/>
      <c r="E274" s="267"/>
      <c r="F274" s="267"/>
    </row>
    <row r="275" spans="2:6">
      <c r="B275" s="221"/>
      <c r="C275" s="267"/>
      <c r="D275" s="267"/>
      <c r="E275" s="267"/>
      <c r="F275" s="267"/>
    </row>
    <row r="276" spans="2:6">
      <c r="B276" s="221"/>
      <c r="C276" s="267"/>
      <c r="D276" s="267"/>
      <c r="E276" s="267"/>
      <c r="F276" s="267"/>
    </row>
    <row r="277" spans="2:6">
      <c r="B277" s="221"/>
      <c r="C277" s="267"/>
      <c r="D277" s="267"/>
      <c r="E277" s="267"/>
      <c r="F277" s="267"/>
    </row>
    <row r="278" spans="2:6">
      <c r="B278" s="221"/>
      <c r="C278" s="267"/>
      <c r="D278" s="267"/>
      <c r="E278" s="267"/>
      <c r="F278" s="267"/>
    </row>
    <row r="279" spans="2:6">
      <c r="B279" s="221"/>
      <c r="C279" s="267"/>
      <c r="D279" s="267"/>
      <c r="E279" s="267"/>
      <c r="F279" s="267"/>
    </row>
    <row r="280" spans="2:6">
      <c r="B280" s="221"/>
      <c r="C280" s="267"/>
      <c r="D280" s="267"/>
      <c r="E280" s="267"/>
      <c r="F280" s="267"/>
    </row>
    <row r="281" spans="2:6">
      <c r="B281" s="221"/>
      <c r="C281" s="267"/>
      <c r="D281" s="267"/>
      <c r="E281" s="267"/>
      <c r="F281" s="267"/>
    </row>
    <row r="282" spans="2:6">
      <c r="B282" s="221"/>
      <c r="C282" s="267"/>
      <c r="D282" s="267"/>
      <c r="E282" s="267"/>
      <c r="F282" s="267"/>
    </row>
    <row r="283" spans="2:6">
      <c r="B283" s="221"/>
      <c r="C283" s="267"/>
      <c r="D283" s="267"/>
      <c r="E283" s="267"/>
      <c r="F283" s="267"/>
    </row>
    <row r="284" spans="2:6">
      <c r="B284" s="221"/>
      <c r="C284" s="267"/>
      <c r="D284" s="267"/>
      <c r="E284" s="267"/>
      <c r="F284" s="267"/>
    </row>
    <row r="285" spans="2:6">
      <c r="B285" s="221"/>
      <c r="C285" s="267"/>
      <c r="D285" s="267"/>
      <c r="E285" s="267"/>
      <c r="F285" s="267"/>
    </row>
    <row r="286" spans="2:6">
      <c r="B286" s="221"/>
      <c r="C286" s="267"/>
      <c r="D286" s="267"/>
      <c r="E286" s="267"/>
      <c r="F286" s="267"/>
    </row>
    <row r="287" spans="2:6">
      <c r="B287" s="221"/>
      <c r="C287" s="267"/>
      <c r="D287" s="267"/>
      <c r="E287" s="267"/>
      <c r="F287" s="267"/>
    </row>
    <row r="288" spans="2:6">
      <c r="B288" s="221"/>
      <c r="C288" s="267"/>
      <c r="D288" s="267"/>
      <c r="E288" s="267"/>
      <c r="F288" s="267"/>
    </row>
    <row r="289" spans="2:6">
      <c r="B289" s="221"/>
      <c r="C289" s="267"/>
      <c r="D289" s="267"/>
      <c r="E289" s="267"/>
      <c r="F289" s="267"/>
    </row>
    <row r="290" spans="2:6">
      <c r="B290" s="221"/>
      <c r="C290" s="267"/>
      <c r="D290" s="267"/>
      <c r="E290" s="267"/>
      <c r="F290" s="267"/>
    </row>
    <row r="291" spans="2:6">
      <c r="B291" s="221"/>
      <c r="C291" s="267"/>
      <c r="D291" s="267"/>
      <c r="E291" s="267"/>
      <c r="F291" s="267"/>
    </row>
    <row r="292" spans="2:6">
      <c r="B292" s="221"/>
      <c r="C292" s="267"/>
      <c r="D292" s="267"/>
      <c r="E292" s="267"/>
      <c r="F292" s="267"/>
    </row>
    <row r="293" spans="2:6">
      <c r="B293" s="221"/>
      <c r="C293" s="267"/>
      <c r="D293" s="267"/>
      <c r="E293" s="267"/>
      <c r="F293" s="267"/>
    </row>
    <row r="294" spans="2:6">
      <c r="B294" s="221"/>
      <c r="C294" s="267"/>
      <c r="D294" s="267"/>
      <c r="E294" s="267"/>
      <c r="F294" s="267"/>
    </row>
    <row r="295" spans="2:6">
      <c r="B295" s="221"/>
      <c r="C295" s="267"/>
      <c r="D295" s="267"/>
      <c r="E295" s="267"/>
      <c r="F295" s="267"/>
    </row>
    <row r="296" spans="2:6">
      <c r="B296" s="221"/>
      <c r="C296" s="267"/>
      <c r="D296" s="267"/>
      <c r="E296" s="267"/>
      <c r="F296" s="267"/>
    </row>
    <row r="297" spans="2:6">
      <c r="B297" s="221"/>
      <c r="C297" s="267"/>
      <c r="D297" s="267"/>
      <c r="E297" s="267"/>
      <c r="F297" s="267"/>
    </row>
    <row r="298" spans="2:6">
      <c r="B298" s="221"/>
      <c r="C298" s="267"/>
      <c r="D298" s="267"/>
      <c r="E298" s="267"/>
      <c r="F298" s="267"/>
    </row>
    <row r="299" spans="2:6">
      <c r="B299" s="221"/>
      <c r="C299" s="267"/>
      <c r="D299" s="267"/>
      <c r="E299" s="267"/>
      <c r="F299" s="267"/>
    </row>
    <row r="300" spans="2:6">
      <c r="B300" s="221"/>
      <c r="C300" s="267"/>
      <c r="D300" s="267"/>
      <c r="E300" s="267"/>
      <c r="F300" s="267"/>
    </row>
    <row r="301" spans="2:6">
      <c r="B301" s="221"/>
      <c r="C301" s="267"/>
      <c r="D301" s="267"/>
      <c r="E301" s="267"/>
      <c r="F301" s="267"/>
    </row>
    <row r="302" spans="2:6">
      <c r="B302" s="221"/>
      <c r="C302" s="267"/>
      <c r="D302" s="267"/>
      <c r="E302" s="267"/>
      <c r="F302" s="267"/>
    </row>
    <row r="303" spans="2:6">
      <c r="B303" s="221"/>
      <c r="C303" s="267"/>
      <c r="D303" s="267"/>
      <c r="E303" s="267"/>
      <c r="F303" s="267"/>
    </row>
    <row r="304" spans="2:6">
      <c r="B304" s="221"/>
      <c r="C304" s="267"/>
      <c r="D304" s="267"/>
      <c r="E304" s="267"/>
      <c r="F304" s="267"/>
    </row>
    <row r="305" spans="2:6">
      <c r="B305" s="221"/>
      <c r="C305" s="267"/>
      <c r="D305" s="267"/>
      <c r="E305" s="267"/>
      <c r="F305" s="267"/>
    </row>
    <row r="306" spans="2:6">
      <c r="B306" s="221"/>
      <c r="C306" s="267"/>
      <c r="D306" s="267"/>
      <c r="E306" s="267"/>
      <c r="F306" s="267"/>
    </row>
    <row r="307" spans="2:6">
      <c r="B307" s="221"/>
      <c r="C307" s="267"/>
      <c r="D307" s="267"/>
      <c r="E307" s="267"/>
      <c r="F307" s="267"/>
    </row>
    <row r="308" spans="2:6">
      <c r="B308" s="221"/>
      <c r="C308" s="267"/>
      <c r="D308" s="267"/>
      <c r="E308" s="267"/>
      <c r="F308" s="267"/>
    </row>
    <row r="309" spans="2:6">
      <c r="B309" s="221"/>
      <c r="C309" s="267"/>
      <c r="D309" s="267"/>
      <c r="E309" s="267"/>
      <c r="F309" s="267"/>
    </row>
    <row r="310" spans="2:6">
      <c r="B310" s="221"/>
      <c r="C310" s="267"/>
      <c r="D310" s="267"/>
      <c r="E310" s="267"/>
      <c r="F310" s="267"/>
    </row>
    <row r="311" spans="2:6">
      <c r="B311" s="221"/>
      <c r="C311" s="267"/>
      <c r="D311" s="267"/>
      <c r="E311" s="267"/>
      <c r="F311" s="267"/>
    </row>
    <row r="312" spans="2:6">
      <c r="B312" s="221"/>
      <c r="C312" s="267"/>
      <c r="D312" s="267"/>
      <c r="E312" s="267"/>
      <c r="F312" s="267"/>
    </row>
    <row r="313" spans="2:6">
      <c r="B313" s="221"/>
      <c r="C313" s="267"/>
      <c r="D313" s="267"/>
      <c r="E313" s="267"/>
      <c r="F313" s="267"/>
    </row>
    <row r="314" spans="2:6">
      <c r="B314" s="221"/>
      <c r="C314" s="267"/>
      <c r="D314" s="267"/>
      <c r="E314" s="267"/>
      <c r="F314" s="267"/>
    </row>
    <row r="315" spans="2:6">
      <c r="B315" s="221"/>
      <c r="C315" s="267"/>
      <c r="D315" s="267"/>
      <c r="E315" s="267"/>
      <c r="F315" s="267"/>
    </row>
    <row r="316" spans="2:6">
      <c r="B316" s="221"/>
      <c r="C316" s="267"/>
      <c r="D316" s="267"/>
      <c r="E316" s="267"/>
      <c r="F316" s="267"/>
    </row>
    <row r="317" spans="2:6">
      <c r="B317" s="221"/>
      <c r="C317" s="267"/>
      <c r="D317" s="267"/>
      <c r="E317" s="267"/>
      <c r="F317" s="267"/>
    </row>
    <row r="318" spans="2:6">
      <c r="B318" s="221"/>
      <c r="C318" s="267"/>
      <c r="D318" s="267"/>
      <c r="E318" s="267"/>
      <c r="F318" s="267"/>
    </row>
    <row r="319" spans="2:6">
      <c r="B319" s="221"/>
      <c r="C319" s="267"/>
      <c r="D319" s="267"/>
      <c r="E319" s="267"/>
      <c r="F319" s="267"/>
    </row>
    <row r="320" spans="2:6">
      <c r="B320" s="221"/>
      <c r="C320" s="267"/>
      <c r="D320" s="267"/>
      <c r="E320" s="267"/>
      <c r="F320" s="267"/>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2:Q93"/>
  <sheetViews>
    <sheetView showGridLines="0" topLeftCell="B9" workbookViewId="0">
      <selection activeCell="B26" sqref="B26:G26"/>
    </sheetView>
  </sheetViews>
  <sheetFormatPr baseColWidth="10" defaultColWidth="10.7109375" defaultRowHeight="16.5"/>
  <cols>
    <col min="1" max="1" width="4.85546875" style="43" customWidth="1"/>
    <col min="2" max="2" width="19" style="43" customWidth="1"/>
    <col min="3" max="3" width="15" style="43" bestFit="1" customWidth="1"/>
    <col min="4" max="4" width="15" style="43" customWidth="1"/>
    <col min="5" max="5" width="14" style="43" bestFit="1" customWidth="1"/>
    <col min="6" max="6" width="12.28515625" style="43" customWidth="1"/>
    <col min="7" max="7" width="17" style="43" bestFit="1" customWidth="1"/>
    <col min="8" max="8" width="3" style="43" customWidth="1"/>
    <col min="9" max="9" width="18.5703125" style="43" bestFit="1" customWidth="1"/>
    <col min="10" max="10" width="15.85546875" style="43" customWidth="1"/>
    <col min="11" max="12" width="10.7109375" style="43"/>
    <col min="13" max="13" width="12.7109375" style="43" bestFit="1" customWidth="1"/>
    <col min="14" max="14" width="16.140625" style="43" bestFit="1" customWidth="1"/>
    <col min="15" max="16" width="10.7109375" style="43"/>
    <col min="17" max="17" width="15.28515625" style="43" bestFit="1" customWidth="1"/>
    <col min="18" max="16384" width="10.7109375" style="43"/>
  </cols>
  <sheetData>
    <row r="2" spans="2:16">
      <c r="B2" s="50" t="s">
        <v>7</v>
      </c>
      <c r="C2" s="50" t="s">
        <v>263</v>
      </c>
      <c r="D2" s="50" t="s">
        <v>264</v>
      </c>
      <c r="E2" s="50" t="s">
        <v>265</v>
      </c>
      <c r="F2" s="51" t="s">
        <v>266</v>
      </c>
      <c r="G2" s="51" t="s">
        <v>267</v>
      </c>
      <c r="H2" s="51"/>
      <c r="I2" s="52" t="s">
        <v>268</v>
      </c>
    </row>
    <row r="3" spans="2:16">
      <c r="B3" s="43" t="s">
        <v>141</v>
      </c>
      <c r="C3" s="54">
        <v>16000</v>
      </c>
      <c r="D3" s="57" t="s">
        <v>269</v>
      </c>
      <c r="E3" s="46">
        <v>1</v>
      </c>
      <c r="F3" s="47">
        <v>46023</v>
      </c>
      <c r="G3" s="49">
        <f>F3+365</f>
        <v>46388</v>
      </c>
      <c r="H3" s="47"/>
      <c r="I3" s="45"/>
      <c r="L3" s="64" t="s">
        <v>459</v>
      </c>
      <c r="M3" s="43">
        <v>17982</v>
      </c>
      <c r="N3" s="43">
        <v>19144.439999999999</v>
      </c>
      <c r="O3" s="43">
        <v>20484.55</v>
      </c>
      <c r="P3" s="43">
        <f>+O3/1.18</f>
        <v>17359.788135593222</v>
      </c>
    </row>
    <row r="4" spans="2:16">
      <c r="B4" s="43" t="s">
        <v>13</v>
      </c>
      <c r="C4" s="54">
        <v>41500</v>
      </c>
      <c r="D4" s="57" t="s">
        <v>269</v>
      </c>
      <c r="E4" s="46">
        <v>2</v>
      </c>
      <c r="F4" s="47">
        <v>46023</v>
      </c>
      <c r="G4" s="49">
        <f>F4+365+364</f>
        <v>46752</v>
      </c>
      <c r="H4" s="47"/>
      <c r="I4" s="471" t="s">
        <v>469</v>
      </c>
      <c r="L4" s="64" t="s">
        <v>460</v>
      </c>
      <c r="M4" s="43">
        <f>+M3/4</f>
        <v>4495.5</v>
      </c>
      <c r="N4" s="43">
        <f>+N3/4</f>
        <v>4786.1099999999997</v>
      </c>
      <c r="O4" s="43">
        <f>+O3/4</f>
        <v>5121.1374999999998</v>
      </c>
      <c r="P4" s="43">
        <f>+P3/4</f>
        <v>4339.9470338983056</v>
      </c>
    </row>
    <row r="5" spans="2:16">
      <c r="B5" s="43" t="s">
        <v>16</v>
      </c>
      <c r="C5" s="54">
        <v>16000</v>
      </c>
      <c r="D5" s="57" t="s">
        <v>269</v>
      </c>
      <c r="E5" s="46">
        <v>1</v>
      </c>
      <c r="F5" s="49">
        <v>46023</v>
      </c>
      <c r="G5" s="49">
        <f>F5+364</f>
        <v>46387</v>
      </c>
      <c r="H5" s="48"/>
      <c r="I5" s="471" t="s">
        <v>469</v>
      </c>
      <c r="L5" s="846" t="s">
        <v>13</v>
      </c>
      <c r="M5" s="43">
        <f>+M4</f>
        <v>4495.5</v>
      </c>
      <c r="N5" s="43">
        <f>+N4</f>
        <v>4786.1099999999997</v>
      </c>
      <c r="O5" s="43">
        <f>+O4</f>
        <v>5121.1374999999998</v>
      </c>
      <c r="P5" s="43">
        <f>+P4</f>
        <v>4339.9470338983056</v>
      </c>
    </row>
    <row r="6" spans="2:16">
      <c r="B6" s="43" t="s">
        <v>21</v>
      </c>
      <c r="C6" s="54">
        <v>50000</v>
      </c>
      <c r="D6" s="57" t="s">
        <v>269</v>
      </c>
      <c r="E6" s="46">
        <v>1</v>
      </c>
      <c r="F6" s="47">
        <v>46388</v>
      </c>
      <c r="G6" s="49">
        <f>F6+364</f>
        <v>46752</v>
      </c>
      <c r="H6" s="47"/>
      <c r="I6" s="43" t="s">
        <v>461</v>
      </c>
      <c r="L6" s="846" t="s">
        <v>16</v>
      </c>
      <c r="M6" s="43">
        <f>+M5</f>
        <v>4495.5</v>
      </c>
      <c r="N6" s="43">
        <f t="shared" ref="N6:P9" si="0">+N5</f>
        <v>4786.1099999999997</v>
      </c>
      <c r="O6" s="43">
        <f t="shared" si="0"/>
        <v>5121.1374999999998</v>
      </c>
      <c r="P6" s="43">
        <f t="shared" si="0"/>
        <v>4339.9470338983056</v>
      </c>
    </row>
    <row r="7" spans="2:16">
      <c r="B7" s="43" t="s">
        <v>26</v>
      </c>
      <c r="C7" s="54">
        <v>13000</v>
      </c>
      <c r="D7" s="57" t="s">
        <v>269</v>
      </c>
      <c r="E7" s="46">
        <v>1</v>
      </c>
      <c r="F7" s="47">
        <v>45809</v>
      </c>
      <c r="G7" s="49">
        <f>F7+364</f>
        <v>46173</v>
      </c>
      <c r="H7" s="48"/>
      <c r="I7" s="43" t="s">
        <v>339</v>
      </c>
      <c r="J7" s="43" t="s">
        <v>355</v>
      </c>
      <c r="L7" s="846" t="s">
        <v>150</v>
      </c>
      <c r="M7" s="43">
        <f t="shared" ref="M7:M9" si="1">+M6</f>
        <v>4495.5</v>
      </c>
      <c r="N7" s="43">
        <f t="shared" si="0"/>
        <v>4786.1099999999997</v>
      </c>
      <c r="O7" s="43">
        <f t="shared" si="0"/>
        <v>5121.1374999999998</v>
      </c>
      <c r="P7" s="43">
        <f t="shared" si="0"/>
        <v>4339.9470338983056</v>
      </c>
    </row>
    <row r="8" spans="2:16">
      <c r="B8" s="43" t="s">
        <v>40</v>
      </c>
      <c r="C8" s="54">
        <v>9000</v>
      </c>
      <c r="D8" s="57" t="s">
        <v>269</v>
      </c>
      <c r="E8" s="46">
        <v>1</v>
      </c>
      <c r="F8" s="47">
        <v>45870</v>
      </c>
      <c r="G8" s="49">
        <f>F8+364</f>
        <v>46234</v>
      </c>
      <c r="H8" s="48"/>
      <c r="L8" s="846" t="s">
        <v>21</v>
      </c>
      <c r="M8" s="43">
        <f t="shared" si="1"/>
        <v>4495.5</v>
      </c>
      <c r="N8" s="43">
        <f t="shared" si="0"/>
        <v>4786.1099999999997</v>
      </c>
      <c r="O8" s="43">
        <f t="shared" si="0"/>
        <v>5121.1374999999998</v>
      </c>
      <c r="P8" s="43">
        <f t="shared" si="0"/>
        <v>4339.9470338983056</v>
      </c>
    </row>
    <row r="9" spans="2:16">
      <c r="B9" s="43" t="s">
        <v>270</v>
      </c>
      <c r="C9" s="54">
        <v>0</v>
      </c>
      <c r="D9" s="57" t="s">
        <v>269</v>
      </c>
      <c r="E9" s="46">
        <v>0</v>
      </c>
      <c r="F9" s="47"/>
      <c r="G9" s="47"/>
      <c r="H9" s="49"/>
      <c r="I9" s="43" t="s">
        <v>470</v>
      </c>
      <c r="L9" s="846" t="s">
        <v>38</v>
      </c>
      <c r="M9" s="43">
        <f t="shared" si="1"/>
        <v>4495.5</v>
      </c>
      <c r="N9" s="43">
        <f t="shared" si="0"/>
        <v>4786.1099999999997</v>
      </c>
      <c r="O9" s="43">
        <f t="shared" si="0"/>
        <v>5121.1374999999998</v>
      </c>
      <c r="P9" s="43">
        <f t="shared" si="0"/>
        <v>4339.9470338983056</v>
      </c>
    </row>
    <row r="10" spans="2:16">
      <c r="B10" s="43" t="s">
        <v>143</v>
      </c>
      <c r="C10" s="54">
        <v>12000</v>
      </c>
      <c r="D10" s="57" t="s">
        <v>269</v>
      </c>
      <c r="E10" s="46">
        <v>1</v>
      </c>
      <c r="F10" s="47">
        <v>46023</v>
      </c>
      <c r="G10" s="47">
        <f>F10+364</f>
        <v>46387</v>
      </c>
      <c r="H10" s="47"/>
      <c r="I10" s="45"/>
      <c r="L10" s="64" t="s">
        <v>51</v>
      </c>
      <c r="M10" s="43">
        <f>SUM(M5:M9)</f>
        <v>22477.5</v>
      </c>
      <c r="N10" s="43">
        <f>SUM(N5:N9)</f>
        <v>23930.55</v>
      </c>
      <c r="O10" s="43">
        <f>SUM(O5:O9)</f>
        <v>25605.6875</v>
      </c>
      <c r="P10" s="43">
        <f>SUM(P5:P9)</f>
        <v>21699.735169491527</v>
      </c>
    </row>
    <row r="11" spans="2:16">
      <c r="B11" s="44" t="s">
        <v>271</v>
      </c>
      <c r="C11" s="55">
        <v>0</v>
      </c>
      <c r="D11" s="57" t="s">
        <v>269</v>
      </c>
      <c r="E11" s="53">
        <v>0</v>
      </c>
      <c r="F11" s="47"/>
      <c r="G11" s="49"/>
      <c r="H11" s="47"/>
      <c r="I11" s="43" t="s">
        <v>470</v>
      </c>
    </row>
    <row r="12" spans="2:16">
      <c r="B12" s="44" t="s">
        <v>23</v>
      </c>
      <c r="C12" s="55">
        <v>0</v>
      </c>
      <c r="D12" s="57" t="s">
        <v>269</v>
      </c>
      <c r="E12" s="53">
        <v>0</v>
      </c>
      <c r="F12" s="47"/>
      <c r="G12" s="49"/>
      <c r="H12" s="48"/>
      <c r="I12" s="43" t="s">
        <v>470</v>
      </c>
    </row>
    <row r="13" spans="2:16">
      <c r="B13" s="44" t="s">
        <v>38</v>
      </c>
      <c r="C13" s="55">
        <v>5500</v>
      </c>
      <c r="D13" s="57" t="s">
        <v>269</v>
      </c>
      <c r="E13" s="53">
        <v>2</v>
      </c>
      <c r="F13" s="47">
        <v>45748</v>
      </c>
      <c r="G13" s="229">
        <f>F13+365</f>
        <v>46113</v>
      </c>
      <c r="H13" s="47"/>
      <c r="I13" s="471" t="s">
        <v>468</v>
      </c>
    </row>
    <row r="14" spans="2:16">
      <c r="B14" s="44" t="s">
        <v>49</v>
      </c>
      <c r="C14" s="55">
        <f>12500*0</f>
        <v>0</v>
      </c>
      <c r="D14" s="57" t="s">
        <v>269</v>
      </c>
      <c r="E14" s="53">
        <v>2</v>
      </c>
      <c r="F14" s="47"/>
      <c r="G14" s="49"/>
      <c r="I14" s="47" t="s">
        <v>272</v>
      </c>
    </row>
    <row r="15" spans="2:16">
      <c r="B15" s="44" t="s">
        <v>145</v>
      </c>
      <c r="C15" s="55">
        <f>+(12500+11500)/2</f>
        <v>12000</v>
      </c>
      <c r="D15" s="57" t="s">
        <v>269</v>
      </c>
      <c r="E15" s="53">
        <v>2</v>
      </c>
      <c r="F15" s="47">
        <v>45717</v>
      </c>
      <c r="G15" s="49">
        <f>F15+(365*2)</f>
        <v>46447</v>
      </c>
      <c r="H15" s="47"/>
    </row>
    <row r="16" spans="2:16">
      <c r="B16" s="44" t="s">
        <v>33</v>
      </c>
      <c r="C16" s="55">
        <f>16500*0</f>
        <v>0</v>
      </c>
      <c r="D16" s="57" t="s">
        <v>269</v>
      </c>
      <c r="E16" s="53"/>
      <c r="F16" s="47"/>
      <c r="G16" s="229"/>
      <c r="H16" s="47"/>
      <c r="I16" s="43" t="s">
        <v>566</v>
      </c>
      <c r="J16" s="33"/>
    </row>
    <row r="17" spans="1:14">
      <c r="B17" s="44" t="s">
        <v>30</v>
      </c>
      <c r="C17" s="55">
        <v>16975</v>
      </c>
      <c r="D17" s="57" t="s">
        <v>269</v>
      </c>
      <c r="E17" s="53">
        <v>3</v>
      </c>
      <c r="F17" s="47">
        <v>45566</v>
      </c>
      <c r="G17" s="47">
        <f>F17+(365*E17)</f>
        <v>46661</v>
      </c>
      <c r="H17" s="48"/>
      <c r="I17" s="45"/>
    </row>
    <row r="18" spans="1:14">
      <c r="B18" s="44" t="s">
        <v>67</v>
      </c>
      <c r="C18" s="55">
        <v>8500</v>
      </c>
      <c r="D18" s="57" t="s">
        <v>273</v>
      </c>
      <c r="E18" s="53">
        <v>1</v>
      </c>
      <c r="F18" s="47">
        <v>45748</v>
      </c>
      <c r="G18" s="229">
        <f>F18+364</f>
        <v>46112</v>
      </c>
      <c r="H18" s="48"/>
      <c r="M18" s="816"/>
    </row>
    <row r="19" spans="1:14">
      <c r="B19" s="43" t="s">
        <v>56</v>
      </c>
      <c r="C19" s="54">
        <v>15000</v>
      </c>
      <c r="D19" s="57" t="s">
        <v>269</v>
      </c>
      <c r="E19" s="53">
        <v>2</v>
      </c>
      <c r="F19" s="47">
        <v>45505</v>
      </c>
      <c r="G19" s="49">
        <f>+F19+(365*2)</f>
        <v>46235</v>
      </c>
      <c r="M19" s="816"/>
      <c r="N19" s="817"/>
    </row>
    <row r="20" spans="1:14">
      <c r="B20" s="43" t="s">
        <v>274</v>
      </c>
      <c r="C20" s="54">
        <v>42000</v>
      </c>
      <c r="D20" s="57" t="s">
        <v>273</v>
      </c>
      <c r="E20" s="53">
        <v>2</v>
      </c>
      <c r="F20" s="47">
        <v>45383</v>
      </c>
      <c r="G20" s="229">
        <f>F20+(365*2)</f>
        <v>46113</v>
      </c>
      <c r="I20" s="43" t="s">
        <v>331</v>
      </c>
      <c r="M20" s="816"/>
    </row>
    <row r="21" spans="1:14">
      <c r="B21" s="43" t="s">
        <v>100</v>
      </c>
      <c r="C21" s="54">
        <v>14000</v>
      </c>
      <c r="D21" s="57" t="s">
        <v>269</v>
      </c>
      <c r="E21" s="53">
        <v>2</v>
      </c>
      <c r="F21" s="47">
        <v>45809</v>
      </c>
      <c r="G21" s="229">
        <f>F21+364</f>
        <v>46173</v>
      </c>
      <c r="M21" s="816"/>
    </row>
    <row r="22" spans="1:14">
      <c r="B22" s="43" t="s">
        <v>275</v>
      </c>
      <c r="C22" s="54">
        <v>12600</v>
      </c>
      <c r="D22" s="57" t="s">
        <v>269</v>
      </c>
      <c r="E22" s="53">
        <v>2</v>
      </c>
      <c r="F22" s="47">
        <v>45809</v>
      </c>
      <c r="G22" s="229">
        <f>F22+364</f>
        <v>46173</v>
      </c>
    </row>
    <row r="23" spans="1:14">
      <c r="B23" s="43" t="s">
        <v>150</v>
      </c>
      <c r="C23" s="54">
        <v>14000</v>
      </c>
      <c r="D23" s="57" t="s">
        <v>269</v>
      </c>
      <c r="E23" s="53">
        <v>1</v>
      </c>
      <c r="F23" s="47">
        <v>45931</v>
      </c>
      <c r="G23" s="47">
        <f>F23+364</f>
        <v>46295</v>
      </c>
      <c r="I23" s="471" t="s">
        <v>469</v>
      </c>
    </row>
    <row r="24" spans="1:14">
      <c r="B24" s="43" t="s">
        <v>61</v>
      </c>
      <c r="C24" s="54">
        <v>11000</v>
      </c>
      <c r="D24" s="57" t="s">
        <v>273</v>
      </c>
      <c r="E24" s="53">
        <v>3</v>
      </c>
      <c r="F24" s="47">
        <v>45931</v>
      </c>
      <c r="G24" s="49">
        <f>F24+364*3</f>
        <v>47023</v>
      </c>
      <c r="I24" s="43" t="s">
        <v>660</v>
      </c>
    </row>
    <row r="25" spans="1:14">
      <c r="B25" s="43" t="s">
        <v>276</v>
      </c>
      <c r="C25" s="54">
        <v>12500</v>
      </c>
      <c r="D25" s="57" t="s">
        <v>269</v>
      </c>
      <c r="E25" s="46">
        <v>1</v>
      </c>
      <c r="F25" s="47">
        <v>45931</v>
      </c>
      <c r="G25" s="49">
        <f>F25+364</f>
        <v>46295</v>
      </c>
    </row>
    <row r="26" spans="1:14">
      <c r="B26" s="43" t="s">
        <v>277</v>
      </c>
      <c r="C26" s="54">
        <v>14000</v>
      </c>
      <c r="D26" s="57" t="s">
        <v>269</v>
      </c>
      <c r="E26" s="46">
        <v>1</v>
      </c>
      <c r="F26" s="47">
        <v>46023</v>
      </c>
      <c r="G26" s="49">
        <f>F26+364</f>
        <v>46387</v>
      </c>
    </row>
    <row r="27" spans="1:14">
      <c r="B27" s="43" t="s">
        <v>278</v>
      </c>
      <c r="C27" s="54"/>
      <c r="D27" s="57" t="s">
        <v>273</v>
      </c>
      <c r="E27" s="46">
        <v>0</v>
      </c>
      <c r="F27" s="47"/>
      <c r="G27" s="229"/>
    </row>
    <row r="28" spans="1:14">
      <c r="B28" s="43" t="s">
        <v>279</v>
      </c>
      <c r="C28" s="54">
        <v>6000</v>
      </c>
      <c r="D28" s="57" t="s">
        <v>269</v>
      </c>
      <c r="E28" s="46">
        <v>1</v>
      </c>
      <c r="F28" s="47">
        <v>46023</v>
      </c>
      <c r="G28" s="49">
        <f>F28+364</f>
        <v>46387</v>
      </c>
      <c r="I28" s="45"/>
    </row>
    <row r="29" spans="1:14">
      <c r="A29" s="43" t="s">
        <v>579</v>
      </c>
      <c r="B29" s="43" t="s">
        <v>34</v>
      </c>
      <c r="C29" s="54">
        <v>16500</v>
      </c>
      <c r="D29" s="57" t="s">
        <v>273</v>
      </c>
      <c r="E29" s="46">
        <v>1</v>
      </c>
      <c r="F29" s="47">
        <v>45658</v>
      </c>
      <c r="G29" s="229">
        <f>F29+364</f>
        <v>46022</v>
      </c>
      <c r="I29" s="44" t="s">
        <v>607</v>
      </c>
    </row>
    <row r="30" spans="1:14">
      <c r="B30" s="43" t="s">
        <v>86</v>
      </c>
      <c r="C30" s="54">
        <f>8000*0</f>
        <v>0</v>
      </c>
      <c r="D30" s="57" t="s">
        <v>273</v>
      </c>
      <c r="E30" s="46">
        <v>0</v>
      </c>
      <c r="F30" s="47"/>
      <c r="G30" s="49"/>
    </row>
    <row r="31" spans="1:14">
      <c r="B31" s="43" t="s">
        <v>280</v>
      </c>
      <c r="C31" s="54">
        <v>16500</v>
      </c>
      <c r="D31" s="57" t="s">
        <v>269</v>
      </c>
      <c r="E31" s="46">
        <v>1</v>
      </c>
      <c r="F31" s="47">
        <v>45839</v>
      </c>
      <c r="G31" s="229">
        <f>F31+364</f>
        <v>46203</v>
      </c>
    </row>
    <row r="32" spans="1:14">
      <c r="B32" s="43" t="s">
        <v>156</v>
      </c>
      <c r="C32" s="54">
        <v>16000</v>
      </c>
      <c r="D32" s="57" t="s">
        <v>273</v>
      </c>
      <c r="E32" s="46">
        <v>1</v>
      </c>
      <c r="F32" s="47">
        <v>46023</v>
      </c>
      <c r="G32" s="49">
        <f>F32+364</f>
        <v>46387</v>
      </c>
      <c r="I32" s="45"/>
    </row>
    <row r="33" spans="1:12">
      <c r="B33" s="43" t="s">
        <v>157</v>
      </c>
      <c r="C33" s="54">
        <v>16500</v>
      </c>
      <c r="D33" s="57" t="s">
        <v>269</v>
      </c>
      <c r="E33" s="46">
        <v>2</v>
      </c>
      <c r="F33" s="47">
        <v>46023</v>
      </c>
      <c r="G33" s="47">
        <f>+F33+364</f>
        <v>46387</v>
      </c>
      <c r="I33" s="45"/>
      <c r="K33" s="43">
        <f>12+7</f>
        <v>19</v>
      </c>
    </row>
    <row r="34" spans="1:12">
      <c r="B34" s="43" t="s">
        <v>281</v>
      </c>
      <c r="C34" s="54">
        <v>24480</v>
      </c>
      <c r="D34" s="57" t="s">
        <v>269</v>
      </c>
      <c r="E34" s="46">
        <v>1</v>
      </c>
      <c r="F34" s="47">
        <v>46023</v>
      </c>
      <c r="G34" s="47">
        <f>+F34+364</f>
        <v>46387</v>
      </c>
      <c r="I34" s="45"/>
      <c r="K34" s="43">
        <v>15000</v>
      </c>
      <c r="L34" s="43">
        <f>+K34/12</f>
        <v>1250</v>
      </c>
    </row>
    <row r="35" spans="1:12">
      <c r="B35" s="43" t="s">
        <v>158</v>
      </c>
      <c r="C35" s="54">
        <v>16200</v>
      </c>
      <c r="D35" s="57" t="s">
        <v>269</v>
      </c>
      <c r="E35" s="46">
        <v>1</v>
      </c>
      <c r="F35" s="47">
        <v>45931</v>
      </c>
      <c r="G35" s="49">
        <f>+F35+364</f>
        <v>46295</v>
      </c>
      <c r="L35" s="43">
        <f>+L34*19</f>
        <v>23750</v>
      </c>
    </row>
    <row r="36" spans="1:12">
      <c r="B36" s="43" t="s">
        <v>159</v>
      </c>
      <c r="C36" s="54">
        <f>10000*0</f>
        <v>0</v>
      </c>
      <c r="D36" s="57" t="s">
        <v>269</v>
      </c>
      <c r="E36" s="46">
        <v>3</v>
      </c>
      <c r="F36" s="47"/>
      <c r="G36" s="229"/>
    </row>
    <row r="37" spans="1:12">
      <c r="B37" s="43" t="s">
        <v>282</v>
      </c>
      <c r="C37" s="54">
        <f>12000*0</f>
        <v>0</v>
      </c>
      <c r="D37" s="57" t="s">
        <v>273</v>
      </c>
      <c r="E37" s="46">
        <v>1</v>
      </c>
      <c r="F37" s="47"/>
      <c r="G37" s="229"/>
      <c r="I37" s="43" t="s">
        <v>671</v>
      </c>
    </row>
    <row r="38" spans="1:12">
      <c r="B38" s="43" t="s">
        <v>283</v>
      </c>
      <c r="C38" s="54">
        <f>4000*0</f>
        <v>0</v>
      </c>
      <c r="D38" s="57" t="s">
        <v>269</v>
      </c>
      <c r="E38" s="46">
        <v>0</v>
      </c>
      <c r="F38" s="47"/>
      <c r="G38" s="49"/>
      <c r="I38" s="43" t="s">
        <v>532</v>
      </c>
    </row>
    <row r="39" spans="1:12">
      <c r="B39" s="43" t="s">
        <v>284</v>
      </c>
      <c r="C39" s="54"/>
      <c r="D39" s="57" t="s">
        <v>269</v>
      </c>
      <c r="E39" s="46">
        <v>1</v>
      </c>
      <c r="F39" s="47"/>
      <c r="G39" s="229"/>
      <c r="I39" s="43" t="s">
        <v>672</v>
      </c>
    </row>
    <row r="40" spans="1:12">
      <c r="B40" s="43" t="s">
        <v>618</v>
      </c>
      <c r="C40" s="54">
        <v>8000</v>
      </c>
      <c r="D40" s="57" t="s">
        <v>269</v>
      </c>
      <c r="E40" s="53">
        <v>3</v>
      </c>
      <c r="F40" s="47">
        <v>45809</v>
      </c>
      <c r="G40" s="47">
        <f>+F40+365+365+365</f>
        <v>46904</v>
      </c>
      <c r="I40" s="43" t="s">
        <v>620</v>
      </c>
    </row>
    <row r="41" spans="1:12">
      <c r="B41" s="43" t="s">
        <v>338</v>
      </c>
      <c r="C41" s="54">
        <v>15000</v>
      </c>
      <c r="D41" s="57" t="s">
        <v>273</v>
      </c>
      <c r="E41" s="53">
        <v>1</v>
      </c>
      <c r="F41" s="47">
        <v>45931</v>
      </c>
      <c r="G41" s="49">
        <f>+F41+364</f>
        <v>46295</v>
      </c>
    </row>
    <row r="42" spans="1:12">
      <c r="B42" s="44" t="s">
        <v>310</v>
      </c>
      <c r="C42" s="55">
        <v>12800</v>
      </c>
      <c r="D42" s="297" t="s">
        <v>273</v>
      </c>
      <c r="E42" s="53">
        <v>1</v>
      </c>
      <c r="F42" s="47">
        <v>46023</v>
      </c>
      <c r="G42" s="49">
        <f>+F42+364</f>
        <v>46387</v>
      </c>
    </row>
    <row r="43" spans="1:12">
      <c r="B43" s="44" t="s">
        <v>354</v>
      </c>
      <c r="C43" s="55">
        <v>16500</v>
      </c>
      <c r="D43" s="297" t="s">
        <v>269</v>
      </c>
      <c r="E43" s="53">
        <v>1</v>
      </c>
      <c r="F43" s="47">
        <v>45809</v>
      </c>
      <c r="G43" s="229">
        <f>+F43+364</f>
        <v>46173</v>
      </c>
    </row>
    <row r="44" spans="1:12">
      <c r="A44" s="43" t="s">
        <v>579</v>
      </c>
      <c r="B44" s="44" t="s">
        <v>300</v>
      </c>
      <c r="C44" s="55">
        <v>15000</v>
      </c>
      <c r="D44" s="297" t="s">
        <v>273</v>
      </c>
      <c r="E44" s="53">
        <v>3</v>
      </c>
      <c r="F44" s="49">
        <v>44927</v>
      </c>
      <c r="G44" s="229">
        <f>+F44+365*3</f>
        <v>46022</v>
      </c>
    </row>
    <row r="45" spans="1:12">
      <c r="B45" s="44" t="s">
        <v>357</v>
      </c>
      <c r="C45" s="55">
        <f>5310*12</f>
        <v>63720</v>
      </c>
      <c r="D45" s="297" t="s">
        <v>273</v>
      </c>
      <c r="E45" s="53">
        <v>1</v>
      </c>
      <c r="F45" s="49">
        <v>46023</v>
      </c>
      <c r="G45" s="49">
        <f>+F45+364</f>
        <v>46387</v>
      </c>
    </row>
    <row r="46" spans="1:12">
      <c r="B46" s="44" t="s">
        <v>320</v>
      </c>
      <c r="C46" s="55">
        <v>9000</v>
      </c>
      <c r="D46" s="297" t="s">
        <v>269</v>
      </c>
      <c r="E46" s="53">
        <v>1</v>
      </c>
      <c r="F46" s="47">
        <v>45809</v>
      </c>
      <c r="G46" s="229">
        <f>+F46+364</f>
        <v>46173</v>
      </c>
    </row>
    <row r="47" spans="1:12">
      <c r="B47" s="44" t="s">
        <v>77</v>
      </c>
      <c r="C47" s="55">
        <f>15000*0</f>
        <v>0</v>
      </c>
      <c r="D47" s="297" t="s">
        <v>273</v>
      </c>
      <c r="E47" s="53">
        <v>1</v>
      </c>
      <c r="F47" s="47"/>
      <c r="G47" s="229"/>
      <c r="H47" s="43" t="s">
        <v>670</v>
      </c>
    </row>
    <row r="48" spans="1:12">
      <c r="B48" s="44" t="s">
        <v>297</v>
      </c>
      <c r="C48" s="55">
        <v>24000</v>
      </c>
      <c r="D48" s="297" t="s">
        <v>273</v>
      </c>
      <c r="E48" s="53">
        <v>1</v>
      </c>
      <c r="F48" s="47">
        <v>45962</v>
      </c>
      <c r="G48" s="49">
        <f t="shared" ref="G48:G53" si="2">+F48+364</f>
        <v>46326</v>
      </c>
    </row>
    <row r="49" spans="1:13">
      <c r="B49" s="44" t="s">
        <v>291</v>
      </c>
      <c r="C49" s="55">
        <v>16500</v>
      </c>
      <c r="D49" s="297" t="s">
        <v>273</v>
      </c>
      <c r="E49" s="53">
        <v>1</v>
      </c>
      <c r="F49" s="47">
        <v>45992</v>
      </c>
      <c r="G49" s="49">
        <f t="shared" si="2"/>
        <v>46356</v>
      </c>
    </row>
    <row r="50" spans="1:13">
      <c r="A50" s="43" t="s">
        <v>579</v>
      </c>
      <c r="B50" s="44" t="s">
        <v>172</v>
      </c>
      <c r="C50" s="55">
        <v>20000</v>
      </c>
      <c r="D50" s="297" t="s">
        <v>273</v>
      </c>
      <c r="E50" s="53">
        <v>1</v>
      </c>
      <c r="F50" s="47">
        <v>45658</v>
      </c>
      <c r="G50" s="229">
        <f t="shared" si="2"/>
        <v>46022</v>
      </c>
    </row>
    <row r="51" spans="1:13">
      <c r="A51" s="43" t="s">
        <v>579</v>
      </c>
      <c r="B51" s="44" t="s">
        <v>567</v>
      </c>
      <c r="C51" s="55">
        <v>8000</v>
      </c>
      <c r="D51" s="297" t="s">
        <v>273</v>
      </c>
      <c r="E51" s="53">
        <v>1</v>
      </c>
      <c r="F51" s="49">
        <v>46143</v>
      </c>
      <c r="G51" s="49">
        <f t="shared" si="2"/>
        <v>46507</v>
      </c>
    </row>
    <row r="52" spans="1:13">
      <c r="B52" s="44" t="s">
        <v>572</v>
      </c>
      <c r="C52" s="55">
        <v>10300</v>
      </c>
      <c r="D52" s="297" t="s">
        <v>273</v>
      </c>
      <c r="E52" s="53">
        <v>1</v>
      </c>
      <c r="F52" s="49">
        <v>46082</v>
      </c>
      <c r="G52" s="49">
        <f t="shared" si="2"/>
        <v>46446</v>
      </c>
    </row>
    <row r="53" spans="1:13">
      <c r="B53" s="44" t="s">
        <v>583</v>
      </c>
      <c r="C53" s="55">
        <f>24000*0</f>
        <v>0</v>
      </c>
      <c r="D53" s="297" t="s">
        <v>269</v>
      </c>
      <c r="E53" s="53">
        <v>0</v>
      </c>
      <c r="F53" s="49">
        <v>45748</v>
      </c>
      <c r="G53" s="49">
        <f t="shared" si="2"/>
        <v>46112</v>
      </c>
      <c r="H53" s="43" t="s">
        <v>532</v>
      </c>
    </row>
    <row r="54" spans="1:13">
      <c r="B54" s="44" t="s">
        <v>617</v>
      </c>
      <c r="C54" s="55">
        <v>25000</v>
      </c>
      <c r="D54" s="297" t="s">
        <v>269</v>
      </c>
      <c r="E54" s="53">
        <v>1</v>
      </c>
      <c r="F54" s="49">
        <v>46174</v>
      </c>
      <c r="G54" s="49">
        <f>+F54+364</f>
        <v>46538</v>
      </c>
    </row>
    <row r="55" spans="1:13">
      <c r="B55" s="43" t="s">
        <v>634</v>
      </c>
      <c r="C55" s="55">
        <v>10000</v>
      </c>
      <c r="D55" s="297" t="s">
        <v>273</v>
      </c>
      <c r="E55" s="53">
        <v>3</v>
      </c>
      <c r="F55" s="49">
        <v>45931</v>
      </c>
      <c r="G55" s="49">
        <v>47026</v>
      </c>
      <c r="I55" s="43" t="s">
        <v>635</v>
      </c>
    </row>
    <row r="56" spans="1:13">
      <c r="B56" s="43" t="s">
        <v>82</v>
      </c>
      <c r="C56" s="55">
        <v>16500</v>
      </c>
      <c r="D56" s="297" t="s">
        <v>269</v>
      </c>
      <c r="E56" s="53">
        <v>1</v>
      </c>
      <c r="F56" s="49">
        <v>46023</v>
      </c>
      <c r="G56" s="49">
        <f t="shared" ref="G56" si="3">+F56+364</f>
        <v>46387</v>
      </c>
    </row>
    <row r="57" spans="1:13">
      <c r="B57" s="61" t="s">
        <v>285</v>
      </c>
      <c r="C57" s="93">
        <f>SUM(C3:C56)</f>
        <v>718075</v>
      </c>
      <c r="D57" s="56"/>
      <c r="I57" s="63"/>
      <c r="J57" s="62"/>
      <c r="K57" s="62"/>
      <c r="L57" s="62"/>
      <c r="M57" s="62"/>
    </row>
    <row r="58" spans="1:13">
      <c r="B58" s="964" t="s">
        <v>674</v>
      </c>
      <c r="C58" s="964">
        <f>AVERAGE(C3:C8,C10,C13,C15,C17:C26,C28:C29,C31:C35,C40:C46,C48:C52,C54:C56)</f>
        <v>17514.024390243903</v>
      </c>
      <c r="J58" s="51"/>
      <c r="K58" s="51"/>
      <c r="L58" s="51"/>
      <c r="M58" s="51"/>
    </row>
    <row r="59" spans="1:13">
      <c r="I59" s="58"/>
      <c r="J59" s="58"/>
      <c r="K59" s="58"/>
      <c r="L59" s="58"/>
      <c r="M59" s="61"/>
    </row>
    <row r="61" spans="1:13">
      <c r="B61" s="50" t="s">
        <v>60</v>
      </c>
    </row>
    <row r="62" spans="1:13">
      <c r="B62" s="44" t="s">
        <v>286</v>
      </c>
      <c r="C62" s="44" t="s">
        <v>287</v>
      </c>
      <c r="D62" s="44"/>
      <c r="E62" s="44" t="s">
        <v>288</v>
      </c>
      <c r="F62" s="44"/>
    </row>
    <row r="63" spans="1:13">
      <c r="B63" s="44" t="s">
        <v>289</v>
      </c>
      <c r="C63" s="44" t="s">
        <v>290</v>
      </c>
      <c r="D63" s="44"/>
      <c r="E63" s="44" t="s">
        <v>104</v>
      </c>
      <c r="F63" s="44"/>
    </row>
    <row r="64" spans="1:13">
      <c r="B64" s="44"/>
      <c r="C64" s="44"/>
      <c r="D64" s="44"/>
      <c r="E64" s="44" t="s">
        <v>292</v>
      </c>
      <c r="F64" s="45"/>
    </row>
    <row r="65" spans="2:11">
      <c r="B65" s="44"/>
      <c r="C65" s="44"/>
      <c r="D65" s="44"/>
      <c r="E65" s="44" t="s">
        <v>53</v>
      </c>
      <c r="F65" s="44"/>
    </row>
    <row r="66" spans="2:11">
      <c r="B66" s="44" t="s">
        <v>293</v>
      </c>
      <c r="C66" s="44" t="s">
        <v>290</v>
      </c>
      <c r="D66" s="44"/>
      <c r="E66" s="44" t="s">
        <v>294</v>
      </c>
      <c r="F66" s="44"/>
    </row>
    <row r="67" spans="2:11">
      <c r="B67" s="44" t="s">
        <v>295</v>
      </c>
      <c r="C67" s="44" t="s">
        <v>290</v>
      </c>
      <c r="D67" s="44"/>
      <c r="E67" s="44" t="s">
        <v>66</v>
      </c>
      <c r="F67" s="44"/>
    </row>
    <row r="68" spans="2:11">
      <c r="B68" s="44"/>
      <c r="C68" s="44"/>
      <c r="D68" s="44"/>
      <c r="E68" s="44" t="s">
        <v>170</v>
      </c>
      <c r="F68" s="44"/>
      <c r="I68" s="59"/>
      <c r="J68" s="59"/>
      <c r="K68" s="59"/>
    </row>
    <row r="69" spans="2:11">
      <c r="B69" s="44" t="s">
        <v>296</v>
      </c>
      <c r="C69" s="44" t="s">
        <v>290</v>
      </c>
      <c r="D69" s="44"/>
      <c r="E69" s="44" t="s">
        <v>63</v>
      </c>
      <c r="F69" s="44"/>
      <c r="I69" s="59"/>
      <c r="J69" s="59"/>
      <c r="K69" s="59"/>
    </row>
    <row r="70" spans="2:11">
      <c r="B70" s="44" t="s">
        <v>75</v>
      </c>
      <c r="C70" s="44" t="s">
        <v>290</v>
      </c>
      <c r="D70" s="44"/>
      <c r="E70" s="44" t="s">
        <v>297</v>
      </c>
      <c r="F70" s="44"/>
      <c r="I70" s="59"/>
      <c r="J70" s="59"/>
      <c r="K70" s="59"/>
    </row>
    <row r="71" spans="2:11">
      <c r="B71" s="44" t="s">
        <v>93</v>
      </c>
      <c r="C71" s="44" t="s">
        <v>290</v>
      </c>
      <c r="D71" s="44"/>
      <c r="E71" s="44" t="s">
        <v>298</v>
      </c>
      <c r="F71" s="44" t="s">
        <v>299</v>
      </c>
      <c r="I71" s="59"/>
      <c r="J71" s="59"/>
      <c r="K71" s="59"/>
    </row>
    <row r="72" spans="2:11">
      <c r="B72" s="44" t="s">
        <v>300</v>
      </c>
      <c r="C72" s="44" t="s">
        <v>290</v>
      </c>
      <c r="D72" s="44"/>
      <c r="E72" s="44" t="s">
        <v>301</v>
      </c>
      <c r="F72" s="44" t="s">
        <v>302</v>
      </c>
    </row>
    <row r="73" spans="2:11">
      <c r="B73" s="44" t="s">
        <v>303</v>
      </c>
      <c r="C73" s="44" t="s">
        <v>290</v>
      </c>
      <c r="D73" s="44"/>
      <c r="E73" s="44" t="s">
        <v>304</v>
      </c>
    </row>
    <row r="74" spans="2:11">
      <c r="B74" s="44" t="s">
        <v>305</v>
      </c>
      <c r="C74" s="44" t="s">
        <v>290</v>
      </c>
      <c r="D74" s="44"/>
      <c r="E74" s="44" t="s">
        <v>306</v>
      </c>
    </row>
    <row r="75" spans="2:11">
      <c r="B75" s="44" t="s">
        <v>76</v>
      </c>
      <c r="C75" s="44" t="s">
        <v>290</v>
      </c>
      <c r="D75" s="44"/>
      <c r="E75" s="44" t="s">
        <v>307</v>
      </c>
      <c r="F75" s="44"/>
    </row>
    <row r="76" spans="2:11">
      <c r="B76" s="44" t="s">
        <v>308</v>
      </c>
      <c r="C76" s="44" t="s">
        <v>309</v>
      </c>
      <c r="D76" s="44"/>
      <c r="E76" s="44" t="s">
        <v>282</v>
      </c>
      <c r="F76" s="44"/>
      <c r="I76" s="58"/>
      <c r="J76" s="45"/>
    </row>
    <row r="77" spans="2:11">
      <c r="B77" s="44"/>
      <c r="C77" s="181"/>
      <c r="D77" s="44"/>
      <c r="E77" s="44" t="s">
        <v>311</v>
      </c>
      <c r="F77" s="44"/>
      <c r="I77" s="58"/>
    </row>
    <row r="78" spans="2:11">
      <c r="B78" s="44" t="s">
        <v>312</v>
      </c>
      <c r="C78" s="44" t="s">
        <v>313</v>
      </c>
      <c r="D78" s="44"/>
      <c r="E78" s="44" t="s">
        <v>314</v>
      </c>
      <c r="F78" s="44"/>
      <c r="I78" s="58"/>
    </row>
    <row r="79" spans="2:11">
      <c r="B79" s="44" t="s">
        <v>315</v>
      </c>
      <c r="C79" s="44"/>
      <c r="D79" s="44"/>
      <c r="E79" s="44" t="s">
        <v>316</v>
      </c>
      <c r="F79" s="44"/>
      <c r="I79" s="58"/>
    </row>
    <row r="80" spans="2:11">
      <c r="B80" s="44" t="s">
        <v>317</v>
      </c>
      <c r="C80" s="44"/>
      <c r="D80" s="44"/>
      <c r="E80" s="43" t="s">
        <v>318</v>
      </c>
      <c r="F80" s="44"/>
      <c r="I80" s="58"/>
    </row>
    <row r="81" spans="2:17">
      <c r="B81" s="44" t="s">
        <v>319</v>
      </c>
      <c r="C81" s="44"/>
      <c r="D81" s="44"/>
      <c r="F81" s="33"/>
      <c r="I81" s="58"/>
    </row>
    <row r="82" spans="2:17">
      <c r="B82" s="44" t="s">
        <v>108</v>
      </c>
      <c r="C82" s="44"/>
      <c r="D82" s="44"/>
      <c r="E82" s="43" t="s">
        <v>321</v>
      </c>
      <c r="F82" s="44"/>
      <c r="I82" s="58"/>
    </row>
    <row r="83" spans="2:17">
      <c r="B83" s="43" t="s">
        <v>322</v>
      </c>
      <c r="C83" s="43" t="s">
        <v>323</v>
      </c>
      <c r="D83" s="44"/>
      <c r="E83" s="43" t="s">
        <v>324</v>
      </c>
      <c r="F83" s="44"/>
      <c r="I83" s="64"/>
    </row>
    <row r="84" spans="2:17">
      <c r="B84" s="43" t="s">
        <v>325</v>
      </c>
      <c r="E84" s="61"/>
      <c r="I84" s="64"/>
    </row>
    <row r="85" spans="2:17">
      <c r="B85" s="43" t="s">
        <v>99</v>
      </c>
      <c r="E85" s="61" t="s">
        <v>318</v>
      </c>
      <c r="I85" s="64"/>
    </row>
    <row r="86" spans="2:17">
      <c r="B86" s="43" t="s">
        <v>326</v>
      </c>
      <c r="C86" s="43" t="s">
        <v>327</v>
      </c>
      <c r="E86" s="61"/>
      <c r="I86" s="64"/>
    </row>
    <row r="87" spans="2:17">
      <c r="B87" s="43" t="s">
        <v>328</v>
      </c>
      <c r="D87" s="58"/>
      <c r="E87" s="61" t="s">
        <v>45</v>
      </c>
      <c r="G87" s="60"/>
      <c r="I87" s="64"/>
    </row>
    <row r="88" spans="2:17">
      <c r="B88" s="43" t="s">
        <v>117</v>
      </c>
      <c r="D88" s="45"/>
      <c r="E88" s="58"/>
      <c r="I88" s="64"/>
    </row>
    <row r="89" spans="2:17">
      <c r="I89" s="64"/>
    </row>
    <row r="90" spans="2:17">
      <c r="I90" s="64"/>
    </row>
    <row r="91" spans="2:17">
      <c r="E91" s="58"/>
      <c r="F91" s="58"/>
      <c r="I91" s="64"/>
      <c r="P91" s="65"/>
    </row>
    <row r="93" spans="2:17">
      <c r="Q93" s="60"/>
    </row>
  </sheetData>
  <pageMargins left="0.7" right="0.7" top="0.75" bottom="0.75" header="0.3" footer="0.3"/>
  <pageSetup paperSize="9" scale="52"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10913-CA2E-4EAB-858C-22FFFB7A1DD4}">
  <sheetPr>
    <tabColor theme="4" tint="0.39997558519241921"/>
  </sheetPr>
  <dimension ref="B1:BC60"/>
  <sheetViews>
    <sheetView showGridLines="0" zoomScale="80" zoomScaleNormal="80" workbookViewId="0">
      <pane xSplit="2" ySplit="2" topLeftCell="AC15" activePane="bottomRight" state="frozen"/>
      <selection activeCell="CE28" sqref="CE28"/>
      <selection pane="topRight" activeCell="CE28" sqref="CE28"/>
      <selection pane="bottomLeft" activeCell="CE28" sqref="CE28"/>
      <selection pane="bottomRight" activeCell="AP23" sqref="AP23"/>
    </sheetView>
  </sheetViews>
  <sheetFormatPr baseColWidth="10" defaultColWidth="10.7109375" defaultRowHeight="14.25"/>
  <cols>
    <col min="1" max="1" width="3.28515625" style="480" customWidth="1"/>
    <col min="2" max="2" width="40" style="480" customWidth="1"/>
    <col min="3" max="3" width="9.85546875" style="480" bestFit="1" customWidth="1"/>
    <col min="4" max="4" width="9.42578125" style="480" customWidth="1"/>
    <col min="5" max="5" width="10.42578125" style="480" customWidth="1"/>
    <col min="6" max="6" width="11" style="480" customWidth="1"/>
    <col min="7" max="7" width="10.28515625" style="480" customWidth="1"/>
    <col min="8" max="8" width="10.7109375" style="480" bestFit="1" customWidth="1"/>
    <col min="9" max="9" width="11.5703125" style="480" bestFit="1" customWidth="1"/>
    <col min="10" max="10" width="11.5703125" style="480" customWidth="1"/>
    <col min="11" max="11" width="14" style="480" customWidth="1"/>
    <col min="12" max="12" width="12" style="480" customWidth="1"/>
    <col min="13" max="14" width="11.7109375" style="480" bestFit="1" customWidth="1"/>
    <col min="15" max="15" width="12.140625" style="480" bestFit="1" customWidth="1"/>
    <col min="16" max="16" width="11" style="480" bestFit="1" customWidth="1"/>
    <col min="17" max="19" width="11.140625" style="480" bestFit="1" customWidth="1"/>
    <col min="20" max="20" width="12" style="480" bestFit="1" customWidth="1"/>
    <col min="21" max="23" width="12.42578125" style="480" bestFit="1" customWidth="1"/>
    <col min="24" max="24" width="12" style="480" bestFit="1" customWidth="1"/>
    <col min="25" max="25" width="12.42578125" style="480" bestFit="1" customWidth="1"/>
    <col min="26" max="26" width="12" style="480" bestFit="1" customWidth="1"/>
    <col min="27" max="27" width="12.42578125" style="480" bestFit="1" customWidth="1"/>
    <col min="28" max="28" width="14.42578125" style="480" bestFit="1" customWidth="1"/>
    <col min="29" max="41" width="12.42578125" style="480" bestFit="1" customWidth="1"/>
    <col min="42" max="42" width="13" style="480" bestFit="1" customWidth="1"/>
    <col min="43" max="43" width="13" style="480" customWidth="1"/>
    <col min="44" max="54" width="10.7109375" style="480"/>
    <col min="55" max="55" width="12.42578125" style="480" bestFit="1" customWidth="1"/>
    <col min="56" max="16384" width="10.7109375" style="480"/>
  </cols>
  <sheetData>
    <row r="1" spans="2:55" ht="15">
      <c r="C1" s="971" t="s">
        <v>124</v>
      </c>
      <c r="D1" s="971"/>
      <c r="E1" s="971"/>
      <c r="F1" s="971"/>
      <c r="G1" s="971"/>
      <c r="H1" s="971"/>
      <c r="I1" s="971"/>
      <c r="J1" s="971"/>
      <c r="K1" s="971"/>
      <c r="L1" s="971"/>
      <c r="M1" s="971"/>
      <c r="N1" s="974"/>
      <c r="O1" s="762"/>
      <c r="P1" s="971" t="s">
        <v>344</v>
      </c>
      <c r="Q1" s="971"/>
      <c r="R1" s="971"/>
      <c r="S1" s="971"/>
      <c r="T1" s="971"/>
      <c r="U1" s="971"/>
      <c r="V1" s="971"/>
      <c r="W1" s="971"/>
      <c r="X1" s="971"/>
      <c r="Y1" s="971"/>
      <c r="Z1" s="971"/>
      <c r="AA1" s="971"/>
      <c r="AC1" s="971" t="s">
        <v>466</v>
      </c>
      <c r="AD1" s="971"/>
      <c r="AE1" s="971"/>
      <c r="AF1" s="971"/>
      <c r="AG1" s="971"/>
      <c r="AH1" s="971"/>
      <c r="AI1" s="971"/>
      <c r="AJ1" s="971"/>
      <c r="AK1" s="971"/>
      <c r="AL1" s="971"/>
      <c r="AM1" s="971"/>
      <c r="AN1" s="971"/>
      <c r="AP1" s="971" t="s">
        <v>539</v>
      </c>
      <c r="AQ1" s="971"/>
      <c r="AR1" s="971"/>
      <c r="AS1" s="971"/>
      <c r="AT1" s="971"/>
      <c r="AU1" s="971"/>
      <c r="AV1" s="971"/>
      <c r="AW1" s="971"/>
      <c r="AX1" s="971"/>
      <c r="AY1" s="971"/>
      <c r="AZ1" s="971"/>
      <c r="BA1" s="971"/>
      <c r="BB1" s="971"/>
    </row>
    <row r="2" spans="2:55" ht="15">
      <c r="B2" s="772"/>
      <c r="C2" s="598" t="s">
        <v>134</v>
      </c>
      <c r="D2" s="598" t="s">
        <v>135</v>
      </c>
      <c r="E2" s="598" t="s">
        <v>136</v>
      </c>
      <c r="F2" s="598" t="s">
        <v>137</v>
      </c>
      <c r="G2" s="598" t="s">
        <v>126</v>
      </c>
      <c r="H2" s="598" t="s">
        <v>127</v>
      </c>
      <c r="I2" s="598" t="s">
        <v>128</v>
      </c>
      <c r="J2" s="598" t="s">
        <v>129</v>
      </c>
      <c r="K2" s="598" t="s">
        <v>130</v>
      </c>
      <c r="L2" s="598" t="s">
        <v>131</v>
      </c>
      <c r="M2" s="598" t="s">
        <v>132</v>
      </c>
      <c r="N2" s="598" t="s">
        <v>133</v>
      </c>
      <c r="O2" s="773" t="s">
        <v>138</v>
      </c>
      <c r="P2" s="598" t="s">
        <v>134</v>
      </c>
      <c r="Q2" s="598" t="s">
        <v>135</v>
      </c>
      <c r="R2" s="598" t="s">
        <v>136</v>
      </c>
      <c r="S2" s="598" t="s">
        <v>137</v>
      </c>
      <c r="T2" s="598" t="s">
        <v>126</v>
      </c>
      <c r="U2" s="598" t="s">
        <v>127</v>
      </c>
      <c r="V2" s="598" t="s">
        <v>128</v>
      </c>
      <c r="W2" s="598" t="s">
        <v>129</v>
      </c>
      <c r="X2" s="598" t="s">
        <v>130</v>
      </c>
      <c r="Y2" s="598" t="s">
        <v>131</v>
      </c>
      <c r="Z2" s="598" t="s">
        <v>132</v>
      </c>
      <c r="AA2" s="598" t="s">
        <v>133</v>
      </c>
      <c r="AB2" s="598" t="s">
        <v>138</v>
      </c>
      <c r="AC2" s="598" t="s">
        <v>134</v>
      </c>
      <c r="AD2" s="598" t="s">
        <v>135</v>
      </c>
      <c r="AE2" s="598" t="s">
        <v>136</v>
      </c>
      <c r="AF2" s="598" t="s">
        <v>137</v>
      </c>
      <c r="AG2" s="598" t="s">
        <v>126</v>
      </c>
      <c r="AH2" s="598" t="s">
        <v>127</v>
      </c>
      <c r="AI2" s="598" t="s">
        <v>128</v>
      </c>
      <c r="AJ2" s="598" t="s">
        <v>129</v>
      </c>
      <c r="AK2" s="598" t="s">
        <v>130</v>
      </c>
      <c r="AL2" s="598" t="s">
        <v>131</v>
      </c>
      <c r="AM2" s="598" t="s">
        <v>132</v>
      </c>
      <c r="AN2" s="598" t="s">
        <v>133</v>
      </c>
      <c r="AO2" s="598" t="s">
        <v>138</v>
      </c>
      <c r="AP2" s="598"/>
      <c r="AQ2" s="598" t="s">
        <v>134</v>
      </c>
      <c r="AR2" s="598" t="s">
        <v>135</v>
      </c>
      <c r="AS2" s="598" t="s">
        <v>136</v>
      </c>
      <c r="AT2" s="598" t="s">
        <v>137</v>
      </c>
      <c r="AU2" s="598" t="s">
        <v>126</v>
      </c>
      <c r="AV2" s="598" t="s">
        <v>127</v>
      </c>
      <c r="AW2" s="598" t="s">
        <v>128</v>
      </c>
      <c r="AX2" s="598" t="s">
        <v>129</v>
      </c>
      <c r="AY2" s="598" t="s">
        <v>130</v>
      </c>
      <c r="AZ2" s="598" t="s">
        <v>131</v>
      </c>
      <c r="BA2" s="598" t="s">
        <v>132</v>
      </c>
      <c r="BB2" s="598" t="s">
        <v>133</v>
      </c>
      <c r="BC2" s="598" t="s">
        <v>138</v>
      </c>
    </row>
    <row r="3" spans="2:55" ht="15">
      <c r="B3" s="772" t="s">
        <v>492</v>
      </c>
      <c r="C3" s="598"/>
      <c r="D3" s="598"/>
      <c r="E3" s="598"/>
      <c r="F3" s="598"/>
      <c r="G3" s="598"/>
      <c r="H3" s="598"/>
      <c r="I3" s="598"/>
      <c r="J3" s="598"/>
      <c r="K3" s="598"/>
      <c r="L3" s="598"/>
      <c r="M3" s="598"/>
      <c r="N3" s="598"/>
      <c r="O3" s="773"/>
      <c r="P3" s="598"/>
      <c r="Q3" s="598"/>
      <c r="R3" s="598"/>
      <c r="S3" s="598"/>
      <c r="T3" s="598"/>
      <c r="U3" s="598"/>
      <c r="V3" s="598"/>
      <c r="W3" s="598"/>
      <c r="X3" s="598"/>
      <c r="Y3" s="598"/>
      <c r="Z3" s="598"/>
      <c r="AA3" s="598"/>
      <c r="AB3" s="598"/>
      <c r="AC3" s="598"/>
      <c r="AD3" s="598"/>
      <c r="AE3" s="598"/>
      <c r="AF3" s="598"/>
      <c r="AG3" s="598"/>
      <c r="AH3" s="598"/>
      <c r="AI3" s="598"/>
      <c r="AJ3" s="598"/>
      <c r="AK3" s="598"/>
      <c r="AL3" s="598"/>
      <c r="AM3" s="598"/>
      <c r="AN3" s="598"/>
      <c r="AO3" s="598"/>
      <c r="BC3" s="598"/>
    </row>
    <row r="4" spans="2:55">
      <c r="B4" s="774" t="s">
        <v>139</v>
      </c>
      <c r="C4" s="527">
        <f>'NC-Ingresos'!BY4</f>
        <v>32688.785571890112</v>
      </c>
      <c r="D4" s="527">
        <f>'NC-Ingresos'!BZ4</f>
        <v>79900.912261431615</v>
      </c>
      <c r="E4" s="527">
        <f>'NC-Ingresos'!CA4</f>
        <v>42825.233160954318</v>
      </c>
      <c r="F4" s="527">
        <f>'NC-Ingresos'!CB4</f>
        <v>43500</v>
      </c>
      <c r="G4" s="527">
        <f>'NC-Ingresos'!CC4</f>
        <v>79921.479217415268</v>
      </c>
      <c r="H4" s="527">
        <f>'NC-Ingresos'!CD4</f>
        <v>63280.332780564167</v>
      </c>
      <c r="I4" s="527">
        <f>'NC-Ingresos'!CE4</f>
        <v>4535.438854204921</v>
      </c>
      <c r="J4" s="527">
        <f>'NC-Ingresos'!CF4</f>
        <v>45892.355075451473</v>
      </c>
      <c r="K4" s="527">
        <f>'NC-Ingresos'!CG4</f>
        <v>108333.76007087689</v>
      </c>
      <c r="L4" s="527">
        <f>'NC-Ingresos'!CH4</f>
        <v>101014.15408184435</v>
      </c>
      <c r="M4" s="527">
        <f>'NC-Ingresos'!CI4</f>
        <v>75046.283552465233</v>
      </c>
      <c r="N4" s="527">
        <f>'NC-Ingresos'!CJ4</f>
        <v>137858.47985247819</v>
      </c>
      <c r="O4" s="528">
        <f>SUM(C4:N4)</f>
        <v>814797.21447957656</v>
      </c>
      <c r="P4" s="527">
        <f>'NC-Ingresos'!CL4</f>
        <v>65669.890952986083</v>
      </c>
      <c r="Q4" s="527">
        <f>'NC-Ingresos'!CM4</f>
        <v>52521.327212439457</v>
      </c>
      <c r="R4" s="527">
        <f>'NC-Ingresos'!CN4</f>
        <v>72545.538286234194</v>
      </c>
      <c r="S4" s="527">
        <f>'NC-Ingresos'!CO4</f>
        <v>44296.859320158386</v>
      </c>
      <c r="T4" s="527">
        <f>'NC-Ingresos'!CP4</f>
        <v>69295.907012320604</v>
      </c>
      <c r="U4" s="527">
        <f>'NC-Ingresos'!CQ4</f>
        <v>188415.02618714329</v>
      </c>
      <c r="V4" s="527">
        <f>'NC-Ingresos'!CR4</f>
        <v>49942.355315050903</v>
      </c>
      <c r="W4" s="527">
        <f>'NC-Ingresos'!CS4</f>
        <v>40241.074077543832</v>
      </c>
      <c r="X4" s="527">
        <f>'NC-Ingresos'!CT4</f>
        <v>99235.350345033803</v>
      </c>
      <c r="Y4" s="527">
        <f>'NC-Ingresos'!CU4</f>
        <v>-29929.392250704434</v>
      </c>
      <c r="Z4" s="527">
        <f>'NC-Ingresos'!CV4</f>
        <v>55421.84554053341</v>
      </c>
      <c r="AA4" s="527">
        <f>'NC-Ingresos'!CW4</f>
        <v>30794.444444444445</v>
      </c>
      <c r="AB4" s="528">
        <f>SUM(P4:AA4)</f>
        <v>738450.22644318396</v>
      </c>
      <c r="AC4" s="527">
        <f>'NC-Ingresos'!CY4</f>
        <v>-15753.245082904781</v>
      </c>
      <c r="AD4" s="527">
        <f>'NC-Ingresos'!CZ4</f>
        <v>36809.702226409659</v>
      </c>
      <c r="AE4" s="527">
        <f>'NC-Ingresos'!DA4</f>
        <v>0</v>
      </c>
      <c r="AF4" s="527">
        <f>'NC-Ingresos'!DB4</f>
        <v>89440.957446808505</v>
      </c>
      <c r="AG4" s="527">
        <f>'NC-Ingresos'!DC4</f>
        <v>36250</v>
      </c>
      <c r="AH4" s="527">
        <f>'NC-Ingresos'!DD4</f>
        <v>55522.949235101973</v>
      </c>
      <c r="AI4" s="527">
        <f>'NC-Ingresos'!DE4</f>
        <v>154869.2988067246</v>
      </c>
      <c r="AJ4" s="527">
        <f>'NC-Ingresos'!DF4</f>
        <v>94488.449320374493</v>
      </c>
      <c r="AK4" s="527">
        <f>'NC-Ingresos'!DG4</f>
        <v>268251.49464376806</v>
      </c>
      <c r="AL4" s="527">
        <f>'NC-Ingresos'!DH4</f>
        <v>290500.04347826086</v>
      </c>
      <c r="AM4" s="527">
        <f>'NC-Ingresos'!DI4</f>
        <v>189391.34956521742</v>
      </c>
      <c r="AN4" s="527">
        <f>'NC-Ingresos'!DJ4</f>
        <v>70413.043478260865</v>
      </c>
      <c r="AO4" s="528">
        <f>SUM(AC4:AN4)</f>
        <v>1270184.0431180219</v>
      </c>
      <c r="BC4" s="528">
        <f>SUM(AQ4:BB4)</f>
        <v>0</v>
      </c>
    </row>
    <row r="5" spans="2:55">
      <c r="B5" s="774" t="s">
        <v>181</v>
      </c>
      <c r="C5" s="527">
        <f>'NC-Gastos'!BY4</f>
        <v>-23699.643060043374</v>
      </c>
      <c r="D5" s="527">
        <f>'NC-Gastos'!BZ4</f>
        <v>-30997.52139089163</v>
      </c>
      <c r="E5" s="527">
        <f>'NC-Gastos'!CA4</f>
        <v>-22310.455694502933</v>
      </c>
      <c r="F5" s="527">
        <f>'NC-Gastos'!CB4</f>
        <v>-26586.299999999996</v>
      </c>
      <c r="G5" s="527">
        <f>'NC-Gastos'!CC4</f>
        <v>-31002.274122952331</v>
      </c>
      <c r="H5" s="527">
        <f>'NC-Gastos'!CD4</f>
        <v>-28669.79</v>
      </c>
      <c r="I5" s="527">
        <f>'NC-Gastos'!CE4</f>
        <v>-20654.817106570954</v>
      </c>
      <c r="J5" s="527">
        <f>'NC-Gastos'!CF4</f>
        <v>-51836.614642688801</v>
      </c>
      <c r="K5" s="527">
        <f>'NC-Gastos'!CG4</f>
        <v>-20808.537106570951</v>
      </c>
      <c r="L5" s="527">
        <f>'NC-Gastos'!CH4</f>
        <v>-30937.615137713972</v>
      </c>
      <c r="M5" s="527">
        <f>'NC-Gastos'!CI4</f>
        <v>-33015.977010223825</v>
      </c>
      <c r="N5" s="527">
        <f>'NC-Gastos'!CJ4</f>
        <v>-12182.061939932859</v>
      </c>
      <c r="O5" s="528">
        <f>SUM(C5:N5)</f>
        <v>-332701.60721209168</v>
      </c>
      <c r="P5" s="527">
        <f>'NC-Gastos'!CL4</f>
        <v>-22854.569999999996</v>
      </c>
      <c r="Q5" s="527">
        <f>'NC-Gastos'!CM4</f>
        <v>-34992.03869690049</v>
      </c>
      <c r="R5" s="527">
        <f>'NC-Gastos'!CN4</f>
        <v>-23939.430085836913</v>
      </c>
      <c r="S5" s="527">
        <f>'NC-Gastos'!CO4</f>
        <v>-35201.75862860398</v>
      </c>
      <c r="T5" s="527">
        <f>'NC-Gastos'!CP4</f>
        <v>-33433.966238601111</v>
      </c>
      <c r="U5" s="527">
        <f>'NC-Gastos'!CQ4</f>
        <v>-29391.932775021891</v>
      </c>
      <c r="V5" s="527">
        <f>'NC-Gastos'!CR4</f>
        <v>-137630.52542956619</v>
      </c>
      <c r="W5" s="527">
        <f>'NC-Gastos'!CS4</f>
        <v>-52016.840640326809</v>
      </c>
      <c r="X5" s="527">
        <f>'NC-Gastos'!CT4</f>
        <v>-18743.320000000003</v>
      </c>
      <c r="Y5" s="527">
        <f>'NC-Gastos'!CU4</f>
        <v>-40532.060792164353</v>
      </c>
      <c r="Z5" s="527">
        <f>'NC-Gastos'!CV4</f>
        <v>-45189.635085188711</v>
      </c>
      <c r="AA5" s="527">
        <f>'NC-Gastos'!CW4</f>
        <v>-16586.721094123262</v>
      </c>
      <c r="AB5" s="528">
        <f>SUM(P5:AA5)</f>
        <v>-490512.79946633364</v>
      </c>
      <c r="AC5" s="527">
        <f>'NC-Gastos'!CY4</f>
        <v>-23713.065698041086</v>
      </c>
      <c r="AD5" s="527">
        <f>'NC-Gastos'!CZ4</f>
        <v>-60304.336898041089</v>
      </c>
      <c r="AE5" s="527">
        <f>'NC-Gastos'!DA4</f>
        <v>-48794.060625895829</v>
      </c>
      <c r="AF5" s="527">
        <f>'NC-Gastos'!DB4</f>
        <v>-42438.267200000002</v>
      </c>
      <c r="AG5" s="527">
        <f>'NC-Gastos'!DC4</f>
        <v>-45005.810882464822</v>
      </c>
      <c r="AH5" s="527">
        <f>'NC-Gastos'!DD4</f>
        <v>-29697.275747558229</v>
      </c>
      <c r="AI5" s="527">
        <f>'NC-Gastos'!DE4</f>
        <v>-152955.11376274261</v>
      </c>
      <c r="AJ5" s="527">
        <f>'NC-Gastos'!DF4</f>
        <v>-66634.430112702088</v>
      </c>
      <c r="AK5" s="527">
        <f>'NC-Gastos'!DG4</f>
        <v>-35628.757556672084</v>
      </c>
      <c r="AL5" s="527">
        <f>'NC-Gastos'!DH4</f>
        <v>-43491.634052173918</v>
      </c>
      <c r="AM5" s="527">
        <f>'NC-Gastos'!DI4</f>
        <v>-13737.329999999998</v>
      </c>
      <c r="AN5" s="527">
        <f>'NC-Gastos'!DJ4</f>
        <v>-23288.559999999994</v>
      </c>
      <c r="AO5" s="528">
        <f>SUM(AC5:AN5)</f>
        <v>-585688.64253629162</v>
      </c>
      <c r="BC5" s="528">
        <f>SUM(AQ5:BB5)</f>
        <v>0</v>
      </c>
    </row>
    <row r="6" spans="2:55" ht="7.9" customHeight="1">
      <c r="C6" s="527"/>
      <c r="D6" s="527"/>
      <c r="E6" s="527"/>
      <c r="F6" s="527"/>
      <c r="G6" s="527"/>
      <c r="H6" s="527"/>
      <c r="I6" s="527"/>
      <c r="J6" s="527"/>
      <c r="K6" s="527"/>
      <c r="L6" s="527"/>
      <c r="M6" s="527"/>
      <c r="N6" s="527"/>
      <c r="O6" s="528"/>
      <c r="P6" s="527"/>
      <c r="Q6" s="527"/>
      <c r="R6" s="527"/>
      <c r="S6" s="527"/>
      <c r="T6" s="527"/>
      <c r="U6" s="527"/>
      <c r="V6" s="527"/>
      <c r="W6" s="527"/>
      <c r="X6" s="527"/>
      <c r="Y6" s="527"/>
      <c r="Z6" s="527"/>
      <c r="AA6" s="527"/>
      <c r="AB6" s="528"/>
      <c r="AC6" s="527"/>
      <c r="AD6" s="527"/>
      <c r="AE6" s="527"/>
      <c r="AF6" s="527"/>
      <c r="AG6" s="527"/>
      <c r="AH6" s="527"/>
      <c r="AI6" s="527"/>
      <c r="AJ6" s="527"/>
      <c r="AK6" s="527"/>
      <c r="AL6" s="527"/>
      <c r="AM6" s="527"/>
      <c r="AN6" s="527"/>
      <c r="AO6" s="528"/>
      <c r="BC6" s="528"/>
    </row>
    <row r="7" spans="2:55" s="778" customFormat="1">
      <c r="B7" s="775" t="s">
        <v>493</v>
      </c>
      <c r="C7" s="776">
        <f>SUM(C4:C5)</f>
        <v>8989.1425118467378</v>
      </c>
      <c r="D7" s="776">
        <f>SUM(D4:D5)</f>
        <v>48903.390870539981</v>
      </c>
      <c r="E7" s="776">
        <f t="shared" ref="E7:N7" si="0">SUM(E4:E5)</f>
        <v>20514.777466451385</v>
      </c>
      <c r="F7" s="776">
        <f t="shared" si="0"/>
        <v>16913.700000000004</v>
      </c>
      <c r="G7" s="776">
        <f t="shared" si="0"/>
        <v>48919.205094462937</v>
      </c>
      <c r="H7" s="776">
        <f t="shared" si="0"/>
        <v>34610.542780564167</v>
      </c>
      <c r="I7" s="776">
        <f t="shared" si="0"/>
        <v>-16119.378252366034</v>
      </c>
      <c r="J7" s="776">
        <f t="shared" si="0"/>
        <v>-5944.2595672373282</v>
      </c>
      <c r="K7" s="776">
        <f t="shared" si="0"/>
        <v>87525.22296430594</v>
      </c>
      <c r="L7" s="776">
        <f t="shared" si="0"/>
        <v>70076.538944130371</v>
      </c>
      <c r="M7" s="776">
        <f t="shared" si="0"/>
        <v>42030.306542241407</v>
      </c>
      <c r="N7" s="776">
        <f t="shared" si="0"/>
        <v>125676.41791254534</v>
      </c>
      <c r="O7" s="777"/>
      <c r="P7" s="776">
        <f t="shared" ref="P7:AA7" si="1">SUM(P4:P5)</f>
        <v>42815.320952986091</v>
      </c>
      <c r="Q7" s="776">
        <f t="shared" si="1"/>
        <v>17529.288515538967</v>
      </c>
      <c r="R7" s="776">
        <f t="shared" si="1"/>
        <v>48606.108200397284</v>
      </c>
      <c r="S7" s="776">
        <f t="shared" si="1"/>
        <v>9095.1006915544058</v>
      </c>
      <c r="T7" s="776">
        <f t="shared" si="1"/>
        <v>35861.940773719492</v>
      </c>
      <c r="U7" s="776">
        <f t="shared" si="1"/>
        <v>159023.09341212141</v>
      </c>
      <c r="V7" s="776">
        <f t="shared" si="1"/>
        <v>-87688.170114515291</v>
      </c>
      <c r="W7" s="776">
        <f t="shared" si="1"/>
        <v>-11775.766562782977</v>
      </c>
      <c r="X7" s="776">
        <f t="shared" si="1"/>
        <v>80492.030345033796</v>
      </c>
      <c r="Y7" s="776">
        <f t="shared" si="1"/>
        <v>-70461.453042868787</v>
      </c>
      <c r="Z7" s="776">
        <f t="shared" si="1"/>
        <v>10232.210455344699</v>
      </c>
      <c r="AA7" s="776">
        <f t="shared" si="1"/>
        <v>14207.723350321183</v>
      </c>
      <c r="AB7" s="777"/>
      <c r="AC7" s="776">
        <f t="shared" ref="AC7:AN7" si="2">SUM(AC4:AC5)</f>
        <v>-39466.310780945867</v>
      </c>
      <c r="AD7" s="776">
        <f t="shared" si="2"/>
        <v>-23494.634671631429</v>
      </c>
      <c r="AE7" s="776">
        <f t="shared" si="2"/>
        <v>-48794.060625895829</v>
      </c>
      <c r="AF7" s="776">
        <f t="shared" si="2"/>
        <v>47002.690246808503</v>
      </c>
      <c r="AG7" s="776">
        <f t="shared" si="2"/>
        <v>-8755.8108824648225</v>
      </c>
      <c r="AH7" s="776">
        <f t="shared" si="2"/>
        <v>25825.673487543743</v>
      </c>
      <c r="AI7" s="776">
        <f t="shared" si="2"/>
        <v>1914.1850439819973</v>
      </c>
      <c r="AJ7" s="776">
        <f t="shared" si="2"/>
        <v>27854.019207672405</v>
      </c>
      <c r="AK7" s="776">
        <f t="shared" si="2"/>
        <v>232622.73708709597</v>
      </c>
      <c r="AL7" s="776">
        <f t="shared" si="2"/>
        <v>247008.40942608693</v>
      </c>
      <c r="AM7" s="776">
        <f t="shared" si="2"/>
        <v>175654.01956521743</v>
      </c>
      <c r="AN7" s="776">
        <f t="shared" si="2"/>
        <v>47124.483478260867</v>
      </c>
      <c r="AO7" s="777"/>
      <c r="BC7" s="777"/>
    </row>
    <row r="8" spans="2:55" s="778" customFormat="1">
      <c r="B8" s="779" t="s">
        <v>494</v>
      </c>
      <c r="C8" s="780">
        <f>+C7</f>
        <v>8989.1425118467378</v>
      </c>
      <c r="D8" s="780">
        <f>+D7+C8</f>
        <v>57892.533382386719</v>
      </c>
      <c r="E8" s="780">
        <f t="shared" ref="E8:N8" si="3">+E7+D8</f>
        <v>78407.310848838097</v>
      </c>
      <c r="F8" s="780">
        <f t="shared" si="3"/>
        <v>95321.010848838108</v>
      </c>
      <c r="G8" s="780">
        <f t="shared" si="3"/>
        <v>144240.21594330104</v>
      </c>
      <c r="H8" s="780">
        <f t="shared" si="3"/>
        <v>178850.7587238652</v>
      </c>
      <c r="I8" s="780">
        <f t="shared" si="3"/>
        <v>162731.38047149917</v>
      </c>
      <c r="J8" s="780">
        <f t="shared" si="3"/>
        <v>156787.12090426183</v>
      </c>
      <c r="K8" s="780">
        <f t="shared" si="3"/>
        <v>244312.34386856778</v>
      </c>
      <c r="L8" s="780">
        <f t="shared" si="3"/>
        <v>314388.88281269814</v>
      </c>
      <c r="M8" s="780">
        <f t="shared" si="3"/>
        <v>356419.18935493956</v>
      </c>
      <c r="N8" s="780">
        <f t="shared" si="3"/>
        <v>482095.60726748488</v>
      </c>
      <c r="O8" s="781">
        <f>SUM(O4:O5)</f>
        <v>482095.60726748488</v>
      </c>
      <c r="P8" s="780">
        <f>+P7</f>
        <v>42815.320952986091</v>
      </c>
      <c r="Q8" s="780">
        <f>+Q7+P8</f>
        <v>60344.609468525057</v>
      </c>
      <c r="R8" s="780">
        <f t="shared" ref="R8" si="4">+R7+Q8</f>
        <v>108950.71766892234</v>
      </c>
      <c r="S8" s="780">
        <f t="shared" ref="S8" si="5">+S7+R8</f>
        <v>118045.81836047675</v>
      </c>
      <c r="T8" s="780">
        <f t="shared" ref="T8" si="6">+T7+S8</f>
        <v>153907.75913419624</v>
      </c>
      <c r="U8" s="780">
        <f t="shared" ref="U8" si="7">+U7+T8</f>
        <v>312930.85254631762</v>
      </c>
      <c r="V8" s="780">
        <f t="shared" ref="V8" si="8">+V7+U8</f>
        <v>225242.68243180233</v>
      </c>
      <c r="W8" s="780">
        <f t="shared" ref="W8" si="9">+W7+V8</f>
        <v>213466.91586901934</v>
      </c>
      <c r="X8" s="780">
        <f t="shared" ref="X8" si="10">+X7+W8</f>
        <v>293958.94621405314</v>
      </c>
      <c r="Y8" s="780">
        <f t="shared" ref="Y8" si="11">+Y7+X8</f>
        <v>223497.49317118435</v>
      </c>
      <c r="Z8" s="780">
        <f t="shared" ref="Z8" si="12">+Z7+Y8</f>
        <v>233729.70362652905</v>
      </c>
      <c r="AA8" s="780">
        <f t="shared" ref="AA8" si="13">+AA7+Z8</f>
        <v>247937.42697685023</v>
      </c>
      <c r="AB8" s="781">
        <f>SUM(AB4:AB5)</f>
        <v>247937.42697685031</v>
      </c>
      <c r="AC8" s="780">
        <f>+AC7</f>
        <v>-39466.310780945867</v>
      </c>
      <c r="AD8" s="780">
        <f t="shared" ref="AD8" si="14">+AD7+AC8</f>
        <v>-62960.945452577296</v>
      </c>
      <c r="AE8" s="780">
        <f t="shared" ref="AE8" si="15">+AE7+AD8</f>
        <v>-111755.00607847312</v>
      </c>
      <c r="AF8" s="780">
        <f t="shared" ref="AF8" si="16">+AF7+AE8</f>
        <v>-64752.315831664615</v>
      </c>
      <c r="AG8" s="780">
        <f t="shared" ref="AG8" si="17">+AG7+AF8</f>
        <v>-73508.126714129437</v>
      </c>
      <c r="AH8" s="780">
        <f t="shared" ref="AH8" si="18">+AH7+AG8</f>
        <v>-47682.453226585698</v>
      </c>
      <c r="AI8" s="780">
        <f t="shared" ref="AI8" si="19">+AI7+AH8</f>
        <v>-45768.268182603701</v>
      </c>
      <c r="AJ8" s="780">
        <f t="shared" ref="AJ8" si="20">+AJ7+AI8</f>
        <v>-17914.248974931295</v>
      </c>
      <c r="AK8" s="780">
        <f t="shared" ref="AK8" si="21">+AK7+AJ8</f>
        <v>214708.48811216466</v>
      </c>
      <c r="AL8" s="780">
        <f t="shared" ref="AL8" si="22">+AL7+AK8</f>
        <v>461716.89753825159</v>
      </c>
      <c r="AM8" s="780">
        <f t="shared" ref="AM8" si="23">+AM7+AL8</f>
        <v>637370.91710346902</v>
      </c>
      <c r="AN8" s="780">
        <f t="shared" ref="AN8" si="24">+AN7+AM8</f>
        <v>684495.40058172983</v>
      </c>
      <c r="AO8" s="781">
        <f>SUM(AO4:AO5)</f>
        <v>684495.4005817303</v>
      </c>
      <c r="BC8" s="781">
        <f>SUM(BC4:BC5)</f>
        <v>0</v>
      </c>
    </row>
    <row r="9" spans="2:55" s="778" customFormat="1" ht="15">
      <c r="B9" s="772" t="s">
        <v>543</v>
      </c>
      <c r="C9" s="776"/>
      <c r="D9" s="776"/>
      <c r="E9" s="776"/>
      <c r="F9" s="776"/>
      <c r="G9" s="776"/>
      <c r="H9" s="776"/>
      <c r="I9" s="776"/>
      <c r="J9" s="776"/>
      <c r="K9" s="776"/>
      <c r="L9" s="776"/>
      <c r="M9" s="776"/>
      <c r="N9" s="776"/>
      <c r="O9" s="814"/>
      <c r="P9" s="776"/>
      <c r="Q9" s="776"/>
      <c r="R9" s="776"/>
      <c r="S9" s="776"/>
      <c r="T9" s="776"/>
      <c r="U9" s="776"/>
      <c r="V9" s="776"/>
      <c r="W9" s="776"/>
      <c r="X9" s="776"/>
      <c r="Y9" s="776"/>
      <c r="Z9" s="776"/>
      <c r="AA9" s="776"/>
      <c r="AB9" s="814"/>
      <c r="AC9" s="776"/>
      <c r="AD9" s="776"/>
      <c r="AE9" s="776"/>
      <c r="AF9" s="776"/>
      <c r="AG9" s="776"/>
      <c r="AH9" s="776"/>
      <c r="AI9" s="776"/>
      <c r="AJ9" s="776"/>
      <c r="AK9" s="776"/>
      <c r="AL9" s="776"/>
      <c r="AM9" s="776"/>
      <c r="AN9" s="776"/>
      <c r="AO9" s="814"/>
      <c r="BC9" s="814"/>
    </row>
    <row r="10" spans="2:55" s="778" customFormat="1">
      <c r="B10" s="774" t="s">
        <v>139</v>
      </c>
      <c r="C10" s="776"/>
      <c r="D10" s="776"/>
      <c r="E10" s="776"/>
      <c r="F10" s="776"/>
      <c r="G10" s="776"/>
      <c r="H10" s="776"/>
      <c r="I10" s="776"/>
      <c r="J10" s="776"/>
      <c r="K10" s="776"/>
      <c r="L10" s="776"/>
      <c r="M10" s="776"/>
      <c r="N10" s="776"/>
      <c r="O10" s="814"/>
      <c r="P10" s="776">
        <f>'Trade-Ingresos'!CL4</f>
        <v>0</v>
      </c>
      <c r="Q10" s="776">
        <f>'Trade-Ingresos'!CM4</f>
        <v>0</v>
      </c>
      <c r="R10" s="776">
        <f>'Trade-Ingresos'!CN4</f>
        <v>0</v>
      </c>
      <c r="S10" s="776">
        <f>'Trade-Ingresos'!CO4</f>
        <v>0</v>
      </c>
      <c r="T10" s="776">
        <f>'Trade-Ingresos'!CP4</f>
        <v>526295.29</v>
      </c>
      <c r="U10" s="776">
        <f>'Trade-Ingresos'!CQ4</f>
        <v>522419.65</v>
      </c>
      <c r="V10" s="776">
        <f>'Trade-Ingresos'!CR4</f>
        <v>778499.08</v>
      </c>
      <c r="W10" s="776">
        <f>'Trade-Ingresos'!CS4</f>
        <v>858221.62000000011</v>
      </c>
      <c r="X10" s="776">
        <f>'Trade-Ingresos'!CT4</f>
        <v>0</v>
      </c>
      <c r="Y10" s="776">
        <f>'Trade-Ingresos'!CU4</f>
        <v>0</v>
      </c>
      <c r="Z10" s="776">
        <f>'Trade-Ingresos'!CV4</f>
        <v>1072186.1040000001</v>
      </c>
      <c r="AA10" s="776">
        <f>'Trade-Ingresos'!CW4</f>
        <v>1179404.7143999999</v>
      </c>
      <c r="AB10" s="528">
        <f>SUM(P10:AA10)</f>
        <v>4937026.4583999999</v>
      </c>
      <c r="AC10" s="776">
        <f>'Trade-Ingresos'!CY4</f>
        <v>-1072186.1040000001</v>
      </c>
      <c r="AD10" s="776">
        <f>'Trade-Ingresos'!CZ4</f>
        <v>0</v>
      </c>
      <c r="AE10" s="776">
        <f>'Trade-Ingresos'!DA4</f>
        <v>1579475.0405720002</v>
      </c>
      <c r="AF10" s="776">
        <f>'Trade-Ingresos'!DB4</f>
        <v>233842.255</v>
      </c>
      <c r="AG10" s="776">
        <f>'Trade-Ingresos'!DC4</f>
        <v>0</v>
      </c>
      <c r="AH10" s="776">
        <f>'Trade-Ingresos'!DD4</f>
        <v>144590.79999999999</v>
      </c>
      <c r="AI10" s="776">
        <f>'Trade-Ingresos'!DE4</f>
        <v>115667.93999999999</v>
      </c>
      <c r="AJ10" s="776">
        <f>'Trade-Ingresos'!DF4</f>
        <v>145805.28</v>
      </c>
      <c r="AK10" s="776">
        <f>'Trade-Ingresos'!DG4</f>
        <v>85365.159999999989</v>
      </c>
      <c r="AL10" s="776">
        <f>'Trade-Ingresos'!DH4</f>
        <v>171615.34499999997</v>
      </c>
      <c r="AM10" s="776">
        <f>'Trade-Ingresos'!DI4</f>
        <v>117500</v>
      </c>
      <c r="AN10" s="776">
        <f>'Trade-Ingresos'!DJ4</f>
        <v>117500</v>
      </c>
      <c r="AO10" s="528">
        <f>SUM(AC10:AN10)</f>
        <v>1639175.7165719999</v>
      </c>
      <c r="BC10" s="528">
        <f>SUM(AQ10:BB10)</f>
        <v>0</v>
      </c>
    </row>
    <row r="11" spans="2:55" s="778" customFormat="1">
      <c r="B11" s="774" t="s">
        <v>181</v>
      </c>
      <c r="C11" s="776"/>
      <c r="D11" s="776"/>
      <c r="E11" s="776"/>
      <c r="F11" s="776"/>
      <c r="G11" s="776"/>
      <c r="H11" s="776"/>
      <c r="I11" s="776"/>
      <c r="J11" s="776"/>
      <c r="K11" s="776"/>
      <c r="L11" s="776"/>
      <c r="M11" s="776"/>
      <c r="N11" s="776"/>
      <c r="O11" s="814"/>
      <c r="P11" s="776">
        <f>'Trade-Gastos'!CL4</f>
        <v>0</v>
      </c>
      <c r="Q11" s="776">
        <f>'Trade-Gastos'!CM4</f>
        <v>0</v>
      </c>
      <c r="R11" s="776">
        <f>'Trade-Gastos'!CN4</f>
        <v>0</v>
      </c>
      <c r="S11" s="776">
        <f>'Trade-Gastos'!CO4</f>
        <v>0</v>
      </c>
      <c r="T11" s="776">
        <f>'Trade-Gastos'!CP4</f>
        <v>-428417.06</v>
      </c>
      <c r="U11" s="776">
        <f>'Trade-Gastos'!CQ4</f>
        <v>-543680.82579999999</v>
      </c>
      <c r="V11" s="776">
        <f>'Trade-Gastos'!CR4</f>
        <v>-673063.93859999999</v>
      </c>
      <c r="W11" s="776">
        <f>'Trade-Gastos'!CS4</f>
        <v>-858753.20579999988</v>
      </c>
      <c r="X11" s="776">
        <f>'Trade-Gastos'!CT4</f>
        <v>-60509.189999999995</v>
      </c>
      <c r="Y11" s="776">
        <f>'Trade-Gastos'!CU4</f>
        <v>0</v>
      </c>
      <c r="Z11" s="776">
        <f>'Trade-Gastos'!CV4</f>
        <v>-998460.14399999997</v>
      </c>
      <c r="AA11" s="776">
        <f>'Trade-Gastos'!CW4</f>
        <v>0</v>
      </c>
      <c r="AB11" s="528">
        <f>SUM(P11:AA11)</f>
        <v>-3562884.3641999997</v>
      </c>
      <c r="AC11" s="776">
        <f>'Trade-Gastos'!CY4</f>
        <v>-38943.928100000005</v>
      </c>
      <c r="AD11" s="776">
        <f>'Trade-Gastos'!CZ4</f>
        <v>-99846.014399999869</v>
      </c>
      <c r="AE11" s="776">
        <f>'Trade-Gastos'!DA4</f>
        <v>-528142.26651999995</v>
      </c>
      <c r="AF11" s="776">
        <f>'Trade-Gastos'!DB4</f>
        <v>-909159.54161999992</v>
      </c>
      <c r="AG11" s="776">
        <f>'Trade-Gastos'!DC4</f>
        <v>-143699.3259</v>
      </c>
      <c r="AH11" s="776">
        <f>'Trade-Gastos'!DD4</f>
        <v>-28304.34</v>
      </c>
      <c r="AI11" s="776">
        <f>'Trade-Gastos'!DE4</f>
        <v>-168310.09600000002</v>
      </c>
      <c r="AJ11" s="776">
        <f>'Trade-Gastos'!DF4</f>
        <v>-112846.32</v>
      </c>
      <c r="AK11" s="776">
        <f>'Trade-Gastos'!DG4</f>
        <v>-141772.48800000001</v>
      </c>
      <c r="AL11" s="776">
        <f>'Trade-Gastos'!DH4</f>
        <v>-221175.2205</v>
      </c>
      <c r="AM11" s="776">
        <f>'Trade-Gastos'!DI4</f>
        <v>-114000</v>
      </c>
      <c r="AN11" s="776">
        <f>'Trade-Gastos'!DJ4</f>
        <v>-114000</v>
      </c>
      <c r="AO11" s="528">
        <f>SUM(AC11:AN11)</f>
        <v>-2620199.54104</v>
      </c>
      <c r="BC11" s="528">
        <f>SUM(AQ11:BB11)</f>
        <v>0</v>
      </c>
    </row>
    <row r="12" spans="2:55" s="778" customFormat="1" ht="6" customHeight="1">
      <c r="B12" s="480"/>
      <c r="C12" s="776"/>
      <c r="D12" s="776"/>
      <c r="E12" s="776"/>
      <c r="F12" s="776"/>
      <c r="G12" s="776"/>
      <c r="H12" s="776"/>
      <c r="I12" s="776"/>
      <c r="J12" s="776"/>
      <c r="K12" s="776"/>
      <c r="L12" s="776"/>
      <c r="M12" s="776"/>
      <c r="N12" s="776"/>
      <c r="O12" s="814"/>
      <c r="P12" s="776"/>
      <c r="Q12" s="776"/>
      <c r="R12" s="776"/>
      <c r="S12" s="776"/>
      <c r="T12" s="776"/>
      <c r="U12" s="776"/>
      <c r="V12" s="776"/>
      <c r="W12" s="776"/>
      <c r="X12" s="776"/>
      <c r="Y12" s="776"/>
      <c r="Z12" s="776"/>
      <c r="AA12" s="776"/>
      <c r="AB12" s="528"/>
      <c r="AC12" s="776"/>
      <c r="AD12" s="776"/>
      <c r="AE12" s="776"/>
      <c r="AF12" s="776"/>
      <c r="AG12" s="776"/>
      <c r="AH12" s="776"/>
      <c r="AI12" s="776"/>
      <c r="AJ12" s="776"/>
      <c r="AK12" s="776"/>
      <c r="AL12" s="776"/>
      <c r="AM12" s="776"/>
      <c r="AN12" s="776"/>
      <c r="AO12" s="528"/>
      <c r="BC12" s="528"/>
    </row>
    <row r="13" spans="2:55" s="778" customFormat="1">
      <c r="B13" s="775" t="s">
        <v>493</v>
      </c>
      <c r="C13" s="776"/>
      <c r="D13" s="776"/>
      <c r="E13" s="776"/>
      <c r="F13" s="776"/>
      <c r="G13" s="776"/>
      <c r="H13" s="776"/>
      <c r="I13" s="776"/>
      <c r="J13" s="776"/>
      <c r="K13" s="776"/>
      <c r="L13" s="776"/>
      <c r="M13" s="776"/>
      <c r="N13" s="776"/>
      <c r="O13" s="814"/>
      <c r="P13" s="776">
        <f t="shared" ref="P13:Q13" si="25">SUM(P10:P11)</f>
        <v>0</v>
      </c>
      <c r="Q13" s="776">
        <f t="shared" si="25"/>
        <v>0</v>
      </c>
      <c r="R13" s="776">
        <f t="shared" ref="R13:AA13" si="26">SUM(R10:R11)</f>
        <v>0</v>
      </c>
      <c r="S13" s="776">
        <f t="shared" si="26"/>
        <v>0</v>
      </c>
      <c r="T13" s="776">
        <f>SUM(T10:T11)</f>
        <v>97878.23000000004</v>
      </c>
      <c r="U13" s="776">
        <f t="shared" si="26"/>
        <v>-21261.175799999968</v>
      </c>
      <c r="V13" s="776">
        <f t="shared" si="26"/>
        <v>105435.14139999996</v>
      </c>
      <c r="W13" s="776">
        <f t="shared" si="26"/>
        <v>-531.58579999976791</v>
      </c>
      <c r="X13" s="776">
        <f t="shared" si="26"/>
        <v>-60509.189999999995</v>
      </c>
      <c r="Y13" s="776">
        <f t="shared" si="26"/>
        <v>0</v>
      </c>
      <c r="Z13" s="776">
        <f t="shared" si="26"/>
        <v>73725.960000000079</v>
      </c>
      <c r="AA13" s="776">
        <f t="shared" si="26"/>
        <v>1179404.7143999999</v>
      </c>
      <c r="AB13" s="777"/>
      <c r="AC13" s="776">
        <f t="shared" ref="AC13:AN13" si="27">SUM(AC10:AC11)</f>
        <v>-1111130.0321</v>
      </c>
      <c r="AD13" s="776">
        <f t="shared" si="27"/>
        <v>-99846.014399999869</v>
      </c>
      <c r="AE13" s="776">
        <f t="shared" si="27"/>
        <v>1051332.7740520001</v>
      </c>
      <c r="AF13" s="776">
        <f t="shared" si="27"/>
        <v>-675317.28661999991</v>
      </c>
      <c r="AG13" s="776">
        <f t="shared" si="27"/>
        <v>-143699.3259</v>
      </c>
      <c r="AH13" s="776">
        <f t="shared" si="27"/>
        <v>116286.45999999999</v>
      </c>
      <c r="AI13" s="776">
        <f t="shared" si="27"/>
        <v>-52642.156000000032</v>
      </c>
      <c r="AJ13" s="776">
        <f t="shared" si="27"/>
        <v>32958.959999999992</v>
      </c>
      <c r="AK13" s="776">
        <f t="shared" si="27"/>
        <v>-56407.328000000023</v>
      </c>
      <c r="AL13" s="776">
        <f t="shared" si="27"/>
        <v>-49559.875500000024</v>
      </c>
      <c r="AM13" s="776">
        <f t="shared" si="27"/>
        <v>3500</v>
      </c>
      <c r="AN13" s="776">
        <f t="shared" si="27"/>
        <v>3500</v>
      </c>
      <c r="AO13" s="777"/>
      <c r="BC13" s="777"/>
    </row>
    <row r="14" spans="2:55" s="778" customFormat="1">
      <c r="B14" s="779" t="s">
        <v>494</v>
      </c>
      <c r="C14" s="780"/>
      <c r="D14" s="780"/>
      <c r="E14" s="780"/>
      <c r="F14" s="780"/>
      <c r="G14" s="780"/>
      <c r="H14" s="780"/>
      <c r="I14" s="780"/>
      <c r="J14" s="780"/>
      <c r="K14" s="780"/>
      <c r="L14" s="780"/>
      <c r="M14" s="780"/>
      <c r="N14" s="780"/>
      <c r="O14" s="781"/>
      <c r="P14" s="780">
        <f>+P13+O14</f>
        <v>0</v>
      </c>
      <c r="Q14" s="780">
        <f t="shared" ref="Q14" si="28">+Q13+P14</f>
        <v>0</v>
      </c>
      <c r="R14" s="780">
        <f t="shared" ref="R14" si="29">+R13+Q14</f>
        <v>0</v>
      </c>
      <c r="S14" s="780">
        <f t="shared" ref="S14" si="30">+S13+R14</f>
        <v>0</v>
      </c>
      <c r="T14" s="780">
        <f>+T13+S14</f>
        <v>97878.23000000004</v>
      </c>
      <c r="U14" s="780">
        <f t="shared" ref="U14" si="31">+U13+T14</f>
        <v>76617.054200000071</v>
      </c>
      <c r="V14" s="780">
        <f t="shared" ref="V14" si="32">+V13+U14</f>
        <v>182052.19560000004</v>
      </c>
      <c r="W14" s="780">
        <f t="shared" ref="W14" si="33">+W13+V14</f>
        <v>181520.60980000027</v>
      </c>
      <c r="X14" s="780">
        <f t="shared" ref="X14" si="34">+X13+W14</f>
        <v>121011.41980000027</v>
      </c>
      <c r="Y14" s="780">
        <f t="shared" ref="Y14" si="35">+Y13+X14</f>
        <v>121011.41980000027</v>
      </c>
      <c r="Z14" s="780">
        <f>+Z13+Y14</f>
        <v>194737.37980000034</v>
      </c>
      <c r="AA14" s="780">
        <f>+AA13+Z14</f>
        <v>1374142.0942000002</v>
      </c>
      <c r="AB14" s="781">
        <f>SUM(AB10:AB11)</f>
        <v>1374142.0942000002</v>
      </c>
      <c r="AC14" s="780">
        <f>+AC13</f>
        <v>-1111130.0321</v>
      </c>
      <c r="AD14" s="780">
        <f t="shared" ref="AD14" si="36">+AD13+AC14</f>
        <v>-1210976.0464999997</v>
      </c>
      <c r="AE14" s="780">
        <f t="shared" ref="AE14" si="37">+AE13+AD14</f>
        <v>-159643.27244799957</v>
      </c>
      <c r="AF14" s="780">
        <f t="shared" ref="AF14" si="38">+AF13+AE14</f>
        <v>-834960.55906799948</v>
      </c>
      <c r="AG14" s="780">
        <f t="shared" ref="AG14" si="39">+AG13+AF14</f>
        <v>-978659.88496799953</v>
      </c>
      <c r="AH14" s="780">
        <f t="shared" ref="AH14" si="40">+AH13+AG14</f>
        <v>-862373.42496799957</v>
      </c>
      <c r="AI14" s="780">
        <f t="shared" ref="AI14" si="41">+AI13+AH14</f>
        <v>-915015.58096799965</v>
      </c>
      <c r="AJ14" s="780">
        <f t="shared" ref="AJ14" si="42">+AJ13+AI14</f>
        <v>-882056.62096799968</v>
      </c>
      <c r="AK14" s="780">
        <f t="shared" ref="AK14" si="43">+AK13+AJ14</f>
        <v>-938463.94896799966</v>
      </c>
      <c r="AL14" s="780">
        <f t="shared" ref="AL14" si="44">+AL13+AK14</f>
        <v>-988023.82446799963</v>
      </c>
      <c r="AM14" s="780">
        <f t="shared" ref="AM14" si="45">+AM13+AL14</f>
        <v>-984523.82446799963</v>
      </c>
      <c r="AN14" s="780">
        <f t="shared" ref="AN14" si="46">+AN13+AM14</f>
        <v>-981023.82446799963</v>
      </c>
      <c r="AO14" s="781">
        <f>SUM(AO10:AO11)</f>
        <v>-981023.82446800009</v>
      </c>
      <c r="AP14" s="969">
        <f>AO14+1072186+38944+99846</f>
        <v>229952.17553199991</v>
      </c>
      <c r="AQ14" s="776"/>
      <c r="BC14" s="781">
        <f>SUM(BC10:BC11)</f>
        <v>0</v>
      </c>
    </row>
    <row r="15" spans="2:55" ht="15">
      <c r="B15" s="772" t="s">
        <v>495</v>
      </c>
      <c r="C15" s="527"/>
      <c r="D15" s="527"/>
      <c r="E15" s="527"/>
      <c r="F15" s="527"/>
      <c r="G15" s="527"/>
      <c r="H15" s="527"/>
      <c r="I15" s="527"/>
      <c r="J15" s="527"/>
      <c r="K15" s="527"/>
      <c r="L15" s="527"/>
      <c r="M15" s="527"/>
      <c r="N15" s="527"/>
      <c r="O15" s="528"/>
      <c r="P15" s="527"/>
      <c r="Q15" s="527"/>
      <c r="R15" s="527"/>
      <c r="S15" s="527"/>
      <c r="T15" s="527"/>
      <c r="U15" s="527"/>
      <c r="V15" s="527"/>
      <c r="W15" s="527"/>
      <c r="X15" s="527"/>
      <c r="Y15" s="527"/>
      <c r="Z15" s="527"/>
      <c r="AA15" s="527"/>
      <c r="AB15" s="528"/>
      <c r="AC15" s="527"/>
      <c r="AD15" s="527"/>
      <c r="AE15" s="527"/>
      <c r="AF15" s="527"/>
      <c r="AG15" s="527"/>
      <c r="AH15" s="527"/>
      <c r="AI15" s="527"/>
      <c r="AJ15" s="527"/>
      <c r="AK15" s="527"/>
      <c r="AL15" s="527"/>
      <c r="AM15" s="527"/>
      <c r="AN15" s="527"/>
      <c r="AO15" s="528"/>
      <c r="BC15" s="528"/>
    </row>
    <row r="16" spans="2:55">
      <c r="B16" s="774" t="s">
        <v>139</v>
      </c>
      <c r="C16" s="527">
        <f>Act.Ganadera!BY11</f>
        <v>2277.0300000000002</v>
      </c>
      <c r="D16" s="527">
        <f>Act.Ganadera!BZ11</f>
        <v>0</v>
      </c>
      <c r="E16" s="527">
        <f>Act.Ganadera!CA11</f>
        <v>0</v>
      </c>
      <c r="F16" s="527">
        <f>Act.Ganadera!CB11</f>
        <v>0</v>
      </c>
      <c r="G16" s="527">
        <f>Act.Ganadera!CC11</f>
        <v>509.17</v>
      </c>
      <c r="H16" s="527">
        <f>Act.Ganadera!CD11</f>
        <v>134.58000000000001</v>
      </c>
      <c r="I16" s="527">
        <f>Act.Ganadera!CE11</f>
        <v>0</v>
      </c>
      <c r="J16" s="527">
        <f>Act.Ganadera!CF11</f>
        <v>0</v>
      </c>
      <c r="K16" s="527">
        <f>Act.Ganadera!CG11</f>
        <v>0</v>
      </c>
      <c r="L16" s="527">
        <f>Act.Ganadera!CH11</f>
        <v>0</v>
      </c>
      <c r="M16" s="527">
        <f>Act.Ganadera!CI11</f>
        <v>0</v>
      </c>
      <c r="N16" s="527">
        <f>Act.Ganadera!CJ11</f>
        <v>0</v>
      </c>
      <c r="O16" s="528">
        <f>SUM(C16:N16)</f>
        <v>2920.78</v>
      </c>
      <c r="P16" s="527">
        <f>Act.Ganadera!CM11</f>
        <v>0</v>
      </c>
      <c r="Q16" s="527">
        <f>Act.Ganadera!CN11</f>
        <v>0</v>
      </c>
      <c r="R16" s="527">
        <f>Act.Ganadera!CO11</f>
        <v>0</v>
      </c>
      <c r="S16" s="527">
        <f>Act.Ganadera!CP11</f>
        <v>18560</v>
      </c>
      <c r="T16" s="527">
        <f>Act.Ganadera!CQ11</f>
        <v>2972.85</v>
      </c>
      <c r="U16" s="527">
        <f>Act.Ganadera!CR11</f>
        <v>0</v>
      </c>
      <c r="V16" s="527">
        <f>Act.Ganadera!CS11</f>
        <v>0</v>
      </c>
      <c r="W16" s="527">
        <f>Act.Ganadera!CT11</f>
        <v>0</v>
      </c>
      <c r="X16" s="527">
        <f>Act.Ganadera!CU11</f>
        <v>0</v>
      </c>
      <c r="Y16" s="527">
        <f>Act.Ganadera!CV11</f>
        <v>0</v>
      </c>
      <c r="Z16" s="527">
        <f>Act.Ganadera!CW11</f>
        <v>0</v>
      </c>
      <c r="AA16" s="527">
        <f>Act.Ganadera!CX11</f>
        <v>0</v>
      </c>
      <c r="AB16" s="528">
        <f>SUM(P16:AA16)</f>
        <v>21532.85</v>
      </c>
      <c r="AC16" s="527">
        <f>Act.Ganadera!CZ11</f>
        <v>0</v>
      </c>
      <c r="AD16" s="527">
        <f>Act.Ganadera!DA11</f>
        <v>0</v>
      </c>
      <c r="AE16" s="527">
        <f>Act.Ganadera!DB11</f>
        <v>0</v>
      </c>
      <c r="AF16" s="527">
        <f>Act.Ganadera!DC11</f>
        <v>0</v>
      </c>
      <c r="AG16" s="527">
        <f>Act.Ganadera!DD11</f>
        <v>0</v>
      </c>
      <c r="AH16" s="527">
        <f>Act.Ganadera!DE11</f>
        <v>0</v>
      </c>
      <c r="AI16" s="527">
        <f>Act.Ganadera!DF11</f>
        <v>0</v>
      </c>
      <c r="AJ16" s="527">
        <f>Act.Ganadera!DG11</f>
        <v>0</v>
      </c>
      <c r="AK16" s="527">
        <f>Act.Ganadera!DH11</f>
        <v>0</v>
      </c>
      <c r="AL16" s="527">
        <f>Act.Ganadera!DI11</f>
        <v>737.53</v>
      </c>
      <c r="AM16" s="527">
        <f>Act.Ganadera!DJ11</f>
        <v>0</v>
      </c>
      <c r="AN16" s="527">
        <f>Act.Ganadera!DK11</f>
        <v>0</v>
      </c>
      <c r="AO16" s="528">
        <f>SUM(AC16:AN16)</f>
        <v>737.53</v>
      </c>
      <c r="BC16" s="528">
        <f>SUM(AQ16:BB16)</f>
        <v>0</v>
      </c>
    </row>
    <row r="17" spans="2:55">
      <c r="B17" s="774" t="s">
        <v>181</v>
      </c>
      <c r="C17" s="527">
        <f>Act.Ganadera!BY25+Act.Ganadera!BY51</f>
        <v>-51770.52</v>
      </c>
      <c r="D17" s="527">
        <f>Act.Ganadera!BZ25+Act.Ganadera!BZ51</f>
        <v>-1504.7900000000016</v>
      </c>
      <c r="E17" s="527">
        <f>Act.Ganadera!CA25+Act.Ganadera!CA51</f>
        <v>-21987.724999999999</v>
      </c>
      <c r="F17" s="527">
        <f>Act.Ganadera!CB25+Act.Ganadera!CB51</f>
        <v>-13238.727999999999</v>
      </c>
      <c r="G17" s="527">
        <f>Act.Ganadera!CC25+Act.Ganadera!CC51</f>
        <v>-29471.340000000004</v>
      </c>
      <c r="H17" s="527">
        <f>Act.Ganadera!CD25+Act.Ganadera!CD51</f>
        <v>-32280.45</v>
      </c>
      <c r="I17" s="527">
        <f>Act.Ganadera!CE25+Act.Ganadera!CE51</f>
        <v>-14869.919999999998</v>
      </c>
      <c r="J17" s="527">
        <f>Act.Ganadera!CF25+Act.Ganadera!CF51</f>
        <v>-5564.3600000000006</v>
      </c>
      <c r="K17" s="527">
        <f>Act.Ganadera!CG25+Act.Ganadera!CG51</f>
        <v>-34873.11</v>
      </c>
      <c r="L17" s="527">
        <f>Act.Ganadera!CH25+Act.Ganadera!CH51</f>
        <v>-11139.51</v>
      </c>
      <c r="M17" s="527">
        <f>Act.Ganadera!CI25+Act.Ganadera!CI51</f>
        <v>-23173.920000000002</v>
      </c>
      <c r="N17" s="527">
        <f>Act.Ganadera!CJ25+Act.Ganadera!CJ51</f>
        <v>69092.159999999989</v>
      </c>
      <c r="O17" s="528">
        <f>SUM(C17:N17)</f>
        <v>-170782.21299999999</v>
      </c>
      <c r="P17" s="527">
        <f>Act.Ganadera!CM25+Act.Ganadera!CM51</f>
        <v>-14800.2</v>
      </c>
      <c r="Q17" s="527">
        <f>Act.Ganadera!CN25+Act.Ganadera!CN51</f>
        <v>-28867.53</v>
      </c>
      <c r="R17" s="527">
        <f>Act.Ganadera!CO25+Act.Ganadera!CO51</f>
        <v>-2522.67</v>
      </c>
      <c r="S17" s="527">
        <f>Act.Ganadera!CP25+Act.Ganadera!CP51</f>
        <v>-3242.42</v>
      </c>
      <c r="T17" s="527">
        <f>Act.Ganadera!CQ25+Act.Ganadera!CQ51</f>
        <v>-14966.050000000003</v>
      </c>
      <c r="U17" s="527">
        <f>Act.Ganadera!CR25+Act.Ganadera!CR51</f>
        <v>-20302.740000000002</v>
      </c>
      <c r="V17" s="527">
        <f>Act.Ganadera!CS25+Act.Ganadera!CS51</f>
        <v>-20281.490000000002</v>
      </c>
      <c r="W17" s="527">
        <f>Act.Ganadera!CT25+Act.Ganadera!CT51</f>
        <v>2025.340000000002</v>
      </c>
      <c r="X17" s="527">
        <f>Act.Ganadera!CU25+Act.Ganadera!CU51</f>
        <v>-4000.77</v>
      </c>
      <c r="Y17" s="527">
        <f>Act.Ganadera!CV25+Act.Ganadera!CV51</f>
        <v>358.37000000000023</v>
      </c>
      <c r="Z17" s="527">
        <f>Act.Ganadera!CW25+Act.Ganadera!CW51</f>
        <v>-24715.5</v>
      </c>
      <c r="AA17" s="527">
        <f>Act.Ganadera!CX25+Act.Ganadera!CX51</f>
        <v>-10165.692499999999</v>
      </c>
      <c r="AB17" s="528">
        <f>SUM(P17:AA17)</f>
        <v>-141481.35250000004</v>
      </c>
      <c r="AC17" s="527">
        <f>Act.Ganadera!CZ25+Act.Ganadera!CZ51</f>
        <v>-8045.84</v>
      </c>
      <c r="AD17" s="527">
        <f>Act.Ganadera!DA25+Act.Ganadera!DA51</f>
        <v>-16162.13</v>
      </c>
      <c r="AE17" s="527">
        <f>Act.Ganadera!DB25+Act.Ganadera!DB51</f>
        <v>-2261.0500000000002</v>
      </c>
      <c r="AF17" s="527">
        <f>Act.Ganadera!DC25+Act.Ganadera!DC51</f>
        <v>-7505.36</v>
      </c>
      <c r="AG17" s="527">
        <f>Act.Ganadera!DD25+Act.Ganadera!DD51</f>
        <v>-11435.05</v>
      </c>
      <c r="AH17" s="527">
        <f>Act.Ganadera!DE25+Act.Ganadera!DE51</f>
        <v>-6121.96</v>
      </c>
      <c r="AI17" s="527">
        <f>Act.Ganadera!DF25+Act.Ganadera!DF51</f>
        <v>-22802.699999999997</v>
      </c>
      <c r="AJ17" s="527">
        <f>Act.Ganadera!DG25+Act.Ganadera!DG51</f>
        <v>-253.57</v>
      </c>
      <c r="AK17" s="527">
        <f>Act.Ganadera!DH25+Act.Ganadera!DH51</f>
        <v>-612.96999999999991</v>
      </c>
      <c r="AL17" s="527">
        <f>Act.Ganadera!DI25+Act.Ganadera!DI51</f>
        <v>-17550.629999999997</v>
      </c>
      <c r="AM17" s="527">
        <f>Act.Ganadera!DJ25+Act.Ganadera!DJ51</f>
        <v>-14556.675299999997</v>
      </c>
      <c r="AN17" s="527">
        <f>Act.Ganadera!DK25+Act.Ganadera!DK51</f>
        <v>-8247.1699999999983</v>
      </c>
      <c r="AO17" s="528">
        <f>SUM(AC17:AN17)</f>
        <v>-115555.10530000001</v>
      </c>
      <c r="BC17" s="528">
        <f>SUM(AQ17:BB17)</f>
        <v>0</v>
      </c>
    </row>
    <row r="18" spans="2:55" ht="7.5" customHeight="1">
      <c r="C18" s="527"/>
      <c r="D18" s="527"/>
      <c r="E18" s="527"/>
      <c r="F18" s="527"/>
      <c r="G18" s="527"/>
      <c r="H18" s="527"/>
      <c r="I18" s="527"/>
      <c r="J18" s="527"/>
      <c r="K18" s="527"/>
      <c r="L18" s="527"/>
      <c r="M18" s="527"/>
      <c r="N18" s="527"/>
      <c r="O18" s="528"/>
      <c r="P18" s="527"/>
      <c r="Q18" s="527"/>
      <c r="R18" s="527"/>
      <c r="S18" s="527"/>
      <c r="T18" s="527"/>
      <c r="U18" s="527"/>
      <c r="V18" s="527"/>
      <c r="W18" s="527"/>
      <c r="X18" s="527"/>
      <c r="Y18" s="527"/>
      <c r="Z18" s="527"/>
      <c r="AA18" s="527"/>
      <c r="AB18" s="528"/>
      <c r="AC18" s="527"/>
      <c r="AD18" s="527"/>
      <c r="AE18" s="527"/>
      <c r="AF18" s="527"/>
      <c r="AG18" s="527"/>
      <c r="AH18" s="527"/>
      <c r="AI18" s="527"/>
      <c r="AJ18" s="527"/>
      <c r="AK18" s="527"/>
      <c r="AL18" s="527"/>
      <c r="AM18" s="527"/>
      <c r="AN18" s="527"/>
      <c r="AO18" s="528"/>
      <c r="BC18" s="528"/>
    </row>
    <row r="19" spans="2:55" s="778" customFormat="1">
      <c r="B19" s="775" t="s">
        <v>493</v>
      </c>
      <c r="C19" s="776">
        <f t="shared" ref="C19:N19" si="47">SUM(C16:C17)</f>
        <v>-49493.49</v>
      </c>
      <c r="D19" s="776">
        <f t="shared" si="47"/>
        <v>-1504.7900000000016</v>
      </c>
      <c r="E19" s="776">
        <f t="shared" si="47"/>
        <v>-21987.724999999999</v>
      </c>
      <c r="F19" s="776">
        <f t="shared" si="47"/>
        <v>-13238.727999999999</v>
      </c>
      <c r="G19" s="776">
        <f t="shared" si="47"/>
        <v>-28962.170000000006</v>
      </c>
      <c r="H19" s="776">
        <f t="shared" si="47"/>
        <v>-32145.87</v>
      </c>
      <c r="I19" s="776">
        <f t="shared" si="47"/>
        <v>-14869.919999999998</v>
      </c>
      <c r="J19" s="776">
        <f t="shared" si="47"/>
        <v>-5564.3600000000006</v>
      </c>
      <c r="K19" s="776">
        <f t="shared" si="47"/>
        <v>-34873.11</v>
      </c>
      <c r="L19" s="776">
        <f t="shared" si="47"/>
        <v>-11139.51</v>
      </c>
      <c r="M19" s="776">
        <f t="shared" si="47"/>
        <v>-23173.920000000002</v>
      </c>
      <c r="N19" s="776">
        <f t="shared" si="47"/>
        <v>69092.159999999989</v>
      </c>
      <c r="O19" s="777"/>
      <c r="P19" s="776">
        <f t="shared" ref="P19:AA19" si="48">SUM(P16:P17)</f>
        <v>-14800.2</v>
      </c>
      <c r="Q19" s="776">
        <f t="shared" si="48"/>
        <v>-28867.53</v>
      </c>
      <c r="R19" s="776">
        <f t="shared" si="48"/>
        <v>-2522.67</v>
      </c>
      <c r="S19" s="776">
        <f t="shared" si="48"/>
        <v>15317.58</v>
      </c>
      <c r="T19" s="776">
        <f t="shared" si="48"/>
        <v>-11993.200000000003</v>
      </c>
      <c r="U19" s="776">
        <f t="shared" si="48"/>
        <v>-20302.740000000002</v>
      </c>
      <c r="V19" s="776">
        <f t="shared" si="48"/>
        <v>-20281.490000000002</v>
      </c>
      <c r="W19" s="776">
        <f t="shared" si="48"/>
        <v>2025.340000000002</v>
      </c>
      <c r="X19" s="776">
        <f t="shared" si="48"/>
        <v>-4000.77</v>
      </c>
      <c r="Y19" s="776">
        <f t="shared" si="48"/>
        <v>358.37000000000023</v>
      </c>
      <c r="Z19" s="776">
        <f t="shared" si="48"/>
        <v>-24715.5</v>
      </c>
      <c r="AA19" s="776">
        <f t="shared" si="48"/>
        <v>-10165.692499999999</v>
      </c>
      <c r="AB19" s="777"/>
      <c r="AC19" s="776">
        <f t="shared" ref="AC19:AN19" si="49">SUM(AC16:AC17)</f>
        <v>-8045.84</v>
      </c>
      <c r="AD19" s="776">
        <f t="shared" si="49"/>
        <v>-16162.13</v>
      </c>
      <c r="AE19" s="776">
        <f t="shared" si="49"/>
        <v>-2261.0500000000002</v>
      </c>
      <c r="AF19" s="776">
        <f t="shared" si="49"/>
        <v>-7505.36</v>
      </c>
      <c r="AG19" s="776">
        <f t="shared" si="49"/>
        <v>-11435.05</v>
      </c>
      <c r="AH19" s="776">
        <f t="shared" si="49"/>
        <v>-6121.96</v>
      </c>
      <c r="AI19" s="776">
        <f t="shared" si="49"/>
        <v>-22802.699999999997</v>
      </c>
      <c r="AJ19" s="776">
        <f t="shared" si="49"/>
        <v>-253.57</v>
      </c>
      <c r="AK19" s="776">
        <f t="shared" si="49"/>
        <v>-612.96999999999991</v>
      </c>
      <c r="AL19" s="776">
        <f t="shared" si="49"/>
        <v>-16813.099999999999</v>
      </c>
      <c r="AM19" s="776">
        <f t="shared" si="49"/>
        <v>-14556.675299999997</v>
      </c>
      <c r="AN19" s="776">
        <f t="shared" si="49"/>
        <v>-8247.1699999999983</v>
      </c>
      <c r="AO19" s="777"/>
      <c r="BC19" s="777"/>
    </row>
    <row r="20" spans="2:55" s="778" customFormat="1">
      <c r="B20" s="779" t="s">
        <v>494</v>
      </c>
      <c r="C20" s="780">
        <f>+C19</f>
        <v>-49493.49</v>
      </c>
      <c r="D20" s="780">
        <f t="shared" ref="D20:N20" si="50">+D19+C20</f>
        <v>-50998.28</v>
      </c>
      <c r="E20" s="780">
        <f t="shared" si="50"/>
        <v>-72986.005000000005</v>
      </c>
      <c r="F20" s="780">
        <f t="shared" si="50"/>
        <v>-86224.733000000007</v>
      </c>
      <c r="G20" s="780">
        <f t="shared" si="50"/>
        <v>-115186.90300000002</v>
      </c>
      <c r="H20" s="780">
        <f t="shared" si="50"/>
        <v>-147332.77300000002</v>
      </c>
      <c r="I20" s="780">
        <f t="shared" si="50"/>
        <v>-162202.69300000003</v>
      </c>
      <c r="J20" s="780">
        <f t="shared" si="50"/>
        <v>-167767.05300000001</v>
      </c>
      <c r="K20" s="780">
        <f t="shared" si="50"/>
        <v>-202640.163</v>
      </c>
      <c r="L20" s="780">
        <f t="shared" si="50"/>
        <v>-213779.67300000001</v>
      </c>
      <c r="M20" s="780">
        <f t="shared" si="50"/>
        <v>-236953.59300000002</v>
      </c>
      <c r="N20" s="780">
        <f t="shared" si="50"/>
        <v>-167861.43300000002</v>
      </c>
      <c r="O20" s="781">
        <f>SUM(O16:O17)</f>
        <v>-167861.43299999999</v>
      </c>
      <c r="P20" s="780">
        <f>+P19</f>
        <v>-14800.2</v>
      </c>
      <c r="Q20" s="780">
        <f t="shared" ref="Q20" si="51">+Q19+P20</f>
        <v>-43667.729999999996</v>
      </c>
      <c r="R20" s="780">
        <f t="shared" ref="R20" si="52">+R19+Q20</f>
        <v>-46190.399999999994</v>
      </c>
      <c r="S20" s="780">
        <f t="shared" ref="S20" si="53">+S19+R20</f>
        <v>-30872.819999999992</v>
      </c>
      <c r="T20" s="780">
        <f t="shared" ref="T20" si="54">+T19+S20</f>
        <v>-42866.02</v>
      </c>
      <c r="U20" s="780">
        <f t="shared" ref="U20" si="55">+U19+T20</f>
        <v>-63168.759999999995</v>
      </c>
      <c r="V20" s="780">
        <f t="shared" ref="V20" si="56">+V19+U20</f>
        <v>-83450.25</v>
      </c>
      <c r="W20" s="780">
        <f t="shared" ref="W20" si="57">+W19+V20</f>
        <v>-81424.91</v>
      </c>
      <c r="X20" s="780">
        <f t="shared" ref="X20" si="58">+X19+W20</f>
        <v>-85425.680000000008</v>
      </c>
      <c r="Y20" s="780">
        <f t="shared" ref="Y20" si="59">+Y19+X20</f>
        <v>-85067.310000000012</v>
      </c>
      <c r="Z20" s="780">
        <f t="shared" ref="Z20" si="60">+Z19+Y20</f>
        <v>-109782.81000000001</v>
      </c>
      <c r="AA20" s="780">
        <f t="shared" ref="AA20" si="61">+AA19+Z20</f>
        <v>-119948.50250000002</v>
      </c>
      <c r="AB20" s="781">
        <f>SUM(AB16:AB17)</f>
        <v>-119948.50250000003</v>
      </c>
      <c r="AC20" s="780">
        <f>+AC19</f>
        <v>-8045.84</v>
      </c>
      <c r="AD20" s="780">
        <f t="shared" ref="AD20" si="62">+AD19+AC20</f>
        <v>-24207.97</v>
      </c>
      <c r="AE20" s="780">
        <f t="shared" ref="AE20" si="63">+AE19+AD20</f>
        <v>-26469.02</v>
      </c>
      <c r="AF20" s="780">
        <f t="shared" ref="AF20" si="64">+AF19+AE20</f>
        <v>-33974.379999999997</v>
      </c>
      <c r="AG20" s="780">
        <f t="shared" ref="AG20" si="65">+AG19+AF20</f>
        <v>-45409.429999999993</v>
      </c>
      <c r="AH20" s="780">
        <f t="shared" ref="AH20" si="66">+AH19+AG20</f>
        <v>-51531.389999999992</v>
      </c>
      <c r="AI20" s="780">
        <f t="shared" ref="AI20" si="67">+AI19+AH20</f>
        <v>-74334.09</v>
      </c>
      <c r="AJ20" s="780">
        <f t="shared" ref="AJ20" si="68">+AJ19+AI20</f>
        <v>-74587.66</v>
      </c>
      <c r="AK20" s="780">
        <f t="shared" ref="AK20" si="69">+AK19+AJ20</f>
        <v>-75200.63</v>
      </c>
      <c r="AL20" s="780">
        <f t="shared" ref="AL20" si="70">+AL19+AK20</f>
        <v>-92013.73000000001</v>
      </c>
      <c r="AM20" s="780">
        <f t="shared" ref="AM20" si="71">+AM19+AL20</f>
        <v>-106570.40530000001</v>
      </c>
      <c r="AN20" s="780">
        <f t="shared" ref="AN20" si="72">+AN19+AM20</f>
        <v>-114817.57530000001</v>
      </c>
      <c r="AO20" s="781">
        <f>SUM(AO16:AO17)</f>
        <v>-114817.57530000001</v>
      </c>
      <c r="BC20" s="781">
        <f>SUM(BC16:BC17)</f>
        <v>0</v>
      </c>
    </row>
    <row r="21" spans="2:55" ht="15">
      <c r="B21" s="772" t="s">
        <v>220</v>
      </c>
      <c r="C21" s="527"/>
      <c r="D21" s="527"/>
      <c r="E21" s="527"/>
      <c r="F21" s="527"/>
      <c r="G21" s="527"/>
      <c r="H21" s="527"/>
      <c r="I21" s="527"/>
      <c r="J21" s="527"/>
      <c r="K21" s="527"/>
      <c r="L21" s="527"/>
      <c r="M21" s="527"/>
      <c r="N21" s="527"/>
      <c r="O21" s="528"/>
      <c r="P21" s="527"/>
      <c r="Q21" s="527"/>
      <c r="R21" s="527"/>
      <c r="S21" s="527"/>
      <c r="T21" s="527"/>
      <c r="U21" s="527"/>
      <c r="V21" s="527"/>
      <c r="W21" s="527"/>
      <c r="X21" s="527"/>
      <c r="Y21" s="527"/>
      <c r="Z21" s="527"/>
      <c r="AA21" s="527"/>
      <c r="AB21" s="528"/>
      <c r="AC21" s="527"/>
      <c r="AD21" s="527"/>
      <c r="AE21" s="527"/>
      <c r="AF21" s="527"/>
      <c r="AG21" s="527"/>
      <c r="AH21" s="527"/>
      <c r="AI21" s="527"/>
      <c r="AJ21" s="527"/>
      <c r="AK21" s="527"/>
      <c r="AL21" s="527"/>
      <c r="AM21" s="527"/>
      <c r="AN21" s="527"/>
      <c r="AO21" s="528"/>
      <c r="BC21" s="528"/>
    </row>
    <row r="22" spans="2:55">
      <c r="B22" s="774" t="s">
        <v>515</v>
      </c>
      <c r="C22" s="527">
        <f>Inversiones!BY11</f>
        <v>-1502.78</v>
      </c>
      <c r="D22" s="527">
        <f>Inversiones!BZ11</f>
        <v>-1502.78</v>
      </c>
      <c r="E22" s="527">
        <f>Inversiones!CA11</f>
        <v>-3353.7200000000003</v>
      </c>
      <c r="F22" s="527">
        <f>Inversiones!CB11</f>
        <v>-3953.04</v>
      </c>
      <c r="G22" s="527">
        <f>Inversiones!CC11</f>
        <v>-6706.4050000000007</v>
      </c>
      <c r="H22" s="527">
        <f>Inversiones!CD11</f>
        <v>-37062.292999999998</v>
      </c>
      <c r="I22" s="527">
        <f>Inversiones!CE11</f>
        <v>-3618.6400000000003</v>
      </c>
      <c r="J22" s="527">
        <f>Inversiones!CF11</f>
        <v>-3618.6400000000003</v>
      </c>
      <c r="K22" s="527">
        <f>Inversiones!CG11</f>
        <v>-3618.6400000000003</v>
      </c>
      <c r="L22" s="527">
        <f>Inversiones!CH11</f>
        <v>-17266.906000000003</v>
      </c>
      <c r="M22" s="527">
        <f>Inversiones!CI11</f>
        <v>-10776.387824999998</v>
      </c>
      <c r="N22" s="527">
        <f>Inversiones!CJ11</f>
        <v>-3695.1400000000003</v>
      </c>
      <c r="O22" s="528">
        <f>SUM(C22:N22)</f>
        <v>-96675.371824999995</v>
      </c>
      <c r="P22" s="527">
        <f>Inversiones!CM11</f>
        <v>-3695.1400000000003</v>
      </c>
      <c r="Q22" s="527">
        <f>Inversiones!CN11</f>
        <v>-3695.1400000000003</v>
      </c>
      <c r="R22" s="527">
        <f>Inversiones!CO11</f>
        <v>-22859.075649999999</v>
      </c>
      <c r="S22" s="527">
        <f>Inversiones!CP11</f>
        <v>-3695.1400000000003</v>
      </c>
      <c r="T22" s="527">
        <f>Inversiones!CQ11</f>
        <v>-4055.27</v>
      </c>
      <c r="U22" s="527">
        <f>Inversiones!CR11</f>
        <v>-4314.99</v>
      </c>
      <c r="V22" s="527">
        <f>Inversiones!CS11</f>
        <v>-5276.97</v>
      </c>
      <c r="W22" s="527">
        <f>Inversiones!CT11</f>
        <v>-2487.2399999999998</v>
      </c>
      <c r="X22" s="527">
        <f>Inversiones!CU11</f>
        <v>-2117.9700000000003</v>
      </c>
      <c r="Y22" s="527">
        <f>Inversiones!CV11</f>
        <v>-1570.97</v>
      </c>
      <c r="Z22" s="527">
        <f>Inversiones!CW11</f>
        <v>-1570.97</v>
      </c>
      <c r="AA22" s="527">
        <f>Inversiones!CX11</f>
        <v>-1570.97</v>
      </c>
      <c r="AB22" s="528">
        <f>SUM(P22:AA22)</f>
        <v>-56909.845649999996</v>
      </c>
      <c r="AC22" s="527">
        <f>Inversiones!CZ11</f>
        <v>-1570.97</v>
      </c>
      <c r="AD22" s="527">
        <f>Inversiones!DA11</f>
        <v>-10739.7</v>
      </c>
      <c r="AE22" s="527">
        <f>Inversiones!DB11</f>
        <v>-1570.97</v>
      </c>
      <c r="AF22" s="527">
        <f>Inversiones!DC11</f>
        <v>-7581.5700000000006</v>
      </c>
      <c r="AG22" s="527">
        <f>Inversiones!DD11</f>
        <v>-3901.1399999999994</v>
      </c>
      <c r="AH22" s="527">
        <f>Inversiones!DE11</f>
        <v>-1570.97</v>
      </c>
      <c r="AI22" s="527">
        <f>Inversiones!DF11</f>
        <v>-186491.9</v>
      </c>
      <c r="AJ22" s="527">
        <f>Inversiones!DG11</f>
        <v>-4851.7</v>
      </c>
      <c r="AK22" s="527">
        <f>Inversiones!DH11</f>
        <v>-7824.32</v>
      </c>
      <c r="AL22" s="527">
        <f>Inversiones!DI11</f>
        <v>-10212.82</v>
      </c>
      <c r="AM22" s="527">
        <f>Inversiones!DJ11</f>
        <v>-1570.97</v>
      </c>
      <c r="AN22" s="527">
        <f>Inversiones!DK11</f>
        <v>-1570.97</v>
      </c>
      <c r="AO22" s="528">
        <f>SUM(AC22:AN22)</f>
        <v>-239458.00000000003</v>
      </c>
      <c r="BC22" s="528">
        <f>SUM(AQ22:BB22)</f>
        <v>0</v>
      </c>
    </row>
    <row r="23" spans="2:55">
      <c r="B23" s="774" t="s">
        <v>516</v>
      </c>
      <c r="C23" s="527">
        <f>Inversiones!BY26</f>
        <v>-410600</v>
      </c>
      <c r="D23" s="527">
        <f>Inversiones!BZ26</f>
        <v>0</v>
      </c>
      <c r="E23" s="527">
        <f>Inversiones!CA26</f>
        <v>-5023.58</v>
      </c>
      <c r="F23" s="527">
        <f>Inversiones!CB26</f>
        <v>-120341.27</v>
      </c>
      <c r="G23" s="527">
        <f>Inversiones!CC26</f>
        <v>-7532.89</v>
      </c>
      <c r="H23" s="527">
        <f>Inversiones!CD26</f>
        <v>-15459.550000000001</v>
      </c>
      <c r="I23" s="527">
        <f>Inversiones!CE26</f>
        <v>-377.24</v>
      </c>
      <c r="J23" s="527">
        <f>Inversiones!CF26</f>
        <v>-1122.45</v>
      </c>
      <c r="K23" s="527">
        <f>Inversiones!CG26</f>
        <v>0</v>
      </c>
      <c r="L23" s="527">
        <f>Inversiones!CH26</f>
        <v>0</v>
      </c>
      <c r="M23" s="527">
        <f>Inversiones!CI26</f>
        <v>0</v>
      </c>
      <c r="N23" s="527">
        <f>Inversiones!CJ26</f>
        <v>-17049.72</v>
      </c>
      <c r="O23" s="528">
        <f>SUM(C23:N23)</f>
        <v>-577506.69999999995</v>
      </c>
      <c r="P23" s="527">
        <f>Inversiones!CM26</f>
        <v>0</v>
      </c>
      <c r="Q23" s="527">
        <f>Inversiones!CN26</f>
        <v>0</v>
      </c>
      <c r="R23" s="527">
        <f>Inversiones!CO26</f>
        <v>0</v>
      </c>
      <c r="S23" s="527">
        <f>Inversiones!CP26</f>
        <v>0</v>
      </c>
      <c r="T23" s="527">
        <f>Inversiones!CQ26</f>
        <v>0</v>
      </c>
      <c r="U23" s="527">
        <f>Inversiones!CR26</f>
        <v>-1270.0999999999999</v>
      </c>
      <c r="V23" s="527">
        <f>Inversiones!CS26</f>
        <v>0</v>
      </c>
      <c r="W23" s="527">
        <f>Inversiones!CT26</f>
        <v>-15129.24</v>
      </c>
      <c r="X23" s="527">
        <f>Inversiones!CU26</f>
        <v>-1533.31</v>
      </c>
      <c r="Y23" s="527">
        <f>Inversiones!CV26</f>
        <v>-3293</v>
      </c>
      <c r="Z23" s="527">
        <f>Inversiones!CW26</f>
        <v>-12940.03</v>
      </c>
      <c r="AA23" s="527">
        <f>Inversiones!CX26</f>
        <v>0</v>
      </c>
      <c r="AB23" s="528">
        <f>SUM(P23:AA23)</f>
        <v>-34165.68</v>
      </c>
      <c r="AC23" s="527">
        <f>Inversiones!CZ26</f>
        <v>0</v>
      </c>
      <c r="AD23" s="527">
        <f>Inversiones!DA26</f>
        <v>-10587.5</v>
      </c>
      <c r="AE23" s="527">
        <f>Inversiones!DB26</f>
        <v>0</v>
      </c>
      <c r="AF23" s="527">
        <f>Inversiones!DC26</f>
        <v>0</v>
      </c>
      <c r="AG23" s="527">
        <f>Inversiones!DD26</f>
        <v>0</v>
      </c>
      <c r="AH23" s="527">
        <f>Inversiones!DE26</f>
        <v>-2013.92</v>
      </c>
      <c r="AI23" s="527">
        <f>Inversiones!DF26</f>
        <v>-47795.3</v>
      </c>
      <c r="AJ23" s="527">
        <f>Inversiones!DG26</f>
        <v>-1716.87</v>
      </c>
      <c r="AK23" s="527">
        <f>Inversiones!DH26</f>
        <v>0</v>
      </c>
      <c r="AL23" s="527">
        <f>Inversiones!DI26</f>
        <v>-2555.9299999999998</v>
      </c>
      <c r="AM23" s="527">
        <f>Inversiones!DJ26</f>
        <v>-2352.5300000000002</v>
      </c>
      <c r="AN23" s="527">
        <f>Inversiones!DK26</f>
        <v>0</v>
      </c>
      <c r="AO23" s="528">
        <f>SUM(AC23:AN23)</f>
        <v>-67022.05</v>
      </c>
      <c r="BC23" s="528">
        <f>SUM(AQ23:BB23)</f>
        <v>0</v>
      </c>
    </row>
    <row r="24" spans="2:55" ht="7.5" customHeight="1">
      <c r="C24" s="527"/>
      <c r="D24" s="527"/>
      <c r="E24" s="527"/>
      <c r="F24" s="527"/>
      <c r="G24" s="527"/>
      <c r="H24" s="527"/>
      <c r="I24" s="527"/>
      <c r="J24" s="527"/>
      <c r="K24" s="527"/>
      <c r="L24" s="527"/>
      <c r="M24" s="527"/>
      <c r="N24" s="527"/>
      <c r="O24" s="528"/>
      <c r="P24" s="527"/>
      <c r="Q24" s="527"/>
      <c r="R24" s="527"/>
      <c r="S24" s="527"/>
      <c r="T24" s="527"/>
      <c r="U24" s="527"/>
      <c r="V24" s="527"/>
      <c r="W24" s="527"/>
      <c r="X24" s="527"/>
      <c r="Y24" s="527"/>
      <c r="Z24" s="527"/>
      <c r="AA24" s="527"/>
      <c r="AB24" s="528"/>
      <c r="AC24" s="527"/>
      <c r="AD24" s="527"/>
      <c r="AE24" s="527"/>
      <c r="AF24" s="527"/>
      <c r="AG24" s="527"/>
      <c r="AH24" s="527"/>
      <c r="AI24" s="527"/>
      <c r="AJ24" s="527"/>
      <c r="AK24" s="527"/>
      <c r="AL24" s="527"/>
      <c r="AM24" s="527"/>
      <c r="AN24" s="527"/>
      <c r="AO24" s="528"/>
      <c r="BC24" s="528"/>
    </row>
    <row r="25" spans="2:55" s="778" customFormat="1">
      <c r="B25" s="775" t="s">
        <v>496</v>
      </c>
      <c r="C25" s="776">
        <f t="shared" ref="C25:N25" si="73">SUM(C22:C23)</f>
        <v>-412102.78</v>
      </c>
      <c r="D25" s="776">
        <f t="shared" si="73"/>
        <v>-1502.78</v>
      </c>
      <c r="E25" s="776">
        <f t="shared" si="73"/>
        <v>-8377.2999999999993</v>
      </c>
      <c r="F25" s="776">
        <f t="shared" si="73"/>
        <v>-124294.31</v>
      </c>
      <c r="G25" s="776">
        <f t="shared" si="73"/>
        <v>-14239.295000000002</v>
      </c>
      <c r="H25" s="776">
        <f t="shared" si="73"/>
        <v>-52521.843000000001</v>
      </c>
      <c r="I25" s="776">
        <f t="shared" si="73"/>
        <v>-3995.88</v>
      </c>
      <c r="J25" s="776">
        <f t="shared" si="73"/>
        <v>-4741.09</v>
      </c>
      <c r="K25" s="776">
        <f t="shared" si="73"/>
        <v>-3618.6400000000003</v>
      </c>
      <c r="L25" s="776">
        <f t="shared" si="73"/>
        <v>-17266.906000000003</v>
      </c>
      <c r="M25" s="776">
        <f t="shared" si="73"/>
        <v>-10776.387824999998</v>
      </c>
      <c r="N25" s="776">
        <f t="shared" si="73"/>
        <v>-20744.86</v>
      </c>
      <c r="O25" s="777"/>
      <c r="P25" s="776">
        <f t="shared" ref="P25:AA25" si="74">SUM(P22:P23)</f>
        <v>-3695.1400000000003</v>
      </c>
      <c r="Q25" s="776">
        <f t="shared" si="74"/>
        <v>-3695.1400000000003</v>
      </c>
      <c r="R25" s="776">
        <f t="shared" si="74"/>
        <v>-22859.075649999999</v>
      </c>
      <c r="S25" s="776">
        <f t="shared" si="74"/>
        <v>-3695.1400000000003</v>
      </c>
      <c r="T25" s="776">
        <f t="shared" si="74"/>
        <v>-4055.27</v>
      </c>
      <c r="U25" s="776">
        <f t="shared" si="74"/>
        <v>-5585.09</v>
      </c>
      <c r="V25" s="776">
        <f t="shared" si="74"/>
        <v>-5276.97</v>
      </c>
      <c r="W25" s="776">
        <f t="shared" si="74"/>
        <v>-17616.48</v>
      </c>
      <c r="X25" s="776">
        <f t="shared" si="74"/>
        <v>-3651.28</v>
      </c>
      <c r="Y25" s="776">
        <f t="shared" si="74"/>
        <v>-4863.97</v>
      </c>
      <c r="Z25" s="776">
        <f t="shared" si="74"/>
        <v>-14511</v>
      </c>
      <c r="AA25" s="776">
        <f t="shared" si="74"/>
        <v>-1570.97</v>
      </c>
      <c r="AB25" s="777"/>
      <c r="AC25" s="776">
        <f t="shared" ref="AC25:AN25" si="75">SUM(AC22:AC23)</f>
        <v>-1570.97</v>
      </c>
      <c r="AD25" s="776">
        <f t="shared" si="75"/>
        <v>-21327.200000000001</v>
      </c>
      <c r="AE25" s="776">
        <f t="shared" si="75"/>
        <v>-1570.97</v>
      </c>
      <c r="AF25" s="776">
        <f t="shared" si="75"/>
        <v>-7581.5700000000006</v>
      </c>
      <c r="AG25" s="776">
        <f t="shared" si="75"/>
        <v>-3901.1399999999994</v>
      </c>
      <c r="AH25" s="776">
        <f t="shared" si="75"/>
        <v>-3584.8900000000003</v>
      </c>
      <c r="AI25" s="776">
        <f t="shared" si="75"/>
        <v>-234287.2</v>
      </c>
      <c r="AJ25" s="776">
        <f t="shared" si="75"/>
        <v>-6568.57</v>
      </c>
      <c r="AK25" s="776">
        <f t="shared" si="75"/>
        <v>-7824.32</v>
      </c>
      <c r="AL25" s="776">
        <f t="shared" si="75"/>
        <v>-12768.75</v>
      </c>
      <c r="AM25" s="776">
        <f t="shared" si="75"/>
        <v>-3923.5</v>
      </c>
      <c r="AN25" s="776">
        <f t="shared" si="75"/>
        <v>-1570.97</v>
      </c>
      <c r="AO25" s="777"/>
      <c r="BC25" s="777"/>
    </row>
    <row r="26" spans="2:55" s="778" customFormat="1">
      <c r="B26" s="779" t="s">
        <v>497</v>
      </c>
      <c r="C26" s="780">
        <f>+C25</f>
        <v>-412102.78</v>
      </c>
      <c r="D26" s="780">
        <f t="shared" ref="D26:N26" si="76">+D25+C26</f>
        <v>-413605.56000000006</v>
      </c>
      <c r="E26" s="780">
        <f t="shared" si="76"/>
        <v>-421982.86000000004</v>
      </c>
      <c r="F26" s="780">
        <f t="shared" si="76"/>
        <v>-546277.17000000004</v>
      </c>
      <c r="G26" s="780">
        <f t="shared" si="76"/>
        <v>-560516.46500000008</v>
      </c>
      <c r="H26" s="780">
        <f t="shared" si="76"/>
        <v>-613038.30800000008</v>
      </c>
      <c r="I26" s="780">
        <f t="shared" si="76"/>
        <v>-617034.18800000008</v>
      </c>
      <c r="J26" s="780">
        <f t="shared" si="76"/>
        <v>-621775.27800000005</v>
      </c>
      <c r="K26" s="780">
        <f t="shared" si="76"/>
        <v>-625393.91800000006</v>
      </c>
      <c r="L26" s="780">
        <f t="shared" si="76"/>
        <v>-642660.82400000002</v>
      </c>
      <c r="M26" s="780">
        <f t="shared" si="76"/>
        <v>-653437.21182500001</v>
      </c>
      <c r="N26" s="780">
        <f t="shared" si="76"/>
        <v>-674182.07182499999</v>
      </c>
      <c r="O26" s="781">
        <f>SUM(O22:O23)</f>
        <v>-674182.07182499999</v>
      </c>
      <c r="P26" s="780">
        <f>+P25</f>
        <v>-3695.1400000000003</v>
      </c>
      <c r="Q26" s="780">
        <f t="shared" ref="Q26" si="77">+Q25+P26</f>
        <v>-7390.2800000000007</v>
      </c>
      <c r="R26" s="780">
        <f t="shared" ref="R26" si="78">+R25+Q26</f>
        <v>-30249.355649999998</v>
      </c>
      <c r="S26" s="780">
        <f t="shared" ref="S26" si="79">+S25+R26</f>
        <v>-33944.495649999997</v>
      </c>
      <c r="T26" s="780">
        <f t="shared" ref="T26" si="80">+T25+S26</f>
        <v>-37999.765649999994</v>
      </c>
      <c r="U26" s="780">
        <f t="shared" ref="U26" si="81">+U25+T26</f>
        <v>-43584.855649999998</v>
      </c>
      <c r="V26" s="780">
        <f t="shared" ref="V26" si="82">+V25+U26</f>
        <v>-48861.825649999999</v>
      </c>
      <c r="W26" s="780">
        <f t="shared" ref="W26" si="83">+W25+V26</f>
        <v>-66478.305649999995</v>
      </c>
      <c r="X26" s="780">
        <f t="shared" ref="X26" si="84">+X25+W26</f>
        <v>-70129.585649999994</v>
      </c>
      <c r="Y26" s="780">
        <f t="shared" ref="Y26" si="85">+Y25+X26</f>
        <v>-74993.555649999995</v>
      </c>
      <c r="Z26" s="780">
        <f t="shared" ref="Z26" si="86">+Z25+Y26</f>
        <v>-89504.555649999995</v>
      </c>
      <c r="AA26" s="780">
        <f t="shared" ref="AA26" si="87">+AA25+Z26</f>
        <v>-91075.525649999996</v>
      </c>
      <c r="AB26" s="781">
        <f>SUM(AB22:AB23)</f>
        <v>-91075.525649999996</v>
      </c>
      <c r="AC26" s="780">
        <f>+AC25</f>
        <v>-1570.97</v>
      </c>
      <c r="AD26" s="780">
        <f t="shared" ref="AD26" si="88">+AD25+AC26</f>
        <v>-22898.170000000002</v>
      </c>
      <c r="AE26" s="780">
        <f t="shared" ref="AE26" si="89">+AE25+AD26</f>
        <v>-24469.140000000003</v>
      </c>
      <c r="AF26" s="780">
        <f t="shared" ref="AF26" si="90">+AF25+AE26</f>
        <v>-32050.710000000003</v>
      </c>
      <c r="AG26" s="780">
        <f t="shared" ref="AG26" si="91">+AG25+AF26</f>
        <v>-35951.850000000006</v>
      </c>
      <c r="AH26" s="780">
        <f t="shared" ref="AH26" si="92">+AH25+AG26</f>
        <v>-39536.740000000005</v>
      </c>
      <c r="AI26" s="780">
        <f t="shared" ref="AI26" si="93">+AI25+AH26</f>
        <v>-273823.94</v>
      </c>
      <c r="AJ26" s="780">
        <f t="shared" ref="AJ26" si="94">+AJ25+AI26</f>
        <v>-280392.51</v>
      </c>
      <c r="AK26" s="780">
        <f t="shared" ref="AK26" si="95">+AK25+AJ26</f>
        <v>-288216.83</v>
      </c>
      <c r="AL26" s="780">
        <f t="shared" ref="AL26" si="96">+AL25+AK26</f>
        <v>-300985.58</v>
      </c>
      <c r="AM26" s="780">
        <f t="shared" ref="AM26" si="97">+AM25+AL26</f>
        <v>-304909.08</v>
      </c>
      <c r="AN26" s="780">
        <f t="shared" ref="AN26" si="98">+AN25+AM26</f>
        <v>-306480.05</v>
      </c>
      <c r="AO26" s="781">
        <f>SUM(AO22:AO23)</f>
        <v>-306480.05000000005</v>
      </c>
      <c r="BC26" s="781">
        <f>SUM(BC22:BC23)</f>
        <v>0</v>
      </c>
    </row>
    <row r="27" spans="2:55" ht="15">
      <c r="B27" s="772" t="s">
        <v>498</v>
      </c>
      <c r="C27" s="527">
        <f>Financiación!BY4</f>
        <v>460898.55620000005</v>
      </c>
      <c r="D27" s="527">
        <f>Financiación!BZ4</f>
        <v>50929.193025</v>
      </c>
      <c r="E27" s="527">
        <f>Financiación!CA4</f>
        <v>-17795.135150499998</v>
      </c>
      <c r="F27" s="527">
        <f>Financiación!CB4</f>
        <v>222195.88295</v>
      </c>
      <c r="G27" s="527">
        <f>Financiación!CC4</f>
        <v>-11040.9239375</v>
      </c>
      <c r="H27" s="527">
        <f>Financiación!CD4</f>
        <v>-18191.501240499998</v>
      </c>
      <c r="I27" s="527">
        <f>Financiación!CE4</f>
        <v>-164120.39065454999</v>
      </c>
      <c r="J27" s="527">
        <f>Financiación!CF4</f>
        <v>-12077.979470000004</v>
      </c>
      <c r="K27" s="527">
        <f>Financiación!CG4</f>
        <v>-18303.202032000001</v>
      </c>
      <c r="L27" s="527">
        <f>Financiación!CH4</f>
        <v>-9599.1498971799992</v>
      </c>
      <c r="M27" s="527">
        <f>Financiación!CI4</f>
        <v>-20193.202818500002</v>
      </c>
      <c r="N27" s="527">
        <f>Financiación!CJ4</f>
        <v>-11624.207254500001</v>
      </c>
      <c r="O27" s="528">
        <f>SUM(C27:N27)</f>
        <v>451077.93971977005</v>
      </c>
      <c r="P27" s="527">
        <f>Financiación!CL4</f>
        <v>-71050.393369500001</v>
      </c>
      <c r="Q27" s="527">
        <f>Financiación!CM4</f>
        <v>-22041.051909499998</v>
      </c>
      <c r="R27" s="527">
        <f>Financiación!CN4</f>
        <v>97064.491630500008</v>
      </c>
      <c r="S27" s="527">
        <f>Financiación!CO4</f>
        <v>-39053.978369499993</v>
      </c>
      <c r="T27" s="527">
        <f>Financiación!CP4</f>
        <v>-33754.017149499996</v>
      </c>
      <c r="U27" s="527">
        <f>Financiación!CQ4</f>
        <v>-21354.518369499998</v>
      </c>
      <c r="V27" s="527">
        <f>Financiación!CR4</f>
        <v>-31093.191487259999</v>
      </c>
      <c r="W27" s="527">
        <f>Financiación!CS4</f>
        <v>-65717.708369499989</v>
      </c>
      <c r="X27" s="527">
        <f>Financiación!CT4</f>
        <v>145245.21326250001</v>
      </c>
      <c r="Y27" s="527">
        <f>Financiación!CU4</f>
        <v>-21334.930001500001</v>
      </c>
      <c r="Z27" s="527">
        <f>Financiación!CV4</f>
        <v>108518.49163050001</v>
      </c>
      <c r="AA27" s="527">
        <f>Financiación!CW4</f>
        <v>-156950.80673750001</v>
      </c>
      <c r="AB27" s="528">
        <f>SUM(P27:AA27)</f>
        <v>-111522.39923975998</v>
      </c>
      <c r="AC27" s="527">
        <f>Financiación!CY4</f>
        <v>-74876.790001500005</v>
      </c>
      <c r="AD27" s="527">
        <f>Financiación!CZ4</f>
        <v>107540.3116305</v>
      </c>
      <c r="AE27" s="527">
        <f>Financiación!DA4</f>
        <v>-37738.0067375</v>
      </c>
      <c r="AF27" s="527">
        <f>Financiación!DB4</f>
        <v>-32034.400001500002</v>
      </c>
      <c r="AG27" s="527">
        <f>Financiación!DC4</f>
        <v>-49419.316737499998</v>
      </c>
      <c r="AH27" s="527">
        <f>Financiación!DD4</f>
        <v>-15576.788369499998</v>
      </c>
      <c r="AI27" s="527">
        <f>Financiación!DE4</f>
        <v>215285.95999850001</v>
      </c>
      <c r="AJ27" s="527">
        <f>Financiación!DF4</f>
        <v>-196876.10170283334</v>
      </c>
      <c r="AK27" s="527">
        <f>Financiación!DG4</f>
        <v>-67657.130070833329</v>
      </c>
      <c r="AL27" s="527">
        <f>Financiación!DH4</f>
        <v>-59024.173334833336</v>
      </c>
      <c r="AM27" s="527">
        <f>Financiación!DI4</f>
        <v>-11609.218369499999</v>
      </c>
      <c r="AN27" s="527">
        <f>Financiación!DJ4</f>
        <v>-26288.998369499997</v>
      </c>
      <c r="AO27" s="528">
        <f>SUM(AC27:AN27)</f>
        <v>-248274.65206599998</v>
      </c>
      <c r="BC27" s="528">
        <f>SUM(AQ27:BB27)</f>
        <v>0</v>
      </c>
    </row>
    <row r="28" spans="2:55" ht="7.9" customHeight="1">
      <c r="C28" s="527"/>
      <c r="D28" s="527"/>
      <c r="E28" s="527"/>
      <c r="F28" s="527"/>
      <c r="G28" s="527"/>
      <c r="H28" s="527"/>
      <c r="I28" s="527"/>
      <c r="J28" s="527"/>
      <c r="K28" s="527"/>
      <c r="L28" s="527"/>
      <c r="M28" s="527"/>
      <c r="N28" s="527"/>
      <c r="O28" s="528"/>
      <c r="P28" s="527"/>
      <c r="Q28" s="527"/>
      <c r="R28" s="527"/>
      <c r="S28" s="527"/>
      <c r="T28" s="527"/>
      <c r="U28" s="527"/>
      <c r="V28" s="527"/>
      <c r="W28" s="527"/>
      <c r="X28" s="527"/>
      <c r="Y28" s="527"/>
      <c r="Z28" s="527"/>
      <c r="AA28" s="527"/>
      <c r="AB28" s="528"/>
      <c r="AC28" s="527"/>
      <c r="AD28" s="527"/>
      <c r="AE28" s="527"/>
      <c r="AF28" s="527"/>
      <c r="AG28" s="527"/>
      <c r="AH28" s="527"/>
      <c r="AI28" s="527"/>
      <c r="AJ28" s="527"/>
      <c r="AK28" s="527"/>
      <c r="AL28" s="527"/>
      <c r="AM28" s="527"/>
      <c r="AN28" s="527"/>
      <c r="AO28" s="528"/>
      <c r="BC28" s="528"/>
    </row>
    <row r="29" spans="2:55" s="778" customFormat="1">
      <c r="B29" s="775" t="s">
        <v>499</v>
      </c>
      <c r="C29" s="776">
        <f>+C27</f>
        <v>460898.55620000005</v>
      </c>
      <c r="D29" s="776">
        <f t="shared" ref="D29:N29" si="99">+D27</f>
        <v>50929.193025</v>
      </c>
      <c r="E29" s="776">
        <f t="shared" si="99"/>
        <v>-17795.135150499998</v>
      </c>
      <c r="F29" s="776">
        <f t="shared" si="99"/>
        <v>222195.88295</v>
      </c>
      <c r="G29" s="776">
        <f t="shared" si="99"/>
        <v>-11040.9239375</v>
      </c>
      <c r="H29" s="776">
        <f t="shared" si="99"/>
        <v>-18191.501240499998</v>
      </c>
      <c r="I29" s="776">
        <f t="shared" si="99"/>
        <v>-164120.39065454999</v>
      </c>
      <c r="J29" s="776">
        <f t="shared" si="99"/>
        <v>-12077.979470000004</v>
      </c>
      <c r="K29" s="776">
        <f t="shared" si="99"/>
        <v>-18303.202032000001</v>
      </c>
      <c r="L29" s="776">
        <f t="shared" si="99"/>
        <v>-9599.1498971799992</v>
      </c>
      <c r="M29" s="776">
        <f t="shared" si="99"/>
        <v>-20193.202818500002</v>
      </c>
      <c r="N29" s="776">
        <f t="shared" si="99"/>
        <v>-11624.207254500001</v>
      </c>
      <c r="O29" s="777"/>
      <c r="P29" s="776">
        <f t="shared" ref="P29:AA29" si="100">SUM(P27:P27)</f>
        <v>-71050.393369500001</v>
      </c>
      <c r="Q29" s="776">
        <f t="shared" si="100"/>
        <v>-22041.051909499998</v>
      </c>
      <c r="R29" s="776">
        <f t="shared" si="100"/>
        <v>97064.491630500008</v>
      </c>
      <c r="S29" s="776">
        <f t="shared" si="100"/>
        <v>-39053.978369499993</v>
      </c>
      <c r="T29" s="776">
        <f t="shared" si="100"/>
        <v>-33754.017149499996</v>
      </c>
      <c r="U29" s="776">
        <f t="shared" si="100"/>
        <v>-21354.518369499998</v>
      </c>
      <c r="V29" s="776">
        <f t="shared" si="100"/>
        <v>-31093.191487259999</v>
      </c>
      <c r="W29" s="776">
        <f t="shared" si="100"/>
        <v>-65717.708369499989</v>
      </c>
      <c r="X29" s="776">
        <f t="shared" si="100"/>
        <v>145245.21326250001</v>
      </c>
      <c r="Y29" s="776">
        <f t="shared" si="100"/>
        <v>-21334.930001500001</v>
      </c>
      <c r="Z29" s="776">
        <f t="shared" si="100"/>
        <v>108518.49163050001</v>
      </c>
      <c r="AA29" s="776">
        <f t="shared" si="100"/>
        <v>-156950.80673750001</v>
      </c>
      <c r="AB29" s="777"/>
      <c r="AC29" s="776">
        <f t="shared" ref="AC29:AN29" si="101">SUM(AC27:AC27)</f>
        <v>-74876.790001500005</v>
      </c>
      <c r="AD29" s="776">
        <f t="shared" si="101"/>
        <v>107540.3116305</v>
      </c>
      <c r="AE29" s="776">
        <f t="shared" si="101"/>
        <v>-37738.0067375</v>
      </c>
      <c r="AF29" s="776">
        <f t="shared" si="101"/>
        <v>-32034.400001500002</v>
      </c>
      <c r="AG29" s="776">
        <f t="shared" si="101"/>
        <v>-49419.316737499998</v>
      </c>
      <c r="AH29" s="776">
        <f t="shared" si="101"/>
        <v>-15576.788369499998</v>
      </c>
      <c r="AI29" s="776">
        <f t="shared" si="101"/>
        <v>215285.95999850001</v>
      </c>
      <c r="AJ29" s="776">
        <f t="shared" si="101"/>
        <v>-196876.10170283334</v>
      </c>
      <c r="AK29" s="776">
        <f t="shared" si="101"/>
        <v>-67657.130070833329</v>
      </c>
      <c r="AL29" s="776">
        <f t="shared" si="101"/>
        <v>-59024.173334833336</v>
      </c>
      <c r="AM29" s="776">
        <f t="shared" si="101"/>
        <v>-11609.218369499999</v>
      </c>
      <c r="AN29" s="776">
        <f t="shared" si="101"/>
        <v>-26288.998369499997</v>
      </c>
      <c r="AO29" s="777"/>
      <c r="BC29" s="777"/>
    </row>
    <row r="30" spans="2:55" s="778" customFormat="1">
      <c r="B30" s="779" t="s">
        <v>500</v>
      </c>
      <c r="C30" s="780">
        <f>+C29</f>
        <v>460898.55620000005</v>
      </c>
      <c r="D30" s="780">
        <f>+D29+C30</f>
        <v>511827.74922500004</v>
      </c>
      <c r="E30" s="780">
        <f t="shared" ref="E30:N30" si="102">+E29+D30</f>
        <v>494032.61407450004</v>
      </c>
      <c r="F30" s="780">
        <f t="shared" si="102"/>
        <v>716228.49702450004</v>
      </c>
      <c r="G30" s="780">
        <f t="shared" si="102"/>
        <v>705187.57308700006</v>
      </c>
      <c r="H30" s="780">
        <f t="shared" si="102"/>
        <v>686996.07184650004</v>
      </c>
      <c r="I30" s="780">
        <f t="shared" si="102"/>
        <v>522875.68119195005</v>
      </c>
      <c r="J30" s="780">
        <f t="shared" si="102"/>
        <v>510797.70172195003</v>
      </c>
      <c r="K30" s="780">
        <f t="shared" si="102"/>
        <v>492494.49968995003</v>
      </c>
      <c r="L30" s="780">
        <f t="shared" si="102"/>
        <v>482895.34979277005</v>
      </c>
      <c r="M30" s="780">
        <f t="shared" si="102"/>
        <v>462702.14697427006</v>
      </c>
      <c r="N30" s="780">
        <f t="shared" si="102"/>
        <v>451077.93971977005</v>
      </c>
      <c r="O30" s="781">
        <f>SUM(O27:O28)</f>
        <v>451077.93971977005</v>
      </c>
      <c r="P30" s="780">
        <f>+P29</f>
        <v>-71050.393369500001</v>
      </c>
      <c r="Q30" s="780">
        <f t="shared" ref="Q30" si="103">+Q29+P30</f>
        <v>-93091.445279000007</v>
      </c>
      <c r="R30" s="780">
        <f t="shared" ref="R30" si="104">+R29+Q30</f>
        <v>3973.046351500001</v>
      </c>
      <c r="S30" s="780">
        <f t="shared" ref="S30" si="105">+S29+R30</f>
        <v>-35080.932017999992</v>
      </c>
      <c r="T30" s="780">
        <f t="shared" ref="T30" si="106">+T29+S30</f>
        <v>-68834.949167499988</v>
      </c>
      <c r="U30" s="780">
        <f t="shared" ref="U30" si="107">+U29+T30</f>
        <v>-90189.46753699999</v>
      </c>
      <c r="V30" s="780">
        <f>+V29+U30</f>
        <v>-121282.65902425999</v>
      </c>
      <c r="W30" s="780">
        <f t="shared" ref="W30" si="108">+W29+V30</f>
        <v>-187000.36739375998</v>
      </c>
      <c r="X30" s="780">
        <f t="shared" ref="X30" si="109">+X29+W30</f>
        <v>-41755.154131259973</v>
      </c>
      <c r="Y30" s="780">
        <f t="shared" ref="Y30" si="110">+Y29+X30</f>
        <v>-63090.084132759977</v>
      </c>
      <c r="Z30" s="780">
        <f t="shared" ref="Z30" si="111">+Z29+Y30</f>
        <v>45428.407497740031</v>
      </c>
      <c r="AA30" s="780">
        <f t="shared" ref="AA30" si="112">+AA29+Z30</f>
        <v>-111522.39923975998</v>
      </c>
      <c r="AB30" s="781">
        <f>SUM(AB27:AB28)</f>
        <v>-111522.39923975998</v>
      </c>
      <c r="AC30" s="780">
        <f>+AC29</f>
        <v>-74876.790001500005</v>
      </c>
      <c r="AD30" s="780">
        <f t="shared" ref="AD30" si="113">+AD29+AC30</f>
        <v>32663.521628999995</v>
      </c>
      <c r="AE30" s="780">
        <f t="shared" ref="AE30" si="114">+AE29+AD30</f>
        <v>-5074.4851085000046</v>
      </c>
      <c r="AF30" s="780">
        <f t="shared" ref="AF30" si="115">+AF29+AE30</f>
        <v>-37108.885110000003</v>
      </c>
      <c r="AG30" s="780">
        <f t="shared" ref="AG30" si="116">+AG29+AF30</f>
        <v>-86528.201847499993</v>
      </c>
      <c r="AH30" s="780">
        <f t="shared" ref="AH30" si="117">+AH29+AG30</f>
        <v>-102104.99021699998</v>
      </c>
      <c r="AI30" s="780">
        <f>+AI29+AH30</f>
        <v>113180.96978150003</v>
      </c>
      <c r="AJ30" s="780">
        <f t="shared" ref="AJ30" si="118">+AJ29+AI30</f>
        <v>-83695.131921333319</v>
      </c>
      <c r="AK30" s="780">
        <f t="shared" ref="AK30" si="119">+AK29+AJ30</f>
        <v>-151352.26199216663</v>
      </c>
      <c r="AL30" s="780">
        <f t="shared" ref="AL30" si="120">+AL29+AK30</f>
        <v>-210376.43532699998</v>
      </c>
      <c r="AM30" s="780">
        <f t="shared" ref="AM30" si="121">+AM29+AL30</f>
        <v>-221985.6536965</v>
      </c>
      <c r="AN30" s="780">
        <f t="shared" ref="AN30" si="122">+AN29+AM30</f>
        <v>-248274.65206599998</v>
      </c>
      <c r="AO30" s="781">
        <f>SUM(AO27:AO28)</f>
        <v>-248274.65206599998</v>
      </c>
      <c r="BC30" s="781">
        <f>SUM(BC27:BC28)</f>
        <v>0</v>
      </c>
    </row>
    <row r="31" spans="2:55" ht="7.5" customHeight="1">
      <c r="C31" s="527"/>
      <c r="D31" s="527"/>
      <c r="E31" s="527"/>
      <c r="F31" s="527"/>
      <c r="G31" s="527"/>
      <c r="H31" s="527"/>
      <c r="I31" s="527"/>
      <c r="J31" s="527"/>
      <c r="K31" s="527"/>
      <c r="L31" s="527"/>
      <c r="M31" s="527"/>
      <c r="N31" s="527"/>
      <c r="O31" s="528"/>
      <c r="P31" s="527"/>
      <c r="Q31" s="527"/>
      <c r="R31" s="527"/>
      <c r="S31" s="527"/>
      <c r="T31" s="527"/>
      <c r="U31" s="527"/>
      <c r="V31" s="527"/>
      <c r="W31" s="527"/>
      <c r="X31" s="527"/>
      <c r="Y31" s="527"/>
      <c r="Z31" s="527"/>
      <c r="AA31" s="527"/>
      <c r="AB31" s="528"/>
      <c r="AC31" s="527"/>
      <c r="AD31" s="527"/>
      <c r="AE31" s="527"/>
      <c r="AF31" s="527"/>
      <c r="AG31" s="527"/>
      <c r="AH31" s="527"/>
      <c r="AI31" s="527"/>
      <c r="AJ31" s="527"/>
      <c r="AK31" s="527"/>
      <c r="AL31" s="527"/>
      <c r="AM31" s="527"/>
      <c r="AN31" s="527"/>
      <c r="AO31" s="528"/>
      <c r="BC31" s="528"/>
    </row>
    <row r="32" spans="2:55" ht="15">
      <c r="B32" s="772" t="s">
        <v>517</v>
      </c>
      <c r="C32" s="782">
        <f>+C7+C19+C25+C29</f>
        <v>8291.4287118467619</v>
      </c>
      <c r="D32" s="782">
        <f t="shared" ref="D32:M32" si="123">+D7+D19+D25+D29</f>
        <v>96825.013895539974</v>
      </c>
      <c r="E32" s="782">
        <f t="shared" si="123"/>
        <v>-27645.382684048611</v>
      </c>
      <c r="F32" s="782">
        <f t="shared" si="123"/>
        <v>101576.54495000001</v>
      </c>
      <c r="G32" s="782">
        <f t="shared" si="123"/>
        <v>-5323.1838430370699</v>
      </c>
      <c r="H32" s="782">
        <f t="shared" si="123"/>
        <v>-68248.671459935838</v>
      </c>
      <c r="I32" s="782">
        <f>+I7+I19+I25+I29</f>
        <v>-199105.56890691601</v>
      </c>
      <c r="J32" s="782">
        <f t="shared" si="123"/>
        <v>-28327.689037237331</v>
      </c>
      <c r="K32" s="782">
        <f t="shared" si="123"/>
        <v>30730.270932305939</v>
      </c>
      <c r="L32" s="782">
        <f t="shared" si="123"/>
        <v>32070.973046950367</v>
      </c>
      <c r="M32" s="782">
        <f t="shared" si="123"/>
        <v>-12113.204101258594</v>
      </c>
      <c r="N32" s="782">
        <f>+N7+N19+N25+N29</f>
        <v>162399.5106580453</v>
      </c>
      <c r="O32" s="783">
        <f>SUM(O8,O20,O26,O30)</f>
        <v>91130.042162254977</v>
      </c>
      <c r="P32" s="782">
        <f>+P7+P19+P25+P29+P13</f>
        <v>-46730.412416513907</v>
      </c>
      <c r="Q32" s="782">
        <f>+Q7+Q19+Q25+Q29+Q13</f>
        <v>-37074.43339396103</v>
      </c>
      <c r="R32" s="782">
        <f t="shared" ref="R32:AA32" si="124">+R7+R19+R25+R29+R13</f>
        <v>120288.8541808973</v>
      </c>
      <c r="S32" s="782">
        <f>+S7+S19+S25+S29+S13</f>
        <v>-18336.437677945585</v>
      </c>
      <c r="T32" s="782">
        <f>+T7+T19+T25+T29+T13</f>
        <v>83937.683624219528</v>
      </c>
      <c r="U32" s="782">
        <f t="shared" si="124"/>
        <v>90519.569242621452</v>
      </c>
      <c r="V32" s="782">
        <f t="shared" si="124"/>
        <v>-38904.680201775336</v>
      </c>
      <c r="W32" s="782">
        <f t="shared" si="124"/>
        <v>-93616.200732282741</v>
      </c>
      <c r="X32" s="782">
        <f t="shared" si="124"/>
        <v>157576.00360753381</v>
      </c>
      <c r="Y32" s="782">
        <f t="shared" si="124"/>
        <v>-96301.983044368797</v>
      </c>
      <c r="Z32" s="782">
        <f t="shared" si="124"/>
        <v>153250.16208584479</v>
      </c>
      <c r="AA32" s="782">
        <f t="shared" si="124"/>
        <v>1024924.9685128211</v>
      </c>
      <c r="AB32" s="783">
        <f>SUM(AB8,AB20,AB26,AB30,AB14)</f>
        <v>1299533.0937870904</v>
      </c>
      <c r="AC32" s="782">
        <f>+AC7+AC19+AC25+AC29+AC13</f>
        <v>-1235089.9428824459</v>
      </c>
      <c r="AD32" s="782">
        <f>+AD7+AD19+AD25+AD29+AD13</f>
        <v>-53289.6674411313</v>
      </c>
      <c r="AE32" s="782">
        <f t="shared" ref="AE32:AN32" si="125">+AE7+AE19+AE25+AE29+AE13</f>
        <v>960968.6866886043</v>
      </c>
      <c r="AF32" s="782">
        <f t="shared" si="125"/>
        <v>-675435.92637469142</v>
      </c>
      <c r="AG32" s="782">
        <f t="shared" si="125"/>
        <v>-217210.64351996483</v>
      </c>
      <c r="AH32" s="782">
        <f t="shared" si="125"/>
        <v>116828.49511804373</v>
      </c>
      <c r="AI32" s="782">
        <f t="shared" si="125"/>
        <v>-92531.910957518048</v>
      </c>
      <c r="AJ32" s="782">
        <f t="shared" si="125"/>
        <v>-142885.26249516095</v>
      </c>
      <c r="AK32" s="782">
        <f t="shared" si="125"/>
        <v>100120.9890162626</v>
      </c>
      <c r="AL32" s="782">
        <f t="shared" si="125"/>
        <v>108842.51059125358</v>
      </c>
      <c r="AM32" s="782">
        <f t="shared" si="125"/>
        <v>149064.62589571741</v>
      </c>
      <c r="AN32" s="782">
        <f t="shared" si="125"/>
        <v>14517.34510876087</v>
      </c>
      <c r="AO32" s="783">
        <f>SUM(AO8,AO20,AO26,AO30,AO14)</f>
        <v>-966100.70125226979</v>
      </c>
      <c r="AP32" s="527">
        <f>AO32-AO14+AP14</f>
        <v>244875.29874773021</v>
      </c>
      <c r="AQ32" s="527"/>
      <c r="BC32" s="783">
        <f>SUM(BC8,BC20,BC26,BC30,BC14)</f>
        <v>0</v>
      </c>
    </row>
    <row r="33" spans="2:55">
      <c r="B33" s="758" t="s">
        <v>243</v>
      </c>
      <c r="C33" s="633"/>
      <c r="D33" s="633"/>
      <c r="E33" s="633"/>
      <c r="F33" s="633"/>
      <c r="G33" s="633"/>
      <c r="H33" s="633"/>
      <c r="I33" s="633"/>
      <c r="J33" s="633"/>
      <c r="K33" s="633"/>
      <c r="L33" s="633"/>
      <c r="M33" s="633"/>
      <c r="N33" s="633"/>
      <c r="O33" s="784">
        <f>SUM(C32:N32)-O32</f>
        <v>0</v>
      </c>
      <c r="P33" s="633"/>
      <c r="Q33" s="633"/>
      <c r="R33" s="633"/>
      <c r="S33" s="633"/>
      <c r="T33" s="633"/>
      <c r="U33" s="633"/>
      <c r="V33" s="633"/>
      <c r="W33" s="633"/>
      <c r="X33" s="633"/>
      <c r="Y33" s="633"/>
      <c r="Z33" s="633"/>
      <c r="AA33" s="633"/>
      <c r="AB33" s="784">
        <f>SUM(P32:AA32)-AB32</f>
        <v>0</v>
      </c>
      <c r="AC33" s="633"/>
      <c r="AD33" s="633"/>
      <c r="AE33" s="633"/>
      <c r="AF33" s="633"/>
      <c r="AG33" s="633"/>
      <c r="AH33" s="633"/>
      <c r="AI33" s="633"/>
      <c r="AJ33" s="633"/>
      <c r="AK33" s="633"/>
      <c r="AL33" s="633"/>
      <c r="AM33" s="633"/>
      <c r="AN33" s="633"/>
      <c r="AO33" s="784">
        <f>SUM(AC32:AN32)-AO32</f>
        <v>0</v>
      </c>
      <c r="BC33" s="784">
        <f>SUM(AQ32:BB32)-BC32</f>
        <v>0</v>
      </c>
    </row>
    <row r="34" spans="2:55">
      <c r="B34" s="785" t="s">
        <v>501</v>
      </c>
      <c r="C34" s="786"/>
      <c r="D34" s="786"/>
      <c r="E34" s="786"/>
      <c r="F34" s="786"/>
      <c r="G34" s="786"/>
      <c r="H34" s="786"/>
      <c r="I34" s="786">
        <f>63000*0</f>
        <v>0</v>
      </c>
      <c r="J34" s="786"/>
      <c r="K34" s="786"/>
      <c r="L34" s="786"/>
      <c r="M34" s="786"/>
      <c r="N34" s="786"/>
      <c r="O34" s="528"/>
      <c r="P34" s="786"/>
      <c r="Q34" s="786"/>
      <c r="R34" s="786"/>
      <c r="S34" s="786"/>
      <c r="T34" s="786"/>
      <c r="U34" s="786"/>
      <c r="V34" s="786"/>
      <c r="W34" s="786"/>
      <c r="X34" s="786"/>
      <c r="Y34" s="786"/>
      <c r="Z34" s="786"/>
      <c r="AA34" s="786"/>
      <c r="AB34" s="528"/>
      <c r="AC34" s="786"/>
      <c r="AD34" s="786"/>
      <c r="AE34" s="786"/>
      <c r="AF34" s="786"/>
      <c r="AG34" s="786"/>
      <c r="AH34" s="786"/>
      <c r="AI34" s="786"/>
      <c r="AJ34" s="786"/>
      <c r="AK34" s="786"/>
      <c r="AL34" s="786"/>
      <c r="AM34" s="786"/>
      <c r="AN34" s="786"/>
      <c r="AO34" s="528"/>
      <c r="BC34" s="528"/>
    </row>
    <row r="35" spans="2:55">
      <c r="B35" s="774" t="s">
        <v>502</v>
      </c>
      <c r="C35" s="525"/>
      <c r="D35" s="525"/>
      <c r="E35" s="525"/>
      <c r="F35" s="525"/>
      <c r="G35" s="525"/>
      <c r="H35" s="525"/>
      <c r="I35" s="525">
        <v>0</v>
      </c>
      <c r="J35" s="525"/>
      <c r="K35" s="525"/>
      <c r="L35" s="525"/>
      <c r="M35" s="525"/>
      <c r="N35" s="525"/>
      <c r="O35" s="528"/>
      <c r="P35" s="525"/>
      <c r="Q35" s="525"/>
      <c r="R35" s="525"/>
      <c r="S35" s="525"/>
      <c r="T35" s="525"/>
      <c r="U35" s="525"/>
      <c r="V35" s="525"/>
      <c r="W35" s="525"/>
      <c r="X35" s="525"/>
      <c r="Y35" s="525"/>
      <c r="Z35" s="525"/>
      <c r="AA35" s="525"/>
      <c r="AB35" s="528"/>
      <c r="AC35" s="525"/>
      <c r="AD35" s="525"/>
      <c r="AE35" s="525"/>
      <c r="AF35" s="525"/>
      <c r="AG35" s="525"/>
      <c r="AH35" s="525"/>
      <c r="AI35" s="525"/>
      <c r="AJ35" s="525"/>
      <c r="AK35" s="525"/>
      <c r="AL35" s="525"/>
      <c r="AM35" s="525"/>
      <c r="AN35" s="525"/>
      <c r="AO35" s="528"/>
      <c r="BC35" s="528"/>
    </row>
    <row r="36" spans="2:55">
      <c r="B36" s="787" t="s">
        <v>503</v>
      </c>
      <c r="C36" s="788"/>
      <c r="D36" s="788"/>
      <c r="E36" s="788"/>
      <c r="F36" s="788"/>
      <c r="G36" s="788"/>
      <c r="H36" s="788"/>
      <c r="I36" s="788">
        <f>95000*0</f>
        <v>0</v>
      </c>
      <c r="J36" s="788"/>
      <c r="K36" s="788"/>
      <c r="L36" s="788"/>
      <c r="M36" s="788"/>
      <c r="N36" s="788"/>
      <c r="O36" s="528"/>
      <c r="P36" s="788"/>
      <c r="Q36" s="788"/>
      <c r="R36" s="788"/>
      <c r="S36" s="788"/>
      <c r="T36" s="788"/>
      <c r="U36" s="788"/>
      <c r="V36" s="788"/>
      <c r="W36" s="788"/>
      <c r="X36" s="788"/>
      <c r="Y36" s="788"/>
      <c r="Z36" s="788"/>
      <c r="AA36" s="788"/>
      <c r="AB36" s="528"/>
      <c r="AC36" s="788"/>
      <c r="AD36" s="788"/>
      <c r="AE36" s="788"/>
      <c r="AF36" s="788"/>
      <c r="AG36" s="788"/>
      <c r="AH36" s="788"/>
      <c r="AI36" s="788"/>
      <c r="AJ36" s="788"/>
      <c r="AK36" s="788"/>
      <c r="AL36" s="788"/>
      <c r="AM36" s="788"/>
      <c r="AN36" s="788"/>
      <c r="AO36" s="528"/>
      <c r="BC36" s="528"/>
    </row>
    <row r="37" spans="2:55" ht="15">
      <c r="B37" s="789" t="s">
        <v>504</v>
      </c>
      <c r="C37" s="604">
        <f>SUM(C34:C36)</f>
        <v>0</v>
      </c>
      <c r="D37" s="604">
        <f t="shared" ref="D37:N37" si="126">SUM(D34:D36)</f>
        <v>0</v>
      </c>
      <c r="E37" s="604">
        <f t="shared" si="126"/>
        <v>0</v>
      </c>
      <c r="F37" s="604">
        <f t="shared" si="126"/>
        <v>0</v>
      </c>
      <c r="G37" s="604">
        <f t="shared" si="126"/>
        <v>0</v>
      </c>
      <c r="H37" s="604">
        <f t="shared" si="126"/>
        <v>0</v>
      </c>
      <c r="I37" s="604">
        <f t="shared" si="126"/>
        <v>0</v>
      </c>
      <c r="J37" s="604">
        <f t="shared" si="126"/>
        <v>0</v>
      </c>
      <c r="K37" s="604">
        <f t="shared" si="126"/>
        <v>0</v>
      </c>
      <c r="L37" s="604">
        <f t="shared" si="126"/>
        <v>0</v>
      </c>
      <c r="M37" s="604">
        <f t="shared" si="126"/>
        <v>0</v>
      </c>
      <c r="N37" s="604">
        <f t="shared" si="126"/>
        <v>0</v>
      </c>
      <c r="O37" s="528"/>
      <c r="P37" s="604">
        <f>SUM(P34:P36)</f>
        <v>0</v>
      </c>
      <c r="Q37" s="604">
        <f t="shared" ref="Q37:AA37" si="127">SUM(Q34:Q36)</f>
        <v>0</v>
      </c>
      <c r="R37" s="604">
        <f t="shared" si="127"/>
        <v>0</v>
      </c>
      <c r="S37" s="604">
        <f t="shared" si="127"/>
        <v>0</v>
      </c>
      <c r="T37" s="604">
        <f>SUM(T34:T36)</f>
        <v>0</v>
      </c>
      <c r="U37" s="604">
        <f t="shared" si="127"/>
        <v>0</v>
      </c>
      <c r="V37" s="604">
        <f t="shared" si="127"/>
        <v>0</v>
      </c>
      <c r="W37" s="604">
        <f t="shared" si="127"/>
        <v>0</v>
      </c>
      <c r="X37" s="604">
        <f t="shared" si="127"/>
        <v>0</v>
      </c>
      <c r="Y37" s="604">
        <f t="shared" si="127"/>
        <v>0</v>
      </c>
      <c r="Z37" s="604">
        <f t="shared" si="127"/>
        <v>0</v>
      </c>
      <c r="AA37" s="604">
        <f t="shared" si="127"/>
        <v>0</v>
      </c>
      <c r="AB37" s="528"/>
      <c r="AC37" s="604">
        <f>SUM(AC34:AC36)</f>
        <v>0</v>
      </c>
      <c r="AD37" s="604">
        <f t="shared" ref="AD37:AN37" si="128">SUM(AD34:AD36)</f>
        <v>0</v>
      </c>
      <c r="AE37" s="604">
        <f t="shared" si="128"/>
        <v>0</v>
      </c>
      <c r="AF37" s="604">
        <f t="shared" si="128"/>
        <v>0</v>
      </c>
      <c r="AG37" s="604">
        <f t="shared" si="128"/>
        <v>0</v>
      </c>
      <c r="AH37" s="604">
        <f t="shared" si="128"/>
        <v>0</v>
      </c>
      <c r="AI37" s="604">
        <f t="shared" si="128"/>
        <v>0</v>
      </c>
      <c r="AJ37" s="604">
        <f t="shared" si="128"/>
        <v>0</v>
      </c>
      <c r="AK37" s="604">
        <f t="shared" si="128"/>
        <v>0</v>
      </c>
      <c r="AL37" s="604">
        <f t="shared" si="128"/>
        <v>0</v>
      </c>
      <c r="AM37" s="604">
        <f t="shared" si="128"/>
        <v>0</v>
      </c>
      <c r="AN37" s="604">
        <f t="shared" si="128"/>
        <v>0</v>
      </c>
      <c r="AO37" s="528"/>
      <c r="BC37" s="528"/>
    </row>
    <row r="38" spans="2:55" ht="7.5" customHeight="1">
      <c r="C38" s="527"/>
      <c r="D38" s="527"/>
      <c r="E38" s="527"/>
      <c r="F38" s="527"/>
      <c r="G38" s="527"/>
      <c r="H38" s="527"/>
      <c r="I38" s="527"/>
      <c r="J38" s="527"/>
      <c r="K38" s="527"/>
      <c r="L38" s="527"/>
      <c r="M38" s="527"/>
      <c r="N38" s="527"/>
      <c r="O38" s="528"/>
      <c r="P38" s="527"/>
      <c r="Q38" s="527"/>
      <c r="R38" s="527"/>
      <c r="S38" s="527"/>
      <c r="T38" s="527"/>
      <c r="U38" s="527"/>
      <c r="V38" s="527"/>
      <c r="W38" s="527"/>
      <c r="X38" s="527"/>
      <c r="Y38" s="527"/>
      <c r="Z38" s="527"/>
      <c r="AA38" s="527"/>
      <c r="AB38" s="528"/>
      <c r="AC38" s="527"/>
      <c r="AD38" s="527"/>
      <c r="AE38" s="527"/>
      <c r="AF38" s="527"/>
      <c r="AG38" s="527"/>
      <c r="AH38" s="527"/>
      <c r="AI38" s="527"/>
      <c r="AJ38" s="527"/>
      <c r="AK38" s="527"/>
      <c r="AL38" s="527"/>
      <c r="AM38" s="527"/>
      <c r="AN38" s="527"/>
      <c r="AO38" s="528"/>
      <c r="BC38" s="528"/>
    </row>
    <row r="39" spans="2:55" ht="15">
      <c r="B39" s="772" t="s">
        <v>505</v>
      </c>
      <c r="C39" s="782">
        <f>+C7+C19+C25+C29+C37</f>
        <v>8291.4287118467619</v>
      </c>
      <c r="D39" s="782">
        <f t="shared" ref="D39:N39" si="129">+D7+D19+D25+D29+D37</f>
        <v>96825.013895539974</v>
      </c>
      <c r="E39" s="782">
        <f t="shared" si="129"/>
        <v>-27645.382684048611</v>
      </c>
      <c r="F39" s="782">
        <f t="shared" si="129"/>
        <v>101576.54495000001</v>
      </c>
      <c r="G39" s="782">
        <f t="shared" si="129"/>
        <v>-5323.1838430370699</v>
      </c>
      <c r="H39" s="782">
        <f t="shared" si="129"/>
        <v>-68248.671459935838</v>
      </c>
      <c r="I39" s="782">
        <f>+I7+I19+I25+I29+I37</f>
        <v>-199105.56890691601</v>
      </c>
      <c r="J39" s="782">
        <f t="shared" si="129"/>
        <v>-28327.689037237331</v>
      </c>
      <c r="K39" s="782">
        <f t="shared" si="129"/>
        <v>30730.270932305939</v>
      </c>
      <c r="L39" s="782">
        <f t="shared" si="129"/>
        <v>32070.973046950367</v>
      </c>
      <c r="M39" s="782">
        <f t="shared" si="129"/>
        <v>-12113.204101258594</v>
      </c>
      <c r="N39" s="782">
        <f t="shared" si="129"/>
        <v>162399.5106580453</v>
      </c>
      <c r="O39" s="528"/>
      <c r="P39" s="782">
        <f>+P7+P19+P25+P29+P37</f>
        <v>-46730.412416513907</v>
      </c>
      <c r="Q39" s="782">
        <f t="shared" ref="Q39:S39" si="130">+Q7+Q19+Q25+Q29+Q37</f>
        <v>-37074.43339396103</v>
      </c>
      <c r="R39" s="782">
        <f t="shared" si="130"/>
        <v>120288.8541808973</v>
      </c>
      <c r="S39" s="782">
        <f t="shared" si="130"/>
        <v>-18336.437677945585</v>
      </c>
      <c r="T39" s="782">
        <f>+T7+T19+T13+T25+T29+T37</f>
        <v>83937.683624219528</v>
      </c>
      <c r="U39" s="782">
        <f>+U7+U19+U13+U25+U29+U37</f>
        <v>90519.569242621452</v>
      </c>
      <c r="V39" s="782">
        <f t="shared" ref="V39:AN39" si="131">+V7+V19+V13+V25+V29+V37</f>
        <v>-38904.680201775329</v>
      </c>
      <c r="W39" s="782">
        <f t="shared" si="131"/>
        <v>-93616.200732282741</v>
      </c>
      <c r="X39" s="782">
        <f t="shared" si="131"/>
        <v>157576.00360753381</v>
      </c>
      <c r="Y39" s="782">
        <f t="shared" si="131"/>
        <v>-96301.983044368797</v>
      </c>
      <c r="Z39" s="782">
        <f t="shared" si="131"/>
        <v>153250.16208584479</v>
      </c>
      <c r="AA39" s="782">
        <f t="shared" si="131"/>
        <v>1024924.9685128212</v>
      </c>
      <c r="AB39" s="528"/>
      <c r="AC39" s="782">
        <f>+AC7+AC19+AC13+AC25+AC29+AC37</f>
        <v>-1235089.9428824456</v>
      </c>
      <c r="AD39" s="782">
        <f>+AD7+AD19+AD13+AD25+AD29+AD37</f>
        <v>-53289.6674411313</v>
      </c>
      <c r="AE39" s="782">
        <f t="shared" si="131"/>
        <v>960968.68668860442</v>
      </c>
      <c r="AF39" s="782">
        <f t="shared" si="131"/>
        <v>-675435.92637469142</v>
      </c>
      <c r="AG39" s="782">
        <f t="shared" si="131"/>
        <v>-217210.6435199648</v>
      </c>
      <c r="AH39" s="782">
        <f t="shared" si="131"/>
        <v>116828.49511804373</v>
      </c>
      <c r="AI39" s="782">
        <f t="shared" si="131"/>
        <v>-92531.910957518034</v>
      </c>
      <c r="AJ39" s="782">
        <f t="shared" si="131"/>
        <v>-142885.26249516095</v>
      </c>
      <c r="AK39" s="782">
        <f t="shared" si="131"/>
        <v>100120.98901626263</v>
      </c>
      <c r="AL39" s="782">
        <f t="shared" si="131"/>
        <v>108842.51059125357</v>
      </c>
      <c r="AM39" s="782">
        <f t="shared" si="131"/>
        <v>149064.62589571741</v>
      </c>
      <c r="AN39" s="782">
        <f t="shared" si="131"/>
        <v>14517.34510876087</v>
      </c>
      <c r="AO39" s="528"/>
      <c r="BC39" s="528"/>
    </row>
    <row r="40" spans="2:55" ht="15">
      <c r="B40" s="789" t="s">
        <v>506</v>
      </c>
      <c r="C40" s="604">
        <f>+C39</f>
        <v>8291.4287118467619</v>
      </c>
      <c r="D40" s="604">
        <f>+D39+C40</f>
        <v>105116.44260738674</v>
      </c>
      <c r="E40" s="604">
        <f t="shared" ref="E40:N40" si="132">+E39+D40</f>
        <v>77471.059923338122</v>
      </c>
      <c r="F40" s="604">
        <f t="shared" si="132"/>
        <v>179047.60487333813</v>
      </c>
      <c r="G40" s="604">
        <f t="shared" si="132"/>
        <v>173724.42103030108</v>
      </c>
      <c r="H40" s="604">
        <f>+H39+G40</f>
        <v>105475.74957036524</v>
      </c>
      <c r="I40" s="604">
        <f t="shared" si="132"/>
        <v>-93629.819336550776</v>
      </c>
      <c r="J40" s="604">
        <f t="shared" si="132"/>
        <v>-121957.50837378811</v>
      </c>
      <c r="K40" s="604">
        <f t="shared" si="132"/>
        <v>-91227.237441482168</v>
      </c>
      <c r="L40" s="604">
        <f t="shared" si="132"/>
        <v>-59156.264394531798</v>
      </c>
      <c r="M40" s="604">
        <f t="shared" si="132"/>
        <v>-71269.468495790396</v>
      </c>
      <c r="N40" s="604">
        <f t="shared" si="132"/>
        <v>91130.042162254904</v>
      </c>
      <c r="O40" s="790"/>
      <c r="P40" s="604">
        <f>+P39</f>
        <v>-46730.412416513907</v>
      </c>
      <c r="Q40" s="604">
        <f t="shared" ref="Q40" si="133">+Q39+P40</f>
        <v>-83804.845810474944</v>
      </c>
      <c r="R40" s="604">
        <f t="shared" ref="R40" si="134">+R39+Q40</f>
        <v>36484.008370422351</v>
      </c>
      <c r="S40" s="604">
        <f t="shared" ref="S40" si="135">+S39+R40</f>
        <v>18147.570692476766</v>
      </c>
      <c r="T40" s="604">
        <f>+T39+S40</f>
        <v>102085.25431669629</v>
      </c>
      <c r="U40" s="604">
        <f t="shared" ref="U40" si="136">+U39+T40</f>
        <v>192604.82355931774</v>
      </c>
      <c r="V40" s="604">
        <f t="shared" ref="V40" si="137">+V39+U40</f>
        <v>153700.1433575424</v>
      </c>
      <c r="W40" s="604">
        <f t="shared" ref="W40" si="138">+W39+V40</f>
        <v>60083.94262525966</v>
      </c>
      <c r="X40" s="604">
        <f t="shared" ref="X40" si="139">+X39+W40</f>
        <v>217659.94623279347</v>
      </c>
      <c r="Y40" s="604">
        <f t="shared" ref="Y40" si="140">+Y39+X40</f>
        <v>121357.96318842468</v>
      </c>
      <c r="Z40" s="604">
        <f>+Z39+Y40</f>
        <v>274608.12527426949</v>
      </c>
      <c r="AA40" s="604">
        <f>+AA39+Z40</f>
        <v>1299533.0937870909</v>
      </c>
      <c r="AB40" s="790"/>
      <c r="AC40" s="604">
        <f>+AC39</f>
        <v>-1235089.9428824456</v>
      </c>
      <c r="AD40" s="604">
        <f>+AD39+AC40</f>
        <v>-1288379.610323577</v>
      </c>
      <c r="AE40" s="604">
        <f t="shared" ref="AE40" si="141">+AE39+AD40</f>
        <v>-327410.92363497254</v>
      </c>
      <c r="AF40" s="604">
        <f t="shared" ref="AF40" si="142">+AF39+AE40</f>
        <v>-1002846.850009664</v>
      </c>
      <c r="AG40" s="604">
        <f t="shared" ref="AG40" si="143">+AG39+AF40</f>
        <v>-1220057.4935296287</v>
      </c>
      <c r="AH40" s="604">
        <f t="shared" ref="AH40" si="144">+AH39+AG40</f>
        <v>-1103228.9984115851</v>
      </c>
      <c r="AI40" s="604">
        <f t="shared" ref="AI40" si="145">+AI39+AH40</f>
        <v>-1195760.9093691031</v>
      </c>
      <c r="AJ40" s="604">
        <f t="shared" ref="AJ40" si="146">+AJ39+AI40</f>
        <v>-1338646.1718642642</v>
      </c>
      <c r="AK40" s="604">
        <f t="shared" ref="AK40" si="147">+AK39+AJ40</f>
        <v>-1238525.1828480016</v>
      </c>
      <c r="AL40" s="604">
        <f t="shared" ref="AL40" si="148">+AL39+AK40</f>
        <v>-1129682.672256748</v>
      </c>
      <c r="AM40" s="604">
        <f t="shared" ref="AM40" si="149">+AM39+AL40</f>
        <v>-980618.04636103055</v>
      </c>
      <c r="AN40" s="604">
        <f t="shared" ref="AN40" si="150">+AN39+AM40</f>
        <v>-966100.70125226968</v>
      </c>
      <c r="AO40" s="790"/>
      <c r="BC40" s="790"/>
    </row>
    <row r="41" spans="2:55" ht="8.25" customHeight="1">
      <c r="C41" s="527"/>
      <c r="D41" s="527"/>
      <c r="E41" s="527"/>
      <c r="F41" s="527"/>
      <c r="G41" s="527"/>
      <c r="H41" s="527"/>
      <c r="I41" s="527"/>
      <c r="J41" s="527"/>
      <c r="K41" s="527"/>
      <c r="L41" s="527"/>
      <c r="M41" s="527"/>
      <c r="N41" s="527"/>
      <c r="O41" s="528"/>
      <c r="P41" s="527"/>
      <c r="Q41" s="527"/>
      <c r="R41" s="527"/>
      <c r="S41" s="527"/>
      <c r="T41" s="527"/>
      <c r="U41" s="527"/>
      <c r="V41" s="527"/>
      <c r="W41" s="527"/>
      <c r="X41" s="527"/>
      <c r="Y41" s="527"/>
      <c r="Z41" s="527"/>
      <c r="AA41" s="527"/>
      <c r="AB41" s="528"/>
      <c r="AC41" s="527"/>
      <c r="AD41" s="527"/>
      <c r="AE41" s="527"/>
      <c r="AF41" s="527"/>
      <c r="AG41" s="527"/>
      <c r="AH41" s="527"/>
      <c r="AI41" s="527"/>
      <c r="AJ41" s="527"/>
      <c r="AK41" s="527"/>
      <c r="AL41" s="527"/>
      <c r="AM41" s="527"/>
      <c r="AN41" s="527"/>
      <c r="AO41" s="528"/>
      <c r="BC41" s="528"/>
    </row>
    <row r="42" spans="2:55">
      <c r="B42" s="774" t="s">
        <v>388</v>
      </c>
      <c r="C42" s="527">
        <f>Tesoreria!$BW$315</f>
        <v>65108.199999999983</v>
      </c>
      <c r="D42" s="527"/>
      <c r="E42" s="527"/>
      <c r="F42" s="527"/>
      <c r="G42" s="527"/>
      <c r="H42" s="527">
        <f>Tesoreria!$CC$302</f>
        <v>240150.5625419968</v>
      </c>
      <c r="I42" s="527">
        <f>+H44</f>
        <v>171901.89108206096</v>
      </c>
      <c r="J42" s="527">
        <f t="shared" ref="J42:N42" si="151">+I44</f>
        <v>-27203.677824855054</v>
      </c>
      <c r="K42" s="527">
        <f t="shared" si="151"/>
        <v>-55531.366862092385</v>
      </c>
      <c r="L42" s="527">
        <f t="shared" si="151"/>
        <v>-24801.095929786447</v>
      </c>
      <c r="M42" s="527">
        <f t="shared" si="151"/>
        <v>7269.87711716392</v>
      </c>
      <c r="N42" s="527">
        <f t="shared" si="151"/>
        <v>-4843.3269840946741</v>
      </c>
      <c r="O42" s="528"/>
      <c r="P42" s="527">
        <f>+N44</f>
        <v>157556.18367395061</v>
      </c>
      <c r="Q42" s="527">
        <f>+P44</f>
        <v>110825.7712574367</v>
      </c>
      <c r="R42" s="527">
        <f t="shared" ref="R42:AA42" si="152">+Q44</f>
        <v>73751.337863475666</v>
      </c>
      <c r="S42" s="527">
        <f t="shared" si="152"/>
        <v>194040.19204437296</v>
      </c>
      <c r="T42" s="527">
        <f t="shared" si="152"/>
        <v>175703.75436642737</v>
      </c>
      <c r="U42" s="527">
        <f t="shared" si="152"/>
        <v>259641.4379906469</v>
      </c>
      <c r="V42" s="527">
        <f t="shared" si="152"/>
        <v>350161.00723326835</v>
      </c>
      <c r="W42" s="527">
        <f t="shared" si="152"/>
        <v>311256.32703149301</v>
      </c>
      <c r="X42" s="527">
        <f t="shared" si="152"/>
        <v>217640.12629921027</v>
      </c>
      <c r="Y42" s="527">
        <f t="shared" si="152"/>
        <v>375216.12990674411</v>
      </c>
      <c r="Z42" s="527">
        <f t="shared" si="152"/>
        <v>278914.14686237532</v>
      </c>
      <c r="AA42" s="527">
        <f t="shared" si="152"/>
        <v>432164.3089482201</v>
      </c>
      <c r="AB42" s="528"/>
      <c r="AC42" s="527">
        <f>+AA44</f>
        <v>1457089.2774610412</v>
      </c>
      <c r="AD42" s="527">
        <f>+AC44</f>
        <v>221999.33457859559</v>
      </c>
      <c r="AE42" s="527">
        <f t="shared" ref="AE42" si="153">+AD44</f>
        <v>168709.66713746428</v>
      </c>
      <c r="AF42" s="527">
        <f t="shared" ref="AF42" si="154">+AE44</f>
        <v>1129678.3538260688</v>
      </c>
      <c r="AG42" s="527">
        <f t="shared" ref="AG42" si="155">+AF44</f>
        <v>454242.42745137739</v>
      </c>
      <c r="AH42" s="527">
        <f t="shared" ref="AH42" si="156">+AG44</f>
        <v>237031.78393141259</v>
      </c>
      <c r="AI42" s="527">
        <f t="shared" ref="AI42" si="157">+AH44</f>
        <v>353860.27904945635</v>
      </c>
      <c r="AJ42" s="527">
        <f t="shared" ref="AJ42" si="158">+AI44</f>
        <v>261328.36809193832</v>
      </c>
      <c r="AK42" s="527">
        <f t="shared" ref="AK42" si="159">+AJ44</f>
        <v>118443.10559677737</v>
      </c>
      <c r="AL42" s="527">
        <f t="shared" ref="AL42" si="160">+AK44</f>
        <v>218564.09461303998</v>
      </c>
      <c r="AM42" s="527">
        <f t="shared" ref="AM42" si="161">+AL44</f>
        <v>327406.60520429356</v>
      </c>
      <c r="AN42" s="527">
        <f t="shared" ref="AN42" si="162">+AM44</f>
        <v>476471.23110001098</v>
      </c>
      <c r="AO42" s="528"/>
      <c r="BC42" s="528"/>
    </row>
    <row r="43" spans="2:55">
      <c r="B43" s="774" t="s">
        <v>507</v>
      </c>
      <c r="C43" s="527">
        <f>+C39</f>
        <v>8291.4287118467619</v>
      </c>
      <c r="D43" s="527"/>
      <c r="E43" s="527"/>
      <c r="F43" s="527"/>
      <c r="G43" s="527"/>
      <c r="H43" s="527">
        <f>+H39</f>
        <v>-68248.671459935838</v>
      </c>
      <c r="I43" s="527">
        <f>+I39</f>
        <v>-199105.56890691601</v>
      </c>
      <c r="J43" s="527">
        <f t="shared" ref="J43:N43" si="163">+J39</f>
        <v>-28327.689037237331</v>
      </c>
      <c r="K43" s="527">
        <f t="shared" si="163"/>
        <v>30730.270932305939</v>
      </c>
      <c r="L43" s="527">
        <f t="shared" si="163"/>
        <v>32070.973046950367</v>
      </c>
      <c r="M43" s="527">
        <f t="shared" si="163"/>
        <v>-12113.204101258594</v>
      </c>
      <c r="N43" s="527">
        <f t="shared" si="163"/>
        <v>162399.5106580453</v>
      </c>
      <c r="O43" s="528"/>
      <c r="P43" s="527">
        <f>+P39</f>
        <v>-46730.412416513907</v>
      </c>
      <c r="Q43" s="527">
        <f>+Q39</f>
        <v>-37074.43339396103</v>
      </c>
      <c r="R43" s="527">
        <f t="shared" ref="R43:AA43" si="164">+R39</f>
        <v>120288.8541808973</v>
      </c>
      <c r="S43" s="527">
        <f t="shared" si="164"/>
        <v>-18336.437677945585</v>
      </c>
      <c r="T43" s="527">
        <f t="shared" si="164"/>
        <v>83937.683624219528</v>
      </c>
      <c r="U43" s="527">
        <f t="shared" si="164"/>
        <v>90519.569242621452</v>
      </c>
      <c r="V43" s="527">
        <f t="shared" si="164"/>
        <v>-38904.680201775329</v>
      </c>
      <c r="W43" s="527">
        <f t="shared" si="164"/>
        <v>-93616.200732282741</v>
      </c>
      <c r="X43" s="527">
        <f t="shared" si="164"/>
        <v>157576.00360753381</v>
      </c>
      <c r="Y43" s="527">
        <f t="shared" si="164"/>
        <v>-96301.983044368797</v>
      </c>
      <c r="Z43" s="527">
        <f t="shared" si="164"/>
        <v>153250.16208584479</v>
      </c>
      <c r="AA43" s="527">
        <f t="shared" si="164"/>
        <v>1024924.9685128212</v>
      </c>
      <c r="AB43" s="528"/>
      <c r="AC43" s="527">
        <f>+AC39</f>
        <v>-1235089.9428824456</v>
      </c>
      <c r="AD43" s="527">
        <f>+AD39</f>
        <v>-53289.6674411313</v>
      </c>
      <c r="AE43" s="527">
        <f t="shared" ref="AE43:AN43" si="165">+AE39</f>
        <v>960968.68668860442</v>
      </c>
      <c r="AF43" s="527">
        <f t="shared" si="165"/>
        <v>-675435.92637469142</v>
      </c>
      <c r="AG43" s="527">
        <f t="shared" si="165"/>
        <v>-217210.6435199648</v>
      </c>
      <c r="AH43" s="527">
        <f t="shared" si="165"/>
        <v>116828.49511804373</v>
      </c>
      <c r="AI43" s="527">
        <f t="shared" si="165"/>
        <v>-92531.910957518034</v>
      </c>
      <c r="AJ43" s="527">
        <f t="shared" si="165"/>
        <v>-142885.26249516095</v>
      </c>
      <c r="AK43" s="527">
        <f t="shared" si="165"/>
        <v>100120.98901626263</v>
      </c>
      <c r="AL43" s="527">
        <f t="shared" si="165"/>
        <v>108842.51059125357</v>
      </c>
      <c r="AM43" s="527">
        <f t="shared" si="165"/>
        <v>149064.62589571741</v>
      </c>
      <c r="AN43" s="527">
        <f t="shared" si="165"/>
        <v>14517.34510876087</v>
      </c>
      <c r="AO43" s="528"/>
      <c r="BC43" s="528"/>
    </row>
    <row r="44" spans="2:55" ht="15">
      <c r="B44" s="789" t="s">
        <v>508</v>
      </c>
      <c r="C44" s="604">
        <f>SUM(C42:C43)</f>
        <v>73399.628711846744</v>
      </c>
      <c r="D44" s="604"/>
      <c r="E44" s="604"/>
      <c r="F44" s="604"/>
      <c r="G44" s="604"/>
      <c r="H44" s="604">
        <f>SUM(H42:H43)</f>
        <v>171901.89108206096</v>
      </c>
      <c r="I44" s="604">
        <f>SUM(I42:I43)</f>
        <v>-27203.677824855054</v>
      </c>
      <c r="J44" s="604">
        <f t="shared" ref="J44:N44" si="166">SUM(J42:J43)</f>
        <v>-55531.366862092385</v>
      </c>
      <c r="K44" s="604">
        <f t="shared" si="166"/>
        <v>-24801.095929786447</v>
      </c>
      <c r="L44" s="604">
        <f t="shared" si="166"/>
        <v>7269.87711716392</v>
      </c>
      <c r="M44" s="604">
        <f t="shared" si="166"/>
        <v>-4843.3269840946741</v>
      </c>
      <c r="N44" s="604">
        <f t="shared" si="166"/>
        <v>157556.18367395061</v>
      </c>
      <c r="O44" s="790"/>
      <c r="P44" s="604">
        <f>SUM(P42:P43)</f>
        <v>110825.7712574367</v>
      </c>
      <c r="Q44" s="813">
        <f>SUM(Q42:Q43)</f>
        <v>73751.337863475666</v>
      </c>
      <c r="R44" s="604">
        <f t="shared" ref="R44:AA44" si="167">SUM(R42:R43)</f>
        <v>194040.19204437296</v>
      </c>
      <c r="S44" s="604">
        <f>SUM(S42:S43)</f>
        <v>175703.75436642737</v>
      </c>
      <c r="T44" s="604">
        <f>SUM(T42:T43)</f>
        <v>259641.4379906469</v>
      </c>
      <c r="U44" s="604">
        <f t="shared" si="167"/>
        <v>350161.00723326835</v>
      </c>
      <c r="V44" s="791">
        <f t="shared" si="167"/>
        <v>311256.32703149301</v>
      </c>
      <c r="W44" s="604">
        <f t="shared" si="167"/>
        <v>217640.12629921027</v>
      </c>
      <c r="X44" s="604">
        <f t="shared" si="167"/>
        <v>375216.12990674411</v>
      </c>
      <c r="Y44" s="604">
        <f t="shared" si="167"/>
        <v>278914.14686237532</v>
      </c>
      <c r="Z44" s="604">
        <f t="shared" si="167"/>
        <v>432164.3089482201</v>
      </c>
      <c r="AA44" s="604">
        <f t="shared" si="167"/>
        <v>1457089.2774610412</v>
      </c>
      <c r="AB44" s="790"/>
      <c r="AC44" s="813">
        <f>SUM(AC42:AC43)</f>
        <v>221999.33457859559</v>
      </c>
      <c r="AD44" s="791">
        <f>SUM(AD42:AD43)</f>
        <v>168709.66713746428</v>
      </c>
      <c r="AE44" s="791">
        <f t="shared" ref="AE44:AN44" si="168">SUM(AE42:AE43)</f>
        <v>1129678.3538260688</v>
      </c>
      <c r="AF44" s="604">
        <f t="shared" si="168"/>
        <v>454242.42745137739</v>
      </c>
      <c r="AG44" s="604">
        <f t="shared" si="168"/>
        <v>237031.78393141259</v>
      </c>
      <c r="AH44" s="604">
        <f t="shared" si="168"/>
        <v>353860.27904945635</v>
      </c>
      <c r="AI44" s="791">
        <f t="shared" si="168"/>
        <v>261328.36809193832</v>
      </c>
      <c r="AJ44" s="604">
        <f t="shared" si="168"/>
        <v>118443.10559677737</v>
      </c>
      <c r="AK44" s="604">
        <f t="shared" si="168"/>
        <v>218564.09461303998</v>
      </c>
      <c r="AL44" s="604">
        <f t="shared" si="168"/>
        <v>327406.60520429356</v>
      </c>
      <c r="AM44" s="604">
        <f t="shared" si="168"/>
        <v>476471.23110001098</v>
      </c>
      <c r="AN44" s="604">
        <f t="shared" si="168"/>
        <v>490988.57620877185</v>
      </c>
      <c r="AO44" s="790"/>
      <c r="BC44" s="790"/>
    </row>
    <row r="45" spans="2:55" ht="15">
      <c r="B45" s="772" t="s">
        <v>518</v>
      </c>
      <c r="C45" s="527"/>
      <c r="D45" s="527"/>
      <c r="E45" s="527"/>
      <c r="F45" s="527"/>
      <c r="G45" s="527"/>
      <c r="H45" s="527"/>
      <c r="I45" s="527"/>
      <c r="J45" s="527"/>
      <c r="K45" s="527"/>
      <c r="L45" s="527"/>
      <c r="M45" s="527"/>
      <c r="N45" s="527"/>
      <c r="O45" s="528"/>
      <c r="P45" s="527"/>
      <c r="Q45" s="527"/>
      <c r="R45" s="527"/>
      <c r="S45" s="527"/>
      <c r="T45" s="527"/>
      <c r="U45" s="527"/>
      <c r="V45" s="527"/>
      <c r="W45" s="527"/>
      <c r="X45" s="527"/>
      <c r="Y45" s="527"/>
      <c r="Z45" s="527"/>
      <c r="AA45" s="527"/>
      <c r="AB45" s="528"/>
      <c r="AC45" s="527"/>
      <c r="AD45" s="527"/>
      <c r="AE45" s="527"/>
      <c r="AF45" s="527"/>
      <c r="AG45" s="527"/>
      <c r="AH45" s="527"/>
      <c r="AI45" s="527"/>
      <c r="AJ45" s="527"/>
      <c r="AK45" s="527"/>
      <c r="AL45" s="527"/>
      <c r="AM45" s="527"/>
      <c r="AN45" s="527"/>
      <c r="AO45" s="528"/>
      <c r="BC45" s="528"/>
    </row>
    <row r="46" spans="2:55">
      <c r="B46" s="774" t="s">
        <v>234</v>
      </c>
      <c r="C46" s="527"/>
      <c r="D46" s="527"/>
      <c r="E46" s="527"/>
      <c r="F46" s="527"/>
      <c r="G46" s="527"/>
      <c r="H46" s="527">
        <f>10469.53-74136.86</f>
        <v>-63667.33</v>
      </c>
      <c r="I46" s="527">
        <f>2523.06-73109.06</f>
        <v>-70586</v>
      </c>
      <c r="J46" s="527">
        <f>2514.76-74109.06</f>
        <v>-71594.3</v>
      </c>
      <c r="K46" s="527">
        <f>1734.67-74109.06</f>
        <v>-72374.39</v>
      </c>
      <c r="L46" s="527">
        <f>577.32-74213.91</f>
        <v>-73636.59</v>
      </c>
      <c r="M46" s="527">
        <f>172.75-74213.91</f>
        <v>-74041.16</v>
      </c>
      <c r="N46" s="527">
        <f>362.27-74213.91</f>
        <v>-73851.64</v>
      </c>
      <c r="O46" s="528"/>
      <c r="P46" s="527">
        <f>351.65-72713.91</f>
        <v>-72362.260000000009</v>
      </c>
      <c r="Q46" s="527">
        <f>341.03-74271.06</f>
        <v>-73930.03</v>
      </c>
      <c r="R46" s="527">
        <f>330.41-74271.06</f>
        <v>-73940.649999999994</v>
      </c>
      <c r="S46" s="527">
        <f>319.79-72771.06</f>
        <v>-72451.27</v>
      </c>
      <c r="T46" s="527">
        <f>294.62-74186.7</f>
        <v>-73892.08</v>
      </c>
      <c r="U46" s="527">
        <f>2195.46-74386.7</f>
        <v>-72191.239999999991</v>
      </c>
      <c r="V46" s="527">
        <f>483.08-73622.53</f>
        <v>-73139.45</v>
      </c>
      <c r="W46" s="527">
        <f>537.91-61827.58</f>
        <v>-61289.67</v>
      </c>
      <c r="X46" s="527">
        <f>3860.91-61827.58</f>
        <v>-57966.67</v>
      </c>
      <c r="Y46" s="527">
        <f>647.57-61827.58</f>
        <v>-61180.01</v>
      </c>
      <c r="Z46" s="527">
        <f>725.42-62698.58</f>
        <v>-61973.16</v>
      </c>
      <c r="AA46" s="527">
        <f>3731.68-45149.18</f>
        <v>-41417.5</v>
      </c>
      <c r="AB46" s="528"/>
      <c r="AC46" s="527">
        <f>564.38-72149.18</f>
        <v>-71584.799999999988</v>
      </c>
      <c r="AD46" s="527">
        <f>642.23-52826.48</f>
        <v>-52184.25</v>
      </c>
      <c r="AE46" s="527">
        <f>3965.23+551998.36</f>
        <v>555963.59</v>
      </c>
      <c r="AF46" s="527">
        <f>797.93+28698.81</f>
        <v>29496.74</v>
      </c>
      <c r="AG46" s="527">
        <f>4040.93+28437</f>
        <v>32477.93</v>
      </c>
      <c r="AH46" s="527">
        <f>3870.48+11290.75</f>
        <v>15161.23</v>
      </c>
      <c r="AI46" s="527">
        <f>1267.32-12656.03</f>
        <v>-11388.710000000001</v>
      </c>
      <c r="AJ46" s="527">
        <f>1343.4-62388.9</f>
        <v>-61045.5</v>
      </c>
      <c r="AK46" s="527">
        <f>4664.4-63003.14</f>
        <v>-58338.74</v>
      </c>
      <c r="AL46" s="527"/>
      <c r="AM46" s="527"/>
      <c r="AN46" s="527"/>
      <c r="AO46" s="528"/>
      <c r="BC46" s="528"/>
    </row>
    <row r="47" spans="2:55" ht="15">
      <c r="B47" s="774" t="s">
        <v>235</v>
      </c>
      <c r="C47" s="527"/>
      <c r="D47" s="527"/>
      <c r="E47" s="527"/>
      <c r="F47" s="527"/>
      <c r="G47" s="527"/>
      <c r="H47" s="527">
        <v>40260.410000000003</v>
      </c>
      <c r="I47" s="527">
        <v>-28069.15</v>
      </c>
      <c r="J47" s="527">
        <v>-50198.29</v>
      </c>
      <c r="K47" s="527">
        <v>-65493.99</v>
      </c>
      <c r="L47" s="527">
        <v>-83056.87</v>
      </c>
      <c r="M47" s="527">
        <v>-78659.97</v>
      </c>
      <c r="N47" s="527">
        <v>-50350.62</v>
      </c>
      <c r="O47" s="528"/>
      <c r="P47" s="527">
        <v>-77272.070000000007</v>
      </c>
      <c r="Q47" s="527">
        <v>-54046.85</v>
      </c>
      <c r="R47" s="527">
        <v>38618.949999999997</v>
      </c>
      <c r="S47" s="527">
        <v>-3841.8</v>
      </c>
      <c r="T47" s="527">
        <v>7909.13</v>
      </c>
      <c r="U47" s="527">
        <v>-14135.47</v>
      </c>
      <c r="V47" s="527">
        <v>-50758.09</v>
      </c>
      <c r="W47" s="527">
        <v>-59040.57</v>
      </c>
      <c r="X47" s="527">
        <v>-15300.11</v>
      </c>
      <c r="Y47" s="527">
        <v>-37916.400000000001</v>
      </c>
      <c r="Z47" s="527">
        <v>109670.39999999999</v>
      </c>
      <c r="AA47" s="527">
        <v>1253592.1299999999</v>
      </c>
      <c r="AB47" s="528"/>
      <c r="AC47" s="938">
        <f>55527.26+27000+22000</f>
        <v>104527.26000000001</v>
      </c>
      <c r="AD47" s="527">
        <v>28541.07</v>
      </c>
      <c r="AE47" s="527">
        <v>273961.03000000003</v>
      </c>
      <c r="AF47" s="527">
        <v>101854.88</v>
      </c>
      <c r="AG47" s="527">
        <v>-50866.66</v>
      </c>
      <c r="AH47" s="527">
        <f>-48475.75</f>
        <v>-48475.75</v>
      </c>
      <c r="AI47" s="527">
        <f>-22286.57</f>
        <v>-22286.57</v>
      </c>
      <c r="AJ47" s="527">
        <v>-61776.02</v>
      </c>
      <c r="AK47" s="527">
        <v>-54597.91</v>
      </c>
      <c r="AL47" s="527">
        <f t="shared" ref="AL47" si="169">AK47+AL32</f>
        <v>54244.600591253577</v>
      </c>
      <c r="AM47" s="527">
        <f t="shared" ref="AM47" si="170">AL47+AM32</f>
        <v>203309.22648697099</v>
      </c>
      <c r="AN47" s="527">
        <f t="shared" ref="AN47" si="171">AM47+AN32</f>
        <v>217826.57159573186</v>
      </c>
      <c r="AO47" s="528"/>
      <c r="BC47" s="528"/>
    </row>
    <row r="48" spans="2:55">
      <c r="B48" s="774" t="s">
        <v>236</v>
      </c>
      <c r="C48" s="527"/>
      <c r="D48" s="527"/>
      <c r="E48" s="527"/>
      <c r="F48" s="527"/>
      <c r="G48" s="527"/>
      <c r="H48" s="527">
        <v>0</v>
      </c>
      <c r="I48" s="527">
        <v>0</v>
      </c>
      <c r="J48" s="527">
        <v>0</v>
      </c>
      <c r="K48" s="527">
        <v>0</v>
      </c>
      <c r="L48" s="527">
        <v>0</v>
      </c>
      <c r="M48" s="527">
        <v>0</v>
      </c>
      <c r="N48" s="527">
        <v>0</v>
      </c>
      <c r="O48" s="528"/>
      <c r="P48" s="527">
        <v>0</v>
      </c>
      <c r="Q48" s="527">
        <v>0</v>
      </c>
      <c r="R48" s="527">
        <v>0</v>
      </c>
      <c r="S48" s="527">
        <v>0</v>
      </c>
      <c r="T48" s="527">
        <v>0</v>
      </c>
      <c r="U48" s="527">
        <v>0</v>
      </c>
      <c r="V48" s="527">
        <v>0</v>
      </c>
      <c r="W48" s="527">
        <v>0</v>
      </c>
      <c r="X48" s="527">
        <v>0</v>
      </c>
      <c r="Y48" s="527">
        <v>0</v>
      </c>
      <c r="Z48" s="527">
        <v>0</v>
      </c>
      <c r="AA48" s="527">
        <v>0</v>
      </c>
      <c r="AB48" s="528"/>
      <c r="AC48" s="527">
        <v>0</v>
      </c>
      <c r="AD48" s="527">
        <v>0</v>
      </c>
      <c r="AE48" s="527">
        <v>0</v>
      </c>
      <c r="AF48" s="527">
        <v>0</v>
      </c>
      <c r="AG48" s="527">
        <v>0</v>
      </c>
      <c r="AH48" s="527">
        <v>0</v>
      </c>
      <c r="AI48" s="527">
        <v>0</v>
      </c>
      <c r="AJ48" s="527">
        <v>0</v>
      </c>
      <c r="AK48" s="527">
        <v>0</v>
      </c>
      <c r="AL48" s="527"/>
      <c r="AM48" s="527"/>
      <c r="AN48" s="527"/>
      <c r="AO48" s="528"/>
      <c r="BC48" s="528"/>
    </row>
    <row r="49" spans="2:55" ht="15">
      <c r="B49" s="774" t="s">
        <v>411</v>
      </c>
      <c r="C49" s="527"/>
      <c r="D49" s="527"/>
      <c r="E49" s="527"/>
      <c r="F49" s="527"/>
      <c r="G49" s="527"/>
      <c r="H49" s="527">
        <v>1764.1699999999998</v>
      </c>
      <c r="I49" s="527">
        <f>5525.51+12.92</f>
        <v>5538.43</v>
      </c>
      <c r="J49" s="527">
        <f>1833.52+3.39</f>
        <v>1836.91</v>
      </c>
      <c r="K49" s="527">
        <f>1376.62+1.79</f>
        <v>1378.4099999999999</v>
      </c>
      <c r="L49" s="527">
        <f>6546.92+1.79</f>
        <v>6548.71</v>
      </c>
      <c r="M49" s="527">
        <f>2519.52+2.64</f>
        <v>2522.16</v>
      </c>
      <c r="N49" s="527">
        <f>1981.17+0.21</f>
        <v>1981.38</v>
      </c>
      <c r="O49" s="528"/>
      <c r="P49" s="527">
        <f>859.32+0.34</f>
        <v>859.66000000000008</v>
      </c>
      <c r="Q49" s="527">
        <f>1215.5+0.34</f>
        <v>1215.8399999999999</v>
      </c>
      <c r="R49" s="527">
        <f>816.92+0.34</f>
        <v>817.26</v>
      </c>
      <c r="S49" s="527">
        <f>3373.54+0.34</f>
        <v>3373.88</v>
      </c>
      <c r="T49" s="527">
        <f>4186.08+0.34</f>
        <v>4186.42</v>
      </c>
      <c r="U49" s="527">
        <f>1711.44+72.54</f>
        <v>1783.98</v>
      </c>
      <c r="V49" s="527">
        <f>2218.67+30.17</f>
        <v>2248.84</v>
      </c>
      <c r="W49" s="527">
        <f>719.64+20.28</f>
        <v>739.92</v>
      </c>
      <c r="X49" s="527">
        <f>3537.65+20.28</f>
        <v>3557.9300000000003</v>
      </c>
      <c r="Y49" s="527">
        <f>2287.11+5.06</f>
        <v>2292.17</v>
      </c>
      <c r="Z49" s="527">
        <f>1575.52+138526.37</f>
        <v>140101.88999999998</v>
      </c>
      <c r="AA49" s="527">
        <f>1173.41+703.16</f>
        <v>1876.5700000000002</v>
      </c>
      <c r="AB49" s="528"/>
      <c r="AC49" s="527">
        <f>4443.72+526.2</f>
        <v>4969.92</v>
      </c>
      <c r="AD49" s="527">
        <f>820.68+1715.15</f>
        <v>2535.83</v>
      </c>
      <c r="AE49" s="527">
        <f>4598.84+1498.19</f>
        <v>6097.0300000000007</v>
      </c>
      <c r="AF49" s="527">
        <f>4478.19+1281.23</f>
        <v>5759.42</v>
      </c>
      <c r="AG49" s="938">
        <f>(4172.9+1460)+1064.27</f>
        <v>6697.17</v>
      </c>
      <c r="AH49" s="938">
        <f>(4030.72+10185+1460)+961.31</f>
        <v>16637.03</v>
      </c>
      <c r="AI49" s="527">
        <f>3689.07+744.35</f>
        <v>4433.42</v>
      </c>
      <c r="AJ49" s="527">
        <f>3451.5+527.39</f>
        <v>3978.89</v>
      </c>
      <c r="AK49" s="527">
        <f>1847.32+1310.43</f>
        <v>3157.75</v>
      </c>
      <c r="AL49" s="527"/>
      <c r="AM49" s="527"/>
      <c r="AN49" s="527"/>
      <c r="AO49" s="528"/>
      <c r="BC49" s="528"/>
    </row>
    <row r="50" spans="2:55">
      <c r="B50" s="774" t="s">
        <v>409</v>
      </c>
      <c r="C50" s="527"/>
      <c r="D50" s="527"/>
      <c r="E50" s="527"/>
      <c r="F50" s="527"/>
      <c r="G50" s="527"/>
      <c r="H50" s="527">
        <v>262.95999999999998</v>
      </c>
      <c r="I50" s="527">
        <v>2267.88</v>
      </c>
      <c r="J50" s="527">
        <v>2274.69</v>
      </c>
      <c r="K50" s="527">
        <v>2029.18</v>
      </c>
      <c r="L50" s="527">
        <v>2035.99</v>
      </c>
      <c r="M50" s="527">
        <v>582.79999999999995</v>
      </c>
      <c r="N50" s="527">
        <v>12234.61</v>
      </c>
      <c r="O50" s="528"/>
      <c r="P50" s="527">
        <v>2059.1</v>
      </c>
      <c r="Q50" s="527">
        <v>2065.91</v>
      </c>
      <c r="R50" s="527">
        <v>12257.72</v>
      </c>
      <c r="S50" s="527">
        <v>2127.2800000000002</v>
      </c>
      <c r="T50" s="527">
        <v>2134.09</v>
      </c>
      <c r="U50" s="527">
        <v>12325.9</v>
      </c>
      <c r="V50" s="527">
        <v>2195.46</v>
      </c>
      <c r="W50" s="527">
        <v>2202.27</v>
      </c>
      <c r="X50" s="527">
        <v>12394.08</v>
      </c>
      <c r="Y50" s="527">
        <v>2263.64</v>
      </c>
      <c r="Z50" s="527">
        <v>2270.4499999999998</v>
      </c>
      <c r="AA50" s="527">
        <v>12462.26</v>
      </c>
      <c r="AB50" s="528"/>
      <c r="AC50" s="527">
        <v>2331.8200000000002</v>
      </c>
      <c r="AD50" s="527">
        <v>2338.63</v>
      </c>
      <c r="AE50" s="527">
        <v>12530.44</v>
      </c>
      <c r="AF50" s="527">
        <v>2721.17</v>
      </c>
      <c r="AG50" s="572">
        <v>1267.98</v>
      </c>
      <c r="AH50" s="527">
        <v>1235.2</v>
      </c>
      <c r="AI50" s="527">
        <v>3057.29</v>
      </c>
      <c r="AJ50" s="527">
        <v>3064.1</v>
      </c>
      <c r="AK50" s="527">
        <v>13255.91</v>
      </c>
      <c r="AL50" s="527"/>
      <c r="AM50" s="527"/>
      <c r="AN50" s="527"/>
      <c r="AO50" s="528"/>
      <c r="BC50" s="528"/>
    </row>
    <row r="51" spans="2:55">
      <c r="B51" s="774" t="s">
        <v>410</v>
      </c>
      <c r="C51" s="527"/>
      <c r="D51" s="527"/>
      <c r="E51" s="527"/>
      <c r="F51" s="527"/>
      <c r="G51" s="527"/>
      <c r="H51" s="582">
        <v>2439.7600000000002</v>
      </c>
      <c r="I51" s="527">
        <v>2439.7600000000002</v>
      </c>
      <c r="J51" s="527">
        <v>2409.7600000000002</v>
      </c>
      <c r="K51" s="527">
        <v>2409.7600000000002</v>
      </c>
      <c r="L51" s="527">
        <v>2379.7600000000002</v>
      </c>
      <c r="M51" s="527">
        <v>2369.7600000000002</v>
      </c>
      <c r="N51" s="527">
        <v>2369.7600000000002</v>
      </c>
      <c r="O51" s="528"/>
      <c r="P51" s="527">
        <v>448.48</v>
      </c>
      <c r="Q51" s="527">
        <v>567.70000000000005</v>
      </c>
      <c r="R51" s="527">
        <v>567.70000000000005</v>
      </c>
      <c r="S51" s="527">
        <v>19087.7</v>
      </c>
      <c r="T51" s="527">
        <v>3314.8</v>
      </c>
      <c r="U51" s="527">
        <v>3260.12</v>
      </c>
      <c r="V51" s="527">
        <v>3220.12</v>
      </c>
      <c r="W51" s="527">
        <v>3220.12</v>
      </c>
      <c r="X51" s="527">
        <v>3220.12</v>
      </c>
      <c r="Y51" s="527">
        <v>3180.12</v>
      </c>
      <c r="Z51" s="527">
        <v>1568.28</v>
      </c>
      <c r="AA51" s="527">
        <v>1568.28</v>
      </c>
      <c r="AB51" s="528"/>
      <c r="AC51" s="527">
        <v>4147.5</v>
      </c>
      <c r="AD51" s="527">
        <v>766.72</v>
      </c>
      <c r="AE51" s="527">
        <v>766.72</v>
      </c>
      <c r="AF51" s="527">
        <v>726.72</v>
      </c>
      <c r="AG51" s="527">
        <v>508.72</v>
      </c>
      <c r="AH51" s="527">
        <v>508.72</v>
      </c>
      <c r="AI51" s="527">
        <v>468.72</v>
      </c>
      <c r="AJ51" s="527">
        <v>468.72</v>
      </c>
      <c r="AK51" s="527">
        <v>472.36</v>
      </c>
      <c r="AL51" s="527"/>
      <c r="AM51" s="527"/>
      <c r="AN51" s="527"/>
      <c r="AO51" s="528"/>
      <c r="BC51" s="528"/>
    </row>
    <row r="52" spans="2:55">
      <c r="B52" s="774" t="s">
        <v>237</v>
      </c>
      <c r="C52" s="527"/>
      <c r="D52" s="527"/>
      <c r="E52" s="527"/>
      <c r="F52" s="527"/>
      <c r="G52" s="527"/>
      <c r="H52" s="527">
        <v>21421.200000000001</v>
      </c>
      <c r="I52" s="527">
        <v>16849.84</v>
      </c>
      <c r="J52" s="527">
        <v>16873.310000000001</v>
      </c>
      <c r="K52" s="527">
        <v>13915.95</v>
      </c>
      <c r="L52" s="527">
        <v>43758.69</v>
      </c>
      <c r="M52" s="527">
        <v>19903.75</v>
      </c>
      <c r="N52" s="527">
        <v>24526.67</v>
      </c>
      <c r="O52" s="528"/>
      <c r="P52" s="527">
        <v>64696.56</v>
      </c>
      <c r="Q52" s="527">
        <v>19676.59</v>
      </c>
      <c r="R52" s="527">
        <v>13766.04</v>
      </c>
      <c r="S52" s="527">
        <v>26400.76</v>
      </c>
      <c r="T52" s="527">
        <v>40764.449999999997</v>
      </c>
      <c r="U52" s="527">
        <v>14439.7</v>
      </c>
      <c r="V52" s="527">
        <v>5867.68</v>
      </c>
      <c r="W52" s="527">
        <v>32908.76</v>
      </c>
      <c r="X52" s="527">
        <v>16545.490000000002</v>
      </c>
      <c r="Y52" s="527">
        <v>2286.61</v>
      </c>
      <c r="Z52" s="527">
        <v>7172.92</v>
      </c>
      <c r="AA52" s="527">
        <v>11617.36</v>
      </c>
      <c r="AB52" s="528"/>
      <c r="AC52" s="527">
        <v>20358.12</v>
      </c>
      <c r="AD52" s="527">
        <v>15302.9</v>
      </c>
      <c r="AE52" s="527">
        <v>15302.9</v>
      </c>
      <c r="AF52" s="527">
        <v>28068.85</v>
      </c>
      <c r="AG52" s="527">
        <v>24017.1</v>
      </c>
      <c r="AH52" s="527">
        <v>696.57</v>
      </c>
      <c r="AI52" s="527">
        <v>12900.16</v>
      </c>
      <c r="AJ52" s="527">
        <v>710.1</v>
      </c>
      <c r="AK52" s="527">
        <v>0</v>
      </c>
      <c r="AL52" s="527"/>
      <c r="AM52" s="527"/>
      <c r="AN52" s="527"/>
      <c r="AO52" s="528"/>
      <c r="BC52" s="528"/>
    </row>
    <row r="53" spans="2:55">
      <c r="B53" s="774" t="s">
        <v>238</v>
      </c>
      <c r="C53" s="527"/>
      <c r="D53" s="527"/>
      <c r="E53" s="527"/>
      <c r="F53" s="527"/>
      <c r="G53" s="527"/>
      <c r="H53" s="527">
        <v>0</v>
      </c>
      <c r="I53" s="527">
        <v>0</v>
      </c>
      <c r="J53" s="527">
        <v>0</v>
      </c>
      <c r="K53" s="527">
        <v>0</v>
      </c>
      <c r="L53" s="527">
        <v>0</v>
      </c>
      <c r="M53" s="527">
        <v>245.39</v>
      </c>
      <c r="N53" s="792">
        <v>245.39</v>
      </c>
      <c r="O53" s="528"/>
      <c r="P53" s="792">
        <v>0</v>
      </c>
      <c r="Q53" s="527">
        <v>0</v>
      </c>
      <c r="R53" s="527">
        <v>0</v>
      </c>
      <c r="S53" s="527">
        <v>0</v>
      </c>
      <c r="T53" s="527">
        <v>13200</v>
      </c>
      <c r="U53" s="527">
        <v>10900</v>
      </c>
      <c r="V53" s="527">
        <v>10900</v>
      </c>
      <c r="W53" s="527">
        <v>2900</v>
      </c>
      <c r="X53" s="527">
        <v>99.56</v>
      </c>
      <c r="Y53" s="527">
        <v>3894.92</v>
      </c>
      <c r="Z53" s="527">
        <v>765.29</v>
      </c>
      <c r="AA53" s="527">
        <v>90.32</v>
      </c>
      <c r="AB53" s="528"/>
      <c r="AC53" s="792">
        <v>15.96</v>
      </c>
      <c r="AD53" s="527">
        <v>35.19</v>
      </c>
      <c r="AE53" s="527">
        <v>2701.21</v>
      </c>
      <c r="AF53" s="527">
        <v>472.22</v>
      </c>
      <c r="AG53" s="527">
        <v>1276.7</v>
      </c>
      <c r="AH53" s="527">
        <v>45.55</v>
      </c>
      <c r="AI53" s="527">
        <v>8717.76</v>
      </c>
      <c r="AJ53" s="527">
        <v>232.97</v>
      </c>
      <c r="AK53" s="527">
        <v>0</v>
      </c>
      <c r="AL53" s="527"/>
      <c r="AM53" s="527"/>
      <c r="AN53" s="527"/>
      <c r="AO53" s="528"/>
      <c r="BC53" s="528"/>
    </row>
    <row r="54" spans="2:55">
      <c r="B54" s="774" t="s">
        <v>239</v>
      </c>
      <c r="C54" s="527"/>
      <c r="D54" s="527"/>
      <c r="E54" s="527"/>
      <c r="F54" s="527"/>
      <c r="G54" s="527"/>
      <c r="H54" s="527">
        <v>0</v>
      </c>
      <c r="I54" s="527">
        <v>0</v>
      </c>
      <c r="J54" s="527">
        <v>0</v>
      </c>
      <c r="K54" s="527">
        <v>0</v>
      </c>
      <c r="L54" s="527">
        <v>0</v>
      </c>
      <c r="M54" s="527">
        <v>0</v>
      </c>
      <c r="N54" s="527">
        <v>0</v>
      </c>
      <c r="O54" s="528"/>
      <c r="P54" s="527">
        <v>0</v>
      </c>
      <c r="Q54" s="527">
        <v>0</v>
      </c>
      <c r="R54" s="527">
        <v>0</v>
      </c>
      <c r="S54" s="527">
        <v>0</v>
      </c>
      <c r="T54" s="527">
        <v>0</v>
      </c>
      <c r="U54" s="527">
        <v>0</v>
      </c>
      <c r="V54" s="527">
        <v>0</v>
      </c>
      <c r="W54" s="527">
        <v>0</v>
      </c>
      <c r="X54" s="527">
        <v>0</v>
      </c>
      <c r="Y54" s="527">
        <v>0</v>
      </c>
      <c r="Z54" s="527">
        <v>0</v>
      </c>
      <c r="AA54" s="527">
        <v>0</v>
      </c>
      <c r="AB54" s="528"/>
      <c r="AC54" s="527">
        <v>0</v>
      </c>
      <c r="AD54" s="527">
        <v>0</v>
      </c>
      <c r="AE54" s="527">
        <v>0</v>
      </c>
      <c r="AF54" s="527">
        <v>0</v>
      </c>
      <c r="AG54" s="527">
        <v>0</v>
      </c>
      <c r="AH54" s="527">
        <v>0</v>
      </c>
      <c r="AI54" s="527">
        <v>0</v>
      </c>
      <c r="AJ54" s="527">
        <v>0</v>
      </c>
      <c r="AK54" s="527">
        <v>0</v>
      </c>
      <c r="AL54" s="527"/>
      <c r="AM54" s="527"/>
      <c r="AN54" s="527"/>
      <c r="AO54" s="528"/>
      <c r="BC54" s="528"/>
    </row>
    <row r="55" spans="2:55">
      <c r="B55" s="774" t="s">
        <v>240</v>
      </c>
      <c r="C55" s="527"/>
      <c r="D55" s="527"/>
      <c r="E55" s="527"/>
      <c r="F55" s="527"/>
      <c r="G55" s="527"/>
      <c r="H55" s="527">
        <v>32863.75</v>
      </c>
      <c r="I55" s="527">
        <v>32768.910000000003</v>
      </c>
      <c r="J55" s="527">
        <v>32705.69</v>
      </c>
      <c r="K55" s="527">
        <v>32610.85</v>
      </c>
      <c r="L55" s="527">
        <v>32547.63</v>
      </c>
      <c r="M55" s="527">
        <v>44985.55</v>
      </c>
      <c r="N55" s="527">
        <v>164146.91</v>
      </c>
      <c r="O55" s="528"/>
      <c r="P55" s="527">
        <v>164119.69</v>
      </c>
      <c r="Q55" s="527">
        <v>227172.59</v>
      </c>
      <c r="R55" s="527">
        <v>17486.75</v>
      </c>
      <c r="S55" s="527">
        <v>17486.75</v>
      </c>
      <c r="T55" s="527">
        <v>-30970.27</v>
      </c>
      <c r="U55" s="527">
        <v>123026.09</v>
      </c>
      <c r="V55" s="527">
        <v>123026.09</v>
      </c>
      <c r="W55" s="527">
        <v>122925.86</v>
      </c>
      <c r="X55" s="527">
        <v>156124.6</v>
      </c>
      <c r="Y55" s="527">
        <v>155993.29999999999</v>
      </c>
      <c r="Z55" s="527">
        <v>155964.63</v>
      </c>
      <c r="AA55" s="527">
        <v>155866.16</v>
      </c>
      <c r="AB55" s="528"/>
      <c r="AC55" s="527">
        <v>155833.32999999999</v>
      </c>
      <c r="AD55" s="527">
        <v>155800.51</v>
      </c>
      <c r="AE55" s="527">
        <v>155564.17000000001</v>
      </c>
      <c r="AF55" s="527">
        <v>155564.17000000001</v>
      </c>
      <c r="AG55" s="527">
        <v>155564.17000000001</v>
      </c>
      <c r="AH55" s="527">
        <v>205455.69</v>
      </c>
      <c r="AI55" s="527">
        <v>205436.33</v>
      </c>
      <c r="AJ55" s="527">
        <v>246355.97</v>
      </c>
      <c r="AK55" s="527">
        <v>258330.75</v>
      </c>
      <c r="AL55" s="527">
        <v>258330.75</v>
      </c>
      <c r="AM55" s="527"/>
      <c r="AN55" s="527"/>
      <c r="AO55" s="528"/>
      <c r="BC55" s="528"/>
    </row>
    <row r="56" spans="2:55">
      <c r="B56" s="774" t="s">
        <v>241</v>
      </c>
      <c r="C56" s="527"/>
      <c r="D56" s="527"/>
      <c r="E56" s="527"/>
      <c r="F56" s="527"/>
      <c r="G56" s="527"/>
      <c r="H56" s="527">
        <v>106343.25</v>
      </c>
      <c r="I56" s="527">
        <v>106343.25</v>
      </c>
      <c r="J56" s="527">
        <v>106343.25</v>
      </c>
      <c r="K56" s="527">
        <v>157890.75</v>
      </c>
      <c r="L56" s="527">
        <v>174854.75</v>
      </c>
      <c r="M56" s="527">
        <v>174854.75</v>
      </c>
      <c r="N56" s="527">
        <v>174854.75</v>
      </c>
      <c r="O56" s="528"/>
      <c r="P56" s="527">
        <v>124854.75</v>
      </c>
      <c r="Q56" s="527">
        <f>124854.75-74854.75</f>
        <v>50000</v>
      </c>
      <c r="R56" s="527">
        <v>281399.46000000002</v>
      </c>
      <c r="S56" s="527">
        <v>281399.46000000002</v>
      </c>
      <c r="T56" s="527">
        <v>281399.46000000002</v>
      </c>
      <c r="U56" s="527">
        <v>281399.46000000002</v>
      </c>
      <c r="V56" s="527">
        <v>281399.46000000002</v>
      </c>
      <c r="W56" s="527">
        <v>201399.46</v>
      </c>
      <c r="X56" s="527">
        <v>307899.46000000002</v>
      </c>
      <c r="Y56" s="527">
        <v>190899.46</v>
      </c>
      <c r="Z56" s="527">
        <v>150899.46</v>
      </c>
      <c r="AA56" s="527">
        <v>136649.46</v>
      </c>
      <c r="AB56" s="528"/>
      <c r="AC56" s="527">
        <v>99555.96</v>
      </c>
      <c r="AD56" s="527">
        <v>90731.96</v>
      </c>
      <c r="AE56" s="527">
        <v>90731.96</v>
      </c>
      <c r="AF56" s="527">
        <v>90731.96</v>
      </c>
      <c r="AG56" s="527">
        <v>90731.96</v>
      </c>
      <c r="AH56" s="527">
        <v>95164.160000000003</v>
      </c>
      <c r="AI56" s="527">
        <v>112624.16</v>
      </c>
      <c r="AJ56" s="527">
        <v>13959.36</v>
      </c>
      <c r="AK56" s="527">
        <v>37127.32</v>
      </c>
      <c r="AL56" s="527">
        <v>37127.32</v>
      </c>
      <c r="AM56" s="527"/>
      <c r="AN56" s="527"/>
      <c r="AO56" s="528"/>
      <c r="BC56" s="528"/>
    </row>
    <row r="57" spans="2:55">
      <c r="B57" s="774" t="s">
        <v>679</v>
      </c>
      <c r="C57" s="527"/>
      <c r="D57" s="527"/>
      <c r="E57" s="527"/>
      <c r="F57" s="527"/>
      <c r="G57" s="527"/>
      <c r="H57" s="527"/>
      <c r="I57" s="527"/>
      <c r="J57" s="527"/>
      <c r="K57" s="527"/>
      <c r="L57" s="527"/>
      <c r="M57" s="527"/>
      <c r="N57" s="527"/>
      <c r="O57" s="528"/>
      <c r="P57" s="527"/>
      <c r="Q57" s="527"/>
      <c r="R57" s="527"/>
      <c r="S57" s="527"/>
      <c r="T57" s="527"/>
      <c r="U57" s="527"/>
      <c r="V57" s="527"/>
      <c r="W57" s="527"/>
      <c r="X57" s="527"/>
      <c r="Y57" s="527"/>
      <c r="Z57" s="527"/>
      <c r="AA57" s="527"/>
      <c r="AB57" s="528"/>
      <c r="AC57" s="527"/>
      <c r="AD57" s="527"/>
      <c r="AE57" s="527"/>
      <c r="AF57" s="527"/>
      <c r="AG57" s="527"/>
      <c r="AH57" s="527"/>
      <c r="AI57" s="527"/>
      <c r="AJ57" s="527"/>
      <c r="AK57" s="527">
        <f>132025-80000</f>
        <v>52025</v>
      </c>
      <c r="AL57" s="527">
        <f>132025-80000+112487</f>
        <v>164512</v>
      </c>
      <c r="AM57" s="527"/>
      <c r="AN57" s="527"/>
      <c r="AO57" s="528"/>
      <c r="BC57" s="528"/>
    </row>
    <row r="58" spans="2:55">
      <c r="B58" s="787" t="s">
        <v>439</v>
      </c>
      <c r="C58" s="793"/>
      <c r="D58" s="793"/>
      <c r="E58" s="793"/>
      <c r="F58" s="793"/>
      <c r="G58" s="793"/>
      <c r="H58" s="793">
        <v>30213.72</v>
      </c>
      <c r="I58" s="793">
        <v>-94756.6</v>
      </c>
      <c r="J58" s="793">
        <v>-96182.39</v>
      </c>
      <c r="K58" s="793">
        <v>-97167.62</v>
      </c>
      <c r="L58" s="793">
        <v>-98162.240000000005</v>
      </c>
      <c r="M58" s="689">
        <v>-97606.43</v>
      </c>
      <c r="N58" s="689">
        <v>-98601.07</v>
      </c>
      <c r="O58" s="790"/>
      <c r="P58" s="793">
        <v>-96577.67</v>
      </c>
      <c r="Q58" s="793">
        <v>-98970.559999999998</v>
      </c>
      <c r="R58" s="793">
        <v>-96932.59</v>
      </c>
      <c r="S58" s="793">
        <v>-97879.46</v>
      </c>
      <c r="T58" s="793">
        <v>11595.45</v>
      </c>
      <c r="U58" s="793">
        <v>-10647.1</v>
      </c>
      <c r="V58" s="793">
        <v>6296.15</v>
      </c>
      <c r="W58" s="793">
        <v>-28326.09</v>
      </c>
      <c r="X58" s="793">
        <v>-51358.720000000001</v>
      </c>
      <c r="Y58" s="793">
        <v>17199.93</v>
      </c>
      <c r="Z58" s="793">
        <v>-74276.27</v>
      </c>
      <c r="AA58" s="793">
        <v>-75216.19</v>
      </c>
      <c r="AB58" s="790"/>
      <c r="AC58" s="793">
        <v>-98155.65</v>
      </c>
      <c r="AD58" s="793">
        <v>-75158.8</v>
      </c>
      <c r="AE58" s="793">
        <v>16059.35</v>
      </c>
      <c r="AF58" s="793">
        <v>38846.339999999997</v>
      </c>
      <c r="AG58" s="793">
        <v>-24643.1</v>
      </c>
      <c r="AH58" s="793">
        <v>67431.66</v>
      </c>
      <c r="AI58" s="793">
        <f>-63425.45+10791.16</f>
        <v>-52634.289999999994</v>
      </c>
      <c r="AJ58" s="793">
        <f>-37284.27+9778.31</f>
        <v>-27505.96</v>
      </c>
      <c r="AK58" s="793">
        <f>-42646.99+9778.31</f>
        <v>-32868.68</v>
      </c>
      <c r="AL58" s="793"/>
      <c r="AM58" s="793"/>
      <c r="AN58" s="793"/>
      <c r="AO58" s="790"/>
      <c r="BC58" s="790"/>
    </row>
    <row r="59" spans="2:55">
      <c r="B59" s="774" t="s">
        <v>243</v>
      </c>
      <c r="C59" s="527"/>
      <c r="D59" s="527"/>
      <c r="E59" s="527"/>
      <c r="F59" s="527"/>
      <c r="G59" s="527"/>
      <c r="H59" s="527">
        <f>SUM(H46:H58)</f>
        <v>171901.88999999998</v>
      </c>
      <c r="I59" s="527">
        <f>SUM(I46:I58)</f>
        <v>-27203.680000000008</v>
      </c>
      <c r="J59" s="527">
        <f t="shared" ref="J59:M59" si="172">SUM(J46:J58)</f>
        <v>-55531.369999999995</v>
      </c>
      <c r="K59" s="527">
        <f t="shared" si="172"/>
        <v>-24801.100000000006</v>
      </c>
      <c r="L59" s="527">
        <f t="shared" si="172"/>
        <v>7269.8300000000017</v>
      </c>
      <c r="M59" s="527">
        <f t="shared" si="172"/>
        <v>-4843.3999999999942</v>
      </c>
      <c r="N59" s="527">
        <f>SUM(N46:N58)</f>
        <v>157556.13999999998</v>
      </c>
      <c r="O59" s="527"/>
      <c r="P59" s="527">
        <f>SUM(P46:P58)</f>
        <v>110826.24000000001</v>
      </c>
      <c r="Q59" s="527">
        <f t="shared" ref="Q59:AA59" si="173">SUM(Q46:Q58)</f>
        <v>73751.19</v>
      </c>
      <c r="R59" s="527">
        <f t="shared" si="173"/>
        <v>194040.64000000004</v>
      </c>
      <c r="S59" s="527">
        <f>SUM(S46:S58)</f>
        <v>175703.3</v>
      </c>
      <c r="T59" s="527">
        <f>SUM(T46:T58)</f>
        <v>259641.45</v>
      </c>
      <c r="U59" s="527">
        <f t="shared" si="173"/>
        <v>350161.44000000006</v>
      </c>
      <c r="V59" s="527">
        <f t="shared" si="173"/>
        <v>311256.26</v>
      </c>
      <c r="W59" s="527">
        <f t="shared" si="173"/>
        <v>217640.06000000003</v>
      </c>
      <c r="X59" s="527">
        <f t="shared" si="173"/>
        <v>375215.74</v>
      </c>
      <c r="Y59" s="527">
        <f t="shared" si="173"/>
        <v>278913.74</v>
      </c>
      <c r="Z59" s="527">
        <f t="shared" si="173"/>
        <v>432163.89</v>
      </c>
      <c r="AA59" s="527">
        <f t="shared" si="173"/>
        <v>1457088.85</v>
      </c>
      <c r="AB59" s="527"/>
      <c r="AC59" s="527">
        <f>SUM(AC46:AC58)</f>
        <v>221999.42</v>
      </c>
      <c r="AD59" s="527">
        <f t="shared" ref="AD59:AN59" si="174">SUM(AD46:AD58)</f>
        <v>168709.76000000001</v>
      </c>
      <c r="AE59" s="527">
        <f t="shared" si="174"/>
        <v>1129678.4000000001</v>
      </c>
      <c r="AF59" s="527">
        <f t="shared" si="174"/>
        <v>454242.47000000009</v>
      </c>
      <c r="AG59" s="527">
        <f>SUM(AG46:AG58)</f>
        <v>237031.97</v>
      </c>
      <c r="AH59" s="527">
        <f t="shared" si="174"/>
        <v>353860.06000000006</v>
      </c>
      <c r="AI59" s="527">
        <f t="shared" si="174"/>
        <v>261328.27000000002</v>
      </c>
      <c r="AJ59" s="527">
        <f t="shared" si="174"/>
        <v>118442.63000000003</v>
      </c>
      <c r="AK59" s="527">
        <f t="shared" si="174"/>
        <v>218563.76</v>
      </c>
      <c r="AL59" s="527">
        <f t="shared" si="174"/>
        <v>514214.67059125361</v>
      </c>
      <c r="AM59" s="527">
        <f t="shared" si="174"/>
        <v>203309.22648697099</v>
      </c>
      <c r="AN59" s="527">
        <f t="shared" si="174"/>
        <v>217826.57159573186</v>
      </c>
      <c r="AO59" s="527"/>
      <c r="BC59" s="527"/>
    </row>
    <row r="60" spans="2:55">
      <c r="B60" s="774" t="s">
        <v>510</v>
      </c>
      <c r="H60" s="527">
        <f>H44-H59</f>
        <v>1.082060975022614E-3</v>
      </c>
      <c r="I60" s="527">
        <f t="shared" ref="I60:M60" si="175">I44-I59</f>
        <v>2.1751449530711398E-3</v>
      </c>
      <c r="J60" s="527">
        <f t="shared" si="175"/>
        <v>3.1379076099256054E-3</v>
      </c>
      <c r="K60" s="527">
        <f t="shared" si="175"/>
        <v>4.0702135593164712E-3</v>
      </c>
      <c r="L60" s="527">
        <f t="shared" si="175"/>
        <v>4.711716391830123E-2</v>
      </c>
      <c r="M60" s="527">
        <f t="shared" si="175"/>
        <v>7.3015905320062302E-2</v>
      </c>
      <c r="N60" s="527">
        <f>N44-N59</f>
        <v>4.367395062581636E-2</v>
      </c>
      <c r="P60" s="527">
        <f>P44-P59</f>
        <v>-0.4687425633019302</v>
      </c>
      <c r="Q60" s="527">
        <f t="shared" ref="Q60:AA60" si="176">Q44-Q59</f>
        <v>0.14786347566405311</v>
      </c>
      <c r="R60" s="527">
        <f t="shared" si="176"/>
        <v>-0.44795562708168291</v>
      </c>
      <c r="S60" s="527">
        <f>S44-S59</f>
        <v>0.45436642738059163</v>
      </c>
      <c r="T60" s="527">
        <f>T44-T59</f>
        <v>-1.2009353114990517E-2</v>
      </c>
      <c r="U60" s="527">
        <f t="shared" si="176"/>
        <v>-0.43276673171203583</v>
      </c>
      <c r="V60" s="527">
        <f t="shared" si="176"/>
        <v>6.7031493003014475E-2</v>
      </c>
      <c r="W60" s="527">
        <f t="shared" si="176"/>
        <v>6.6299210244324058E-2</v>
      </c>
      <c r="X60" s="527">
        <f t="shared" si="176"/>
        <v>0.38990674412343651</v>
      </c>
      <c r="Y60" s="527">
        <f t="shared" si="176"/>
        <v>0.40686237532645464</v>
      </c>
      <c r="Z60" s="527">
        <f t="shared" si="176"/>
        <v>0.41894822008907795</v>
      </c>
      <c r="AA60" s="527">
        <f t="shared" si="176"/>
        <v>0.4274610411375761</v>
      </c>
      <c r="AB60" s="527"/>
      <c r="AC60" s="527">
        <f>AC44-AC59</f>
        <v>-8.5421404422959313E-2</v>
      </c>
      <c r="AD60" s="527">
        <f t="shared" ref="AD60:AN60" si="177">AD44-AD59</f>
        <v>-9.2862535733729601E-2</v>
      </c>
      <c r="AE60" s="527">
        <f t="shared" si="177"/>
        <v>-4.6173931332305074E-2</v>
      </c>
      <c r="AF60" s="527">
        <f t="shared" si="177"/>
        <v>-4.2548622703179717E-2</v>
      </c>
      <c r="AG60" s="527">
        <f t="shared" si="177"/>
        <v>-0.18606858741259202</v>
      </c>
      <c r="AH60" s="527">
        <f t="shared" si="177"/>
        <v>0.21904945629648864</v>
      </c>
      <c r="AI60" s="527">
        <f t="shared" si="177"/>
        <v>9.8091938300058246E-2</v>
      </c>
      <c r="AJ60" s="527">
        <f>AJ44-AJ59</f>
        <v>0.47559677733806893</v>
      </c>
      <c r="AK60" s="527">
        <f t="shared" si="177"/>
        <v>0.33461303997319192</v>
      </c>
      <c r="AL60" s="527">
        <f t="shared" si="177"/>
        <v>-186808.06538696005</v>
      </c>
      <c r="AM60" s="527">
        <f t="shared" si="177"/>
        <v>273162.00461304002</v>
      </c>
      <c r="AN60" s="527">
        <f t="shared" si="177"/>
        <v>273162.00461304002</v>
      </c>
      <c r="AO60" s="527"/>
      <c r="BC60" s="527"/>
    </row>
  </sheetData>
  <mergeCells count="4">
    <mergeCell ref="C1:N1"/>
    <mergeCell ref="P1:AA1"/>
    <mergeCell ref="AC1:AN1"/>
    <mergeCell ref="AP1:BB1"/>
  </mergeCells>
  <pageMargins left="0.7" right="0.7" top="0.75" bottom="0.75" header="0.3" footer="0.3"/>
  <pageSetup paperSize="9" orientation="landscape" horizontalDpi="1200" verticalDpi="120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4E8E9-ECC9-409E-954B-F3AA8CFD5F4F}">
  <sheetPr>
    <tabColor theme="4" tint="0.39997558519241921"/>
    <pageSetUpPr fitToPage="1"/>
  </sheetPr>
  <dimension ref="A1:EJ106"/>
  <sheetViews>
    <sheetView showGridLines="0" zoomScaleNormal="100" workbookViewId="0">
      <pane xSplit="14" ySplit="3" topLeftCell="DG80" activePane="bottomRight" state="frozen"/>
      <selection activeCell="CE28" sqref="CE28"/>
      <selection pane="topRight" activeCell="CE28" sqref="CE28"/>
      <selection pane="bottomLeft" activeCell="CE28" sqref="CE28"/>
      <selection pane="bottomRight" activeCell="DI90" sqref="DI90"/>
    </sheetView>
  </sheetViews>
  <sheetFormatPr baseColWidth="10" defaultColWidth="10.7109375" defaultRowHeight="14.25"/>
  <cols>
    <col min="1" max="1" width="2.85546875" style="480" customWidth="1"/>
    <col min="2" max="2" width="33" style="480" bestFit="1" customWidth="1"/>
    <col min="3" max="3" width="14.5703125" style="480" hidden="1" customWidth="1"/>
    <col min="4" max="4" width="13.28515625" style="480" hidden="1" customWidth="1"/>
    <col min="5" max="5" width="14" style="480" hidden="1" customWidth="1"/>
    <col min="6" max="6" width="15" style="480" hidden="1" customWidth="1"/>
    <col min="7" max="7" width="14" style="480" hidden="1" customWidth="1"/>
    <col min="8" max="8" width="14.85546875" style="480" hidden="1" customWidth="1"/>
    <col min="9" max="9" width="14.5703125" style="480" hidden="1" customWidth="1"/>
    <col min="10" max="10" width="15" style="480" hidden="1" customWidth="1"/>
    <col min="11" max="11" width="14.7109375" style="480" hidden="1" customWidth="1"/>
    <col min="12" max="12" width="14.28515625" style="480" hidden="1" customWidth="1"/>
    <col min="13" max="13" width="13.7109375" style="480" hidden="1" customWidth="1"/>
    <col min="14" max="14" width="13.28515625" style="480" hidden="1" customWidth="1"/>
    <col min="15" max="15" width="12.85546875" style="480" hidden="1" customWidth="1"/>
    <col min="16" max="26" width="11.85546875" style="480" customWidth="1"/>
    <col min="27" max="27" width="11.85546875" style="541" customWidth="1"/>
    <col min="28" max="29" width="11.85546875" style="481" customWidth="1"/>
    <col min="30" max="62" width="11.85546875" style="480" customWidth="1"/>
    <col min="63" max="63" width="13.28515625" style="480" bestFit="1" customWidth="1"/>
    <col min="64" max="65" width="11.85546875" style="480" customWidth="1"/>
    <col min="66" max="66" width="13" style="480" customWidth="1"/>
    <col min="67" max="76" width="11.85546875" style="480" customWidth="1"/>
    <col min="77" max="77" width="10" style="480" bestFit="1" customWidth="1"/>
    <col min="78" max="78" width="12.140625" style="480" customWidth="1"/>
    <col min="79" max="79" width="10.85546875" style="480" customWidth="1"/>
    <col min="80" max="80" width="12" style="480" customWidth="1"/>
    <col min="81" max="81" width="11.7109375" style="480" customWidth="1"/>
    <col min="82" max="82" width="12.140625" style="480" customWidth="1"/>
    <col min="83" max="83" width="10.5703125" style="480" customWidth="1"/>
    <col min="84" max="84" width="11.85546875" style="480" customWidth="1"/>
    <col min="85" max="85" width="13.28515625" style="480" customWidth="1"/>
    <col min="86" max="86" width="12.42578125" style="480" customWidth="1"/>
    <col min="87" max="87" width="11.7109375" style="480" bestFit="1" customWidth="1"/>
    <col min="88" max="88" width="12.5703125" style="480" customWidth="1"/>
    <col min="89" max="89" width="12.5703125" style="482" customWidth="1"/>
    <col min="90" max="90" width="11.42578125" style="480" bestFit="1" customWidth="1"/>
    <col min="91" max="92" width="11.140625" style="480" customWidth="1"/>
    <col min="93" max="93" width="10" style="480" bestFit="1" customWidth="1"/>
    <col min="94" max="94" width="15" style="480" customWidth="1"/>
    <col min="95" max="95" width="10.85546875" style="480" customWidth="1"/>
    <col min="96" max="96" width="11.42578125" style="480" bestFit="1" customWidth="1"/>
    <col min="97" max="97" width="11.140625" style="480" bestFit="1" customWidth="1"/>
    <col min="98" max="98" width="10.140625" style="480" bestFit="1" customWidth="1"/>
    <col min="99" max="99" width="11.5703125" style="480" customWidth="1"/>
    <col min="100" max="101" width="11.42578125" style="480" bestFit="1" customWidth="1"/>
    <col min="102" max="102" width="11.85546875" style="482" customWidth="1"/>
    <col min="103" max="103" width="11.85546875" style="480" customWidth="1"/>
    <col min="104" max="104" width="8.42578125" style="480" bestFit="1" customWidth="1"/>
    <col min="105" max="105" width="9" style="480" bestFit="1" customWidth="1"/>
    <col min="106" max="108" width="8.42578125" style="480" bestFit="1" customWidth="1"/>
    <col min="109" max="109" width="10.140625" style="480" bestFit="1" customWidth="1"/>
    <col min="110" max="110" width="10.7109375" style="480" bestFit="1" customWidth="1"/>
    <col min="111" max="112" width="8.42578125" style="480" bestFit="1" customWidth="1"/>
    <col min="113" max="113" width="9.140625" style="480" bestFit="1" customWidth="1"/>
    <col min="114" max="114" width="7.28515625" style="480" bestFit="1" customWidth="1"/>
    <col min="115" max="115" width="10.140625" style="482" bestFit="1" customWidth="1"/>
    <col min="116" max="127" width="10.7109375" style="480"/>
    <col min="128" max="128" width="11.85546875" style="482" customWidth="1"/>
    <col min="129" max="16384" width="10.7109375" style="480"/>
  </cols>
  <sheetData>
    <row r="1" spans="2:128" ht="7.5" customHeight="1">
      <c r="AA1" s="480"/>
    </row>
    <row r="2" spans="2:128" ht="15" customHeight="1">
      <c r="C2" s="970">
        <v>2018</v>
      </c>
      <c r="D2" s="970"/>
      <c r="E2" s="970"/>
      <c r="F2" s="970"/>
      <c r="G2" s="970"/>
      <c r="H2" s="970"/>
      <c r="I2" s="970"/>
      <c r="J2" s="970"/>
      <c r="K2" s="970"/>
      <c r="L2" s="970"/>
      <c r="M2" s="970"/>
      <c r="N2" s="970"/>
      <c r="P2" s="483">
        <v>2019</v>
      </c>
      <c r="Q2" s="484"/>
      <c r="R2" s="484"/>
      <c r="S2" s="484"/>
      <c r="T2" s="484"/>
      <c r="U2" s="484"/>
      <c r="V2" s="484"/>
      <c r="W2" s="484"/>
      <c r="X2" s="484"/>
      <c r="Y2" s="484"/>
      <c r="Z2" s="484"/>
      <c r="AA2" s="484"/>
      <c r="AC2" s="485">
        <v>2020</v>
      </c>
      <c r="AD2" s="484"/>
      <c r="AE2" s="484"/>
      <c r="AF2" s="484"/>
      <c r="AG2" s="484"/>
      <c r="AH2" s="484"/>
      <c r="AI2" s="484"/>
      <c r="AJ2" s="484"/>
      <c r="AL2" s="483" t="s">
        <v>121</v>
      </c>
      <c r="AM2" s="484"/>
      <c r="AN2" s="484"/>
      <c r="AO2" s="484"/>
      <c r="AP2" s="486"/>
      <c r="AQ2" s="484"/>
      <c r="AR2" s="484"/>
      <c r="AS2" s="484"/>
      <c r="AT2" s="484"/>
      <c r="AU2" s="484"/>
      <c r="AV2" s="484"/>
      <c r="AW2" s="484"/>
      <c r="AY2" s="486" t="s">
        <v>122</v>
      </c>
      <c r="AZ2" s="486"/>
      <c r="BA2" s="486"/>
      <c r="BB2" s="486"/>
      <c r="BC2" s="486"/>
      <c r="BD2" s="486"/>
      <c r="BE2" s="486"/>
      <c r="BF2" s="486"/>
      <c r="BG2" s="486"/>
      <c r="BH2" s="486"/>
      <c r="BI2" s="486"/>
      <c r="BJ2" s="486"/>
      <c r="BL2" s="487" t="s">
        <v>123</v>
      </c>
      <c r="BM2" s="487"/>
      <c r="BN2" s="487"/>
      <c r="BO2" s="487"/>
      <c r="BP2" s="487"/>
      <c r="BQ2" s="487"/>
      <c r="BR2" s="487"/>
      <c r="BS2" s="487"/>
      <c r="BT2" s="487"/>
      <c r="BU2" s="487"/>
      <c r="BV2" s="487"/>
      <c r="BW2" s="487"/>
      <c r="BY2" s="971" t="s">
        <v>124</v>
      </c>
      <c r="BZ2" s="971"/>
      <c r="CA2" s="971"/>
      <c r="CB2" s="971"/>
      <c r="CC2" s="971"/>
      <c r="CD2" s="971"/>
      <c r="CE2" s="971"/>
      <c r="CF2" s="971"/>
      <c r="CG2" s="971"/>
      <c r="CH2" s="971"/>
      <c r="CI2" s="971"/>
      <c r="CJ2" s="971"/>
      <c r="CL2" s="971" t="s">
        <v>344</v>
      </c>
      <c r="CM2" s="971"/>
      <c r="CN2" s="971"/>
      <c r="CO2" s="971"/>
      <c r="CP2" s="971"/>
      <c r="CQ2" s="971"/>
      <c r="CR2" s="971"/>
      <c r="CS2" s="971"/>
      <c r="CT2" s="971"/>
      <c r="CU2" s="971"/>
      <c r="CV2" s="971"/>
      <c r="CW2" s="971"/>
      <c r="CY2" s="971" t="s">
        <v>466</v>
      </c>
      <c r="CZ2" s="971"/>
      <c r="DA2" s="971"/>
      <c r="DB2" s="971"/>
      <c r="DC2" s="971"/>
      <c r="DD2" s="971"/>
      <c r="DE2" s="971"/>
      <c r="DF2" s="971"/>
      <c r="DG2" s="971"/>
      <c r="DH2" s="971"/>
      <c r="DI2" s="971"/>
      <c r="DJ2" s="971"/>
      <c r="DL2" s="971" t="s">
        <v>539</v>
      </c>
      <c r="DM2" s="971"/>
      <c r="DN2" s="971"/>
      <c r="DO2" s="971"/>
      <c r="DP2" s="971"/>
      <c r="DQ2" s="971"/>
      <c r="DR2" s="971"/>
      <c r="DS2" s="971"/>
      <c r="DT2" s="971"/>
      <c r="DU2" s="971"/>
      <c r="DV2" s="971"/>
      <c r="DW2" s="971"/>
    </row>
    <row r="3" spans="2:128" ht="15">
      <c r="B3" s="488" t="s">
        <v>125</v>
      </c>
      <c r="C3" s="489" t="s">
        <v>126</v>
      </c>
      <c r="D3" s="489" t="s">
        <v>127</v>
      </c>
      <c r="E3" s="489" t="s">
        <v>128</v>
      </c>
      <c r="F3" s="489" t="s">
        <v>129</v>
      </c>
      <c r="G3" s="489" t="s">
        <v>130</v>
      </c>
      <c r="H3" s="489" t="s">
        <v>131</v>
      </c>
      <c r="I3" s="489" t="s">
        <v>132</v>
      </c>
      <c r="J3" s="489" t="s">
        <v>133</v>
      </c>
      <c r="K3" s="489" t="s">
        <v>134</v>
      </c>
      <c r="L3" s="489" t="s">
        <v>135</v>
      </c>
      <c r="M3" s="489" t="s">
        <v>136</v>
      </c>
      <c r="N3" s="489" t="s">
        <v>137</v>
      </c>
      <c r="O3" s="490" t="s">
        <v>138</v>
      </c>
      <c r="P3" s="491" t="s">
        <v>126</v>
      </c>
      <c r="Q3" s="491" t="s">
        <v>127</v>
      </c>
      <c r="R3" s="491" t="s">
        <v>128</v>
      </c>
      <c r="S3" s="491" t="s">
        <v>129</v>
      </c>
      <c r="T3" s="491" t="s">
        <v>130</v>
      </c>
      <c r="U3" s="491" t="s">
        <v>131</v>
      </c>
      <c r="V3" s="491" t="s">
        <v>132</v>
      </c>
      <c r="W3" s="492" t="s">
        <v>133</v>
      </c>
      <c r="X3" s="491" t="s">
        <v>134</v>
      </c>
      <c r="Y3" s="491" t="s">
        <v>135</v>
      </c>
      <c r="Z3" s="491" t="s">
        <v>136</v>
      </c>
      <c r="AA3" s="491" t="s">
        <v>137</v>
      </c>
      <c r="AB3" s="493" t="s">
        <v>138</v>
      </c>
      <c r="AC3" s="494" t="s">
        <v>126</v>
      </c>
      <c r="AD3" s="491" t="s">
        <v>127</v>
      </c>
      <c r="AE3" s="491" t="s">
        <v>128</v>
      </c>
      <c r="AF3" s="491" t="s">
        <v>129</v>
      </c>
      <c r="AG3" s="491" t="s">
        <v>130</v>
      </c>
      <c r="AH3" s="491" t="s">
        <v>131</v>
      </c>
      <c r="AI3" s="491" t="s">
        <v>132</v>
      </c>
      <c r="AJ3" s="491" t="s">
        <v>133</v>
      </c>
      <c r="AK3" s="495" t="s">
        <v>138</v>
      </c>
      <c r="AL3" s="491" t="s">
        <v>134</v>
      </c>
      <c r="AM3" s="491" t="s">
        <v>135</v>
      </c>
      <c r="AN3" s="491" t="s">
        <v>136</v>
      </c>
      <c r="AO3" s="496" t="s">
        <v>137</v>
      </c>
      <c r="AP3" s="497" t="s">
        <v>126</v>
      </c>
      <c r="AQ3" s="491" t="s">
        <v>127</v>
      </c>
      <c r="AR3" s="491" t="s">
        <v>128</v>
      </c>
      <c r="AS3" s="491" t="s">
        <v>129</v>
      </c>
      <c r="AT3" s="491" t="s">
        <v>130</v>
      </c>
      <c r="AU3" s="491" t="s">
        <v>131</v>
      </c>
      <c r="AV3" s="491" t="s">
        <v>132</v>
      </c>
      <c r="AW3" s="491" t="s">
        <v>133</v>
      </c>
      <c r="AX3" s="495" t="s">
        <v>138</v>
      </c>
      <c r="AY3" s="498" t="s">
        <v>134</v>
      </c>
      <c r="AZ3" s="496" t="s">
        <v>135</v>
      </c>
      <c r="BA3" s="496" t="s">
        <v>136</v>
      </c>
      <c r="BB3" s="496" t="s">
        <v>137</v>
      </c>
      <c r="BC3" s="496" t="s">
        <v>126</v>
      </c>
      <c r="BD3" s="496" t="s">
        <v>127</v>
      </c>
      <c r="BE3" s="496" t="s">
        <v>128</v>
      </c>
      <c r="BF3" s="496" t="s">
        <v>129</v>
      </c>
      <c r="BG3" s="496" t="s">
        <v>130</v>
      </c>
      <c r="BH3" s="496" t="s">
        <v>131</v>
      </c>
      <c r="BI3" s="496" t="s">
        <v>132</v>
      </c>
      <c r="BJ3" s="499" t="s">
        <v>133</v>
      </c>
      <c r="BK3" s="495" t="s">
        <v>138</v>
      </c>
      <c r="BL3" s="498" t="s">
        <v>134</v>
      </c>
      <c r="BM3" s="496" t="s">
        <v>135</v>
      </c>
      <c r="BN3" s="496" t="s">
        <v>136</v>
      </c>
      <c r="BO3" s="496" t="s">
        <v>137</v>
      </c>
      <c r="BP3" s="496" t="s">
        <v>126</v>
      </c>
      <c r="BQ3" s="496" t="s">
        <v>127</v>
      </c>
      <c r="BR3" s="496" t="s">
        <v>128</v>
      </c>
      <c r="BS3" s="496" t="s">
        <v>129</v>
      </c>
      <c r="BT3" s="496" t="s">
        <v>130</v>
      </c>
      <c r="BU3" s="496" t="s">
        <v>131</v>
      </c>
      <c r="BV3" s="496" t="s">
        <v>132</v>
      </c>
      <c r="BW3" s="499" t="s">
        <v>133</v>
      </c>
      <c r="BX3" s="495" t="s">
        <v>138</v>
      </c>
      <c r="BY3" s="498" t="s">
        <v>134</v>
      </c>
      <c r="BZ3" s="496" t="s">
        <v>135</v>
      </c>
      <c r="CA3" s="496" t="s">
        <v>136</v>
      </c>
      <c r="CB3" s="496" t="s">
        <v>137</v>
      </c>
      <c r="CC3" s="496" t="s">
        <v>126</v>
      </c>
      <c r="CD3" s="496" t="s">
        <v>127</v>
      </c>
      <c r="CE3" s="496" t="s">
        <v>128</v>
      </c>
      <c r="CF3" s="496" t="s">
        <v>129</v>
      </c>
      <c r="CG3" s="496" t="s">
        <v>130</v>
      </c>
      <c r="CH3" s="496" t="s">
        <v>131</v>
      </c>
      <c r="CI3" s="496" t="s">
        <v>132</v>
      </c>
      <c r="CJ3" s="496" t="s">
        <v>133</v>
      </c>
      <c r="CK3" s="495" t="s">
        <v>138</v>
      </c>
      <c r="CL3" s="496" t="s">
        <v>134</v>
      </c>
      <c r="CM3" s="496" t="s">
        <v>135</v>
      </c>
      <c r="CN3" s="496" t="s">
        <v>136</v>
      </c>
      <c r="CO3" s="496" t="s">
        <v>137</v>
      </c>
      <c r="CP3" s="496" t="s">
        <v>126</v>
      </c>
      <c r="CQ3" s="496" t="s">
        <v>127</v>
      </c>
      <c r="CR3" s="496" t="s">
        <v>128</v>
      </c>
      <c r="CS3" s="496" t="s">
        <v>129</v>
      </c>
      <c r="CT3" s="496" t="s">
        <v>130</v>
      </c>
      <c r="CU3" s="496" t="s">
        <v>131</v>
      </c>
      <c r="CV3" s="496" t="s">
        <v>132</v>
      </c>
      <c r="CW3" s="499" t="s">
        <v>133</v>
      </c>
      <c r="CX3" s="495" t="s">
        <v>138</v>
      </c>
      <c r="CY3" s="496" t="s">
        <v>134</v>
      </c>
      <c r="CZ3" s="496" t="s">
        <v>135</v>
      </c>
      <c r="DA3" s="496" t="s">
        <v>136</v>
      </c>
      <c r="DB3" s="496" t="s">
        <v>137</v>
      </c>
      <c r="DC3" s="496" t="s">
        <v>126</v>
      </c>
      <c r="DD3" s="496" t="s">
        <v>127</v>
      </c>
      <c r="DE3" s="496" t="s">
        <v>128</v>
      </c>
      <c r="DF3" s="496" t="s">
        <v>129</v>
      </c>
      <c r="DG3" s="496" t="s">
        <v>130</v>
      </c>
      <c r="DH3" s="496" t="s">
        <v>131</v>
      </c>
      <c r="DI3" s="496" t="s">
        <v>132</v>
      </c>
      <c r="DJ3" s="499" t="s">
        <v>133</v>
      </c>
      <c r="DK3" s="495" t="s">
        <v>138</v>
      </c>
      <c r="DL3" s="496" t="s">
        <v>134</v>
      </c>
      <c r="DM3" s="496" t="s">
        <v>135</v>
      </c>
      <c r="DN3" s="496" t="s">
        <v>136</v>
      </c>
      <c r="DO3" s="496" t="s">
        <v>137</v>
      </c>
      <c r="DP3" s="496" t="s">
        <v>126</v>
      </c>
      <c r="DQ3" s="496" t="s">
        <v>127</v>
      </c>
      <c r="DR3" s="496" t="s">
        <v>128</v>
      </c>
      <c r="DS3" s="496" t="s">
        <v>129</v>
      </c>
      <c r="DT3" s="496" t="s">
        <v>130</v>
      </c>
      <c r="DU3" s="496" t="s">
        <v>131</v>
      </c>
      <c r="DV3" s="496" t="s">
        <v>132</v>
      </c>
      <c r="DW3" s="499" t="s">
        <v>133</v>
      </c>
      <c r="DX3" s="495" t="s">
        <v>138</v>
      </c>
    </row>
    <row r="4" spans="2:128" ht="15">
      <c r="B4" s="599" t="s">
        <v>139</v>
      </c>
      <c r="C4" s="512"/>
      <c r="D4" s="512"/>
      <c r="E4" s="512"/>
      <c r="F4" s="512"/>
      <c r="G4" s="512"/>
      <c r="H4" s="512"/>
      <c r="I4" s="512"/>
      <c r="J4" s="512"/>
      <c r="K4" s="512"/>
      <c r="L4" s="512"/>
      <c r="M4" s="512"/>
      <c r="N4" s="512"/>
      <c r="O4" s="600"/>
      <c r="P4" s="601">
        <f>SUM(P6:P87)</f>
        <v>50000</v>
      </c>
      <c r="Q4" s="507">
        <f t="shared" ref="Q4:CB4" si="0">SUM(Q6:Q87)</f>
        <v>40760</v>
      </c>
      <c r="R4" s="507">
        <f t="shared" si="0"/>
        <v>13612.5</v>
      </c>
      <c r="S4" s="507">
        <f t="shared" si="0"/>
        <v>22650</v>
      </c>
      <c r="T4" s="507">
        <f t="shared" si="0"/>
        <v>25462.7</v>
      </c>
      <c r="U4" s="507">
        <f t="shared" si="0"/>
        <v>9012.5</v>
      </c>
      <c r="V4" s="507">
        <f t="shared" si="0"/>
        <v>51853.17</v>
      </c>
      <c r="W4" s="507">
        <f t="shared" si="0"/>
        <v>24486.62</v>
      </c>
      <c r="X4" s="507">
        <f t="shared" si="0"/>
        <v>43965.75</v>
      </c>
      <c r="Y4" s="507">
        <f t="shared" si="0"/>
        <v>38625</v>
      </c>
      <c r="Z4" s="507">
        <f t="shared" si="0"/>
        <v>31087.8</v>
      </c>
      <c r="AA4" s="507">
        <f t="shared" si="0"/>
        <v>12778.32</v>
      </c>
      <c r="AB4" s="602">
        <f>SUM(P4:AA4)</f>
        <v>364294.36</v>
      </c>
      <c r="AC4" s="507">
        <f t="shared" si="0"/>
        <v>48220.83</v>
      </c>
      <c r="AD4" s="507">
        <f t="shared" si="0"/>
        <v>52830.32</v>
      </c>
      <c r="AE4" s="507">
        <f t="shared" si="0"/>
        <v>39000</v>
      </c>
      <c r="AF4" s="507">
        <f t="shared" si="0"/>
        <v>26074.41</v>
      </c>
      <c r="AG4" s="507">
        <f t="shared" si="0"/>
        <v>70790.354541806184</v>
      </c>
      <c r="AH4" s="507">
        <f t="shared" si="0"/>
        <v>42463.313956601516</v>
      </c>
      <c r="AI4" s="507">
        <f t="shared" si="0"/>
        <v>46654.299379738113</v>
      </c>
      <c r="AJ4" s="507">
        <f t="shared" si="0"/>
        <v>18500</v>
      </c>
      <c r="AK4" s="509">
        <f>SUM(AC4:AJ4)</f>
        <v>344533.5278781458</v>
      </c>
      <c r="AL4" s="507">
        <f t="shared" si="0"/>
        <v>56309.052006447782</v>
      </c>
      <c r="AM4" s="507">
        <f t="shared" si="0"/>
        <v>82185.933296646937</v>
      </c>
      <c r="AN4" s="507">
        <f t="shared" si="0"/>
        <v>38500</v>
      </c>
      <c r="AO4" s="507">
        <f t="shared" si="0"/>
        <v>11448.474985253117</v>
      </c>
      <c r="AP4" s="507">
        <f t="shared" si="0"/>
        <v>70203.845549151767</v>
      </c>
      <c r="AQ4" s="507">
        <f t="shared" si="0"/>
        <v>13376.867647058823</v>
      </c>
      <c r="AR4" s="507">
        <f t="shared" si="0"/>
        <v>42500</v>
      </c>
      <c r="AS4" s="507">
        <f t="shared" si="0"/>
        <v>12492.712584325809</v>
      </c>
      <c r="AT4" s="507">
        <f t="shared" si="0"/>
        <v>109982.24918983609</v>
      </c>
      <c r="AU4" s="507">
        <f t="shared" si="0"/>
        <v>1000</v>
      </c>
      <c r="AV4" s="507">
        <f t="shared" si="0"/>
        <v>82287.354210928868</v>
      </c>
      <c r="AW4" s="507">
        <f t="shared" si="0"/>
        <v>35872.237218813905</v>
      </c>
      <c r="AX4" s="603">
        <f>SUM(AL4:AW4)</f>
        <v>556158.72668846301</v>
      </c>
      <c r="AY4" s="507">
        <f t="shared" si="0"/>
        <v>100831.80325049446</v>
      </c>
      <c r="AZ4" s="507">
        <f t="shared" si="0"/>
        <v>59361.532273482611</v>
      </c>
      <c r="BA4" s="507">
        <f t="shared" si="0"/>
        <v>74138.986629134408</v>
      </c>
      <c r="BB4" s="507">
        <f t="shared" si="0"/>
        <v>645636.62873084762</v>
      </c>
      <c r="BC4" s="507">
        <f t="shared" si="0"/>
        <v>25471.577060931901</v>
      </c>
      <c r="BD4" s="507">
        <f t="shared" si="0"/>
        <v>34537.5</v>
      </c>
      <c r="BE4" s="507">
        <f t="shared" si="0"/>
        <v>73384.650098402301</v>
      </c>
      <c r="BF4" s="507">
        <f t="shared" si="0"/>
        <v>111695.32941711858</v>
      </c>
      <c r="BG4" s="507">
        <f t="shared" si="0"/>
        <v>633946.49053034326</v>
      </c>
      <c r="BH4" s="507">
        <f t="shared" si="0"/>
        <v>211205.20767274898</v>
      </c>
      <c r="BI4" s="507">
        <f t="shared" si="0"/>
        <v>39751.922447855999</v>
      </c>
      <c r="BJ4" s="507">
        <f t="shared" si="0"/>
        <v>66010.789602746445</v>
      </c>
      <c r="BK4" s="509">
        <f>SUM(AY4:BJ4)</f>
        <v>2075972.4177141066</v>
      </c>
      <c r="BL4" s="507">
        <f t="shared" si="0"/>
        <v>34000</v>
      </c>
      <c r="BM4" s="507">
        <f t="shared" si="0"/>
        <v>17243.254465316386</v>
      </c>
      <c r="BN4" s="507">
        <f t="shared" si="0"/>
        <v>-611998.30381885881</v>
      </c>
      <c r="BO4" s="507">
        <f t="shared" si="0"/>
        <v>45630.575061681535</v>
      </c>
      <c r="BP4" s="507">
        <f t="shared" si="0"/>
        <v>116325.44388330603</v>
      </c>
      <c r="BQ4" s="507">
        <f t="shared" si="0"/>
        <v>49058.561761513833</v>
      </c>
      <c r="BR4" s="507">
        <f t="shared" si="0"/>
        <v>129337.52916399957</v>
      </c>
      <c r="BS4" s="507">
        <f t="shared" si="0"/>
        <v>104496.17435192192</v>
      </c>
      <c r="BT4" s="507">
        <f t="shared" si="0"/>
        <v>0</v>
      </c>
      <c r="BU4" s="507">
        <f t="shared" si="0"/>
        <v>16815.793078257695</v>
      </c>
      <c r="BV4" s="507">
        <f t="shared" si="0"/>
        <v>28708.009611376219</v>
      </c>
      <c r="BW4" s="507">
        <f t="shared" si="0"/>
        <v>61273.33</v>
      </c>
      <c r="BX4" s="509">
        <f>SUM(BL4:BW4)</f>
        <v>-9109.6324414856063</v>
      </c>
      <c r="BY4" s="507">
        <f t="shared" si="0"/>
        <v>32688.785571890112</v>
      </c>
      <c r="BZ4" s="507">
        <f t="shared" si="0"/>
        <v>79900.912261431615</v>
      </c>
      <c r="CA4" s="507">
        <f t="shared" si="0"/>
        <v>42825.233160954318</v>
      </c>
      <c r="CB4" s="507">
        <f t="shared" si="0"/>
        <v>43500</v>
      </c>
      <c r="CC4" s="507">
        <f t="shared" ref="CC4:CJ4" si="1">SUM(CC6:CC87)</f>
        <v>79921.479217415268</v>
      </c>
      <c r="CD4" s="507">
        <f t="shared" si="1"/>
        <v>63280.332780564167</v>
      </c>
      <c r="CE4" s="507">
        <f t="shared" si="1"/>
        <v>4535.438854204921</v>
      </c>
      <c r="CF4" s="507">
        <f t="shared" si="1"/>
        <v>45892.355075451473</v>
      </c>
      <c r="CG4" s="507">
        <f t="shared" si="1"/>
        <v>108333.76007087689</v>
      </c>
      <c r="CH4" s="507">
        <f>SUM(CH6:CH87)</f>
        <v>101014.15408184435</v>
      </c>
      <c r="CI4" s="507">
        <f>SUM(CI6:CI87)</f>
        <v>75046.283552465233</v>
      </c>
      <c r="CJ4" s="604">
        <f t="shared" si="1"/>
        <v>137858.47985247819</v>
      </c>
      <c r="CK4" s="509">
        <f>SUM(BY4:CJ4)</f>
        <v>814797.21447957656</v>
      </c>
      <c r="CL4" s="604">
        <f t="shared" ref="CL4:DW4" si="2">SUM(CL6:CL87)</f>
        <v>65669.890952986083</v>
      </c>
      <c r="CM4" s="604">
        <f t="shared" si="2"/>
        <v>52521.327212439457</v>
      </c>
      <c r="CN4" s="604">
        <f>SUM(CN6:CN87)</f>
        <v>72545.538286234194</v>
      </c>
      <c r="CO4" s="604">
        <f t="shared" si="2"/>
        <v>44296.859320158386</v>
      </c>
      <c r="CP4" s="604">
        <f>SUM(CP6:CP87)</f>
        <v>69295.907012320604</v>
      </c>
      <c r="CQ4" s="604">
        <f>SUM(CQ6:CQ87)</f>
        <v>188415.02618714329</v>
      </c>
      <c r="CR4" s="604">
        <f t="shared" si="2"/>
        <v>49942.355315050903</v>
      </c>
      <c r="CS4" s="604">
        <f t="shared" si="2"/>
        <v>40241.074077543832</v>
      </c>
      <c r="CT4" s="604">
        <f t="shared" si="2"/>
        <v>99235.350345033803</v>
      </c>
      <c r="CU4" s="604">
        <f>SUM(CU6:CU87)</f>
        <v>-29929.392250704434</v>
      </c>
      <c r="CV4" s="604">
        <f t="shared" si="2"/>
        <v>55421.84554053341</v>
      </c>
      <c r="CW4" s="604">
        <f t="shared" si="2"/>
        <v>30794.444444444445</v>
      </c>
      <c r="CX4" s="509">
        <f>SUM(CL4:CW4)</f>
        <v>738450.22644318396</v>
      </c>
      <c r="CY4" s="604">
        <f>SUM(CY6:CY87)</f>
        <v>-15753.245082904781</v>
      </c>
      <c r="CZ4" s="604">
        <f t="shared" si="2"/>
        <v>36809.702226409659</v>
      </c>
      <c r="DA4" s="604">
        <f t="shared" si="2"/>
        <v>0</v>
      </c>
      <c r="DB4" s="604">
        <f t="shared" si="2"/>
        <v>89440.957446808505</v>
      </c>
      <c r="DC4" s="604">
        <f t="shared" si="2"/>
        <v>36250</v>
      </c>
      <c r="DD4" s="604">
        <f>SUM(DD6:DD87)</f>
        <v>55522.949235101973</v>
      </c>
      <c r="DE4" s="604">
        <f>SUM(DE6:DE87)</f>
        <v>154869.2988067246</v>
      </c>
      <c r="DF4" s="604">
        <f t="shared" si="2"/>
        <v>94488.449320374493</v>
      </c>
      <c r="DG4" s="604">
        <f t="shared" si="2"/>
        <v>268251.49464376806</v>
      </c>
      <c r="DH4" s="604">
        <f t="shared" si="2"/>
        <v>290500.04347826086</v>
      </c>
      <c r="DI4" s="604">
        <f t="shared" si="2"/>
        <v>189391.34956521742</v>
      </c>
      <c r="DJ4" s="604">
        <f t="shared" si="2"/>
        <v>70413.043478260865</v>
      </c>
      <c r="DK4" s="509">
        <f>SUM(CY4:DJ4)</f>
        <v>1270184.0431180219</v>
      </c>
      <c r="DL4" s="604">
        <f t="shared" si="2"/>
        <v>19617.391304347824</v>
      </c>
      <c r="DM4" s="604">
        <f t="shared" si="2"/>
        <v>82293.972332015808</v>
      </c>
      <c r="DN4" s="604">
        <f t="shared" si="2"/>
        <v>42108.300395256912</v>
      </c>
      <c r="DO4" s="604">
        <f t="shared" si="2"/>
        <v>10617.391304347826</v>
      </c>
      <c r="DP4" s="604">
        <f t="shared" si="2"/>
        <v>138385.77075098813</v>
      </c>
      <c r="DQ4" s="604">
        <f t="shared" si="2"/>
        <v>72700</v>
      </c>
      <c r="DR4" s="604">
        <f t="shared" si="2"/>
        <v>14999.999999999998</v>
      </c>
      <c r="DS4" s="604">
        <f t="shared" si="2"/>
        <v>112272.72727272726</v>
      </c>
      <c r="DT4" s="604">
        <f t="shared" si="2"/>
        <v>22272.727272727272</v>
      </c>
      <c r="DU4" s="604">
        <f t="shared" si="2"/>
        <v>58000</v>
      </c>
      <c r="DV4" s="604">
        <f t="shared" si="2"/>
        <v>63100</v>
      </c>
      <c r="DW4" s="604">
        <f t="shared" si="2"/>
        <v>38395.65217391304</v>
      </c>
      <c r="DX4" s="506">
        <f>SUM(DL4:DW4)</f>
        <v>674763.93280632421</v>
      </c>
    </row>
    <row r="5" spans="2:128" ht="15">
      <c r="B5" s="560" t="s">
        <v>140</v>
      </c>
      <c r="C5" s="512"/>
      <c r="D5" s="512"/>
      <c r="E5" s="512"/>
      <c r="F5" s="512"/>
      <c r="G5" s="512"/>
      <c r="H5" s="512"/>
      <c r="I5" s="512"/>
      <c r="J5" s="512"/>
      <c r="K5" s="512"/>
      <c r="L5" s="512"/>
      <c r="M5" s="512"/>
      <c r="N5" s="512"/>
      <c r="O5" s="514"/>
      <c r="P5" s="534"/>
      <c r="Q5" s="534"/>
      <c r="R5" s="534"/>
      <c r="S5" s="534"/>
      <c r="T5" s="534"/>
      <c r="U5" s="534"/>
      <c r="V5" s="534"/>
      <c r="W5" s="544"/>
      <c r="X5" s="525"/>
      <c r="Y5" s="525"/>
      <c r="Z5" s="525"/>
      <c r="AA5" s="525"/>
      <c r="AB5" s="605"/>
      <c r="AC5" s="606"/>
      <c r="AD5" s="525"/>
      <c r="AE5" s="525"/>
      <c r="AF5" s="544"/>
      <c r="AG5" s="525"/>
      <c r="AH5" s="525"/>
      <c r="AI5" s="525"/>
      <c r="AJ5" s="525"/>
      <c r="AK5" s="607">
        <f>SUM(AC5:AJ5)</f>
        <v>0</v>
      </c>
      <c r="AL5" s="525"/>
      <c r="AM5" s="525"/>
      <c r="AN5" s="525"/>
      <c r="AO5" s="525"/>
      <c r="AP5" s="525"/>
      <c r="AQ5" s="525"/>
      <c r="AR5" s="533"/>
      <c r="AS5" s="533"/>
      <c r="AT5" s="533"/>
      <c r="AU5" s="533"/>
      <c r="AV5" s="533"/>
      <c r="AW5" s="533"/>
      <c r="AX5" s="528"/>
      <c r="AY5" s="606"/>
      <c r="AZ5" s="525"/>
      <c r="BA5" s="526"/>
      <c r="BB5" s="525"/>
      <c r="BC5" s="525"/>
      <c r="BD5" s="525"/>
      <c r="BE5" s="525"/>
      <c r="BF5" s="525"/>
      <c r="BG5" s="525"/>
      <c r="BH5" s="525"/>
      <c r="BI5" s="525"/>
      <c r="BJ5" s="608"/>
      <c r="BK5" s="528"/>
      <c r="BL5" s="606"/>
      <c r="BM5" s="525"/>
      <c r="BN5" s="526"/>
      <c r="BO5" s="525"/>
      <c r="BP5" s="525"/>
      <c r="BQ5" s="526"/>
      <c r="BR5" s="525"/>
      <c r="BS5" s="525"/>
      <c r="BT5" s="525"/>
      <c r="BU5" s="525"/>
      <c r="BV5" s="525"/>
      <c r="BW5" s="608"/>
      <c r="BX5" s="528"/>
      <c r="BY5" s="525"/>
      <c r="BZ5" s="525"/>
      <c r="CA5" s="525"/>
      <c r="CB5" s="525"/>
      <c r="CC5" s="525"/>
      <c r="CD5" s="525"/>
      <c r="CE5" s="525"/>
      <c r="CF5" s="525"/>
      <c r="CG5" s="525"/>
      <c r="CH5" s="525"/>
      <c r="CI5" s="525"/>
      <c r="CJ5" s="525"/>
      <c r="CK5" s="528"/>
      <c r="CL5" s="526"/>
      <c r="CM5" s="525"/>
      <c r="CN5" s="526"/>
      <c r="CO5" s="525"/>
      <c r="CP5" s="525"/>
      <c r="CQ5" s="525"/>
      <c r="CR5" s="525"/>
      <c r="CS5" s="525"/>
      <c r="CT5" s="525"/>
      <c r="CU5" s="525"/>
      <c r="CV5" s="525"/>
      <c r="CW5" s="525"/>
      <c r="CX5" s="528"/>
      <c r="CY5" s="541"/>
      <c r="CZ5" s="541"/>
      <c r="DA5" s="541"/>
      <c r="DB5" s="541"/>
      <c r="DC5" s="541"/>
      <c r="DD5" s="541"/>
      <c r="DE5" s="541"/>
      <c r="DF5" s="541"/>
      <c r="DG5" s="541"/>
      <c r="DK5" s="528"/>
      <c r="DX5" s="519"/>
    </row>
    <row r="6" spans="2:128" ht="15">
      <c r="B6" s="480" t="s">
        <v>141</v>
      </c>
      <c r="C6" s="512">
        <v>15000</v>
      </c>
      <c r="D6" s="512"/>
      <c r="E6" s="512"/>
      <c r="F6" s="512"/>
      <c r="G6" s="512"/>
      <c r="H6" s="512"/>
      <c r="I6" s="512"/>
      <c r="J6" s="512"/>
      <c r="K6" s="512"/>
      <c r="L6" s="512"/>
      <c r="M6" s="512"/>
      <c r="N6" s="512"/>
      <c r="O6" s="514">
        <f t="shared" ref="O6:O86" si="3">SUM(C6:N6)</f>
        <v>15000</v>
      </c>
      <c r="P6" s="534"/>
      <c r="Q6" s="534">
        <v>15000</v>
      </c>
      <c r="R6" s="534"/>
      <c r="S6" s="534"/>
      <c r="T6" s="534"/>
      <c r="U6" s="534"/>
      <c r="V6" s="534"/>
      <c r="W6" s="544"/>
      <c r="X6" s="525"/>
      <c r="Y6" s="525"/>
      <c r="Z6" s="525"/>
      <c r="AA6" s="525"/>
      <c r="AB6" s="605">
        <f t="shared" ref="AB6:AB87" si="4">SUM(P6:AA6)</f>
        <v>15000</v>
      </c>
      <c r="AC6" s="609">
        <v>15000</v>
      </c>
      <c r="AD6" s="534"/>
      <c r="AE6" s="534"/>
      <c r="AF6" s="534"/>
      <c r="AG6" s="534"/>
      <c r="AH6" s="534"/>
      <c r="AI6" s="534"/>
      <c r="AJ6" s="534"/>
      <c r="AK6" s="607">
        <f>SUM(AC6:AJ6)</f>
        <v>15000</v>
      </c>
      <c r="AL6" s="525"/>
      <c r="AM6" s="525"/>
      <c r="AN6" s="533"/>
      <c r="AO6" s="533"/>
      <c r="AP6" s="544">
        <v>15000</v>
      </c>
      <c r="AQ6" s="525"/>
      <c r="AR6" s="533"/>
      <c r="AS6" s="533"/>
      <c r="AT6" s="533"/>
      <c r="AU6" s="533"/>
      <c r="AV6" s="533"/>
      <c r="AW6" s="533"/>
      <c r="AX6" s="528">
        <f t="shared" ref="AX6:AX26" si="5">SUM(AL6:AW6)</f>
        <v>15000</v>
      </c>
      <c r="AY6" s="606"/>
      <c r="AZ6" s="525"/>
      <c r="BA6" s="526"/>
      <c r="BB6" s="525"/>
      <c r="BC6" s="544">
        <v>15000</v>
      </c>
      <c r="BD6" s="525"/>
      <c r="BE6" s="525"/>
      <c r="BF6" s="525"/>
      <c r="BG6" s="525"/>
      <c r="BH6" s="525"/>
      <c r="BI6" s="525"/>
      <c r="BJ6" s="608"/>
      <c r="BK6" s="528">
        <f>SUM(AY6:BJ6)</f>
        <v>15000</v>
      </c>
      <c r="BL6" s="606"/>
      <c r="BM6" s="525"/>
      <c r="BN6" s="526"/>
      <c r="BO6" s="525"/>
      <c r="BP6" s="525"/>
      <c r="BQ6" s="526"/>
      <c r="BR6" s="544">
        <v>15000</v>
      </c>
      <c r="BS6" s="525"/>
      <c r="BT6" s="525"/>
      <c r="BU6" s="525"/>
      <c r="BV6" s="525"/>
      <c r="BW6" s="608"/>
      <c r="BX6" s="528">
        <f>SUM(BL6:BW6)</f>
        <v>15000</v>
      </c>
      <c r="BY6" s="525"/>
      <c r="BZ6" s="525"/>
      <c r="CA6" s="525"/>
      <c r="CB6" s="525"/>
      <c r="CC6" s="544">
        <v>15000</v>
      </c>
      <c r="CD6" s="525"/>
      <c r="CE6" s="525"/>
      <c r="CF6" s="525"/>
      <c r="CG6" s="525"/>
      <c r="CH6" s="525"/>
      <c r="CI6" s="525"/>
      <c r="CJ6" s="525"/>
      <c r="CK6" s="528">
        <f t="shared" ref="CK6:CK82" si="6">SUM(BY6:CJ6)</f>
        <v>15000</v>
      </c>
      <c r="CL6" s="526"/>
      <c r="CM6" s="525"/>
      <c r="CN6" s="526"/>
      <c r="CO6" s="525"/>
      <c r="CP6" s="544">
        <v>16000</v>
      </c>
      <c r="CQ6" s="541"/>
      <c r="CR6" s="525"/>
      <c r="CS6" s="525"/>
      <c r="CT6" s="525"/>
      <c r="CU6" s="525"/>
      <c r="CV6" s="525"/>
      <c r="CW6" s="525"/>
      <c r="CX6" s="528">
        <f>SUM(CL6:CW6)</f>
        <v>16000</v>
      </c>
      <c r="CY6" s="881"/>
      <c r="CZ6" s="541"/>
      <c r="DA6" s="541"/>
      <c r="DB6" s="880"/>
      <c r="DC6" s="541"/>
      <c r="DD6" s="541"/>
      <c r="DE6" s="544">
        <v>16000</v>
      </c>
      <c r="DF6" s="880"/>
      <c r="DG6" s="880"/>
      <c r="DH6" s="552"/>
      <c r="DI6" s="552"/>
      <c r="DJ6" s="552"/>
      <c r="DK6" s="528">
        <f>SUM(CY6:DJ6)</f>
        <v>16000</v>
      </c>
      <c r="DL6" s="611"/>
      <c r="DO6" s="552"/>
      <c r="DP6" s="536">
        <v>15000</v>
      </c>
      <c r="DQ6" s="552"/>
      <c r="DR6" s="552"/>
      <c r="DS6" s="552"/>
      <c r="DT6" s="552"/>
      <c r="DU6" s="552"/>
      <c r="DV6" s="552"/>
      <c r="DW6" s="552"/>
      <c r="DX6" s="519">
        <f>SUM(DL6:DW6)</f>
        <v>15000</v>
      </c>
    </row>
    <row r="7" spans="2:128" ht="15">
      <c r="B7" s="480" t="s">
        <v>13</v>
      </c>
      <c r="C7" s="512"/>
      <c r="D7" s="512">
        <v>35000</v>
      </c>
      <c r="E7" s="512"/>
      <c r="F7" s="512"/>
      <c r="G7" s="512"/>
      <c r="H7" s="512"/>
      <c r="I7" s="512"/>
      <c r="J7" s="512"/>
      <c r="K7" s="512"/>
      <c r="L7" s="512"/>
      <c r="M7" s="512"/>
      <c r="N7" s="512"/>
      <c r="O7" s="514">
        <f t="shared" si="3"/>
        <v>35000</v>
      </c>
      <c r="P7" s="534">
        <v>40000</v>
      </c>
      <c r="Q7" s="534"/>
      <c r="R7" s="534"/>
      <c r="S7" s="534"/>
      <c r="T7" s="534"/>
      <c r="U7" s="534"/>
      <c r="V7" s="534"/>
      <c r="W7" s="544"/>
      <c r="X7" s="525"/>
      <c r="Y7" s="525"/>
      <c r="Z7" s="525"/>
      <c r="AA7" s="525"/>
      <c r="AB7" s="605">
        <f t="shared" si="4"/>
        <v>40000</v>
      </c>
      <c r="AC7" s="613"/>
      <c r="AD7" s="534">
        <v>40000</v>
      </c>
      <c r="AE7" s="534"/>
      <c r="AF7" s="534"/>
      <c r="AG7" s="534"/>
      <c r="AH7" s="534"/>
      <c r="AI7" s="534"/>
      <c r="AJ7" s="534"/>
      <c r="AK7" s="607">
        <f t="shared" ref="AK7:AK87" si="7">SUM(AC7:AJ7)</f>
        <v>40000</v>
      </c>
      <c r="AL7" s="525"/>
      <c r="AM7" s="525"/>
      <c r="AN7" s="533"/>
      <c r="AO7" s="533"/>
      <c r="AP7" s="534">
        <v>40000</v>
      </c>
      <c r="AQ7" s="525"/>
      <c r="AR7" s="533"/>
      <c r="AS7" s="533"/>
      <c r="AT7" s="533"/>
      <c r="AU7" s="533"/>
      <c r="AV7" s="533"/>
      <c r="AW7" s="533"/>
      <c r="AX7" s="528">
        <f t="shared" si="5"/>
        <v>40000</v>
      </c>
      <c r="AY7" s="614"/>
      <c r="AZ7" s="533"/>
      <c r="BA7" s="535"/>
      <c r="BB7" s="533"/>
      <c r="BC7" s="525"/>
      <c r="BD7" s="525"/>
      <c r="BE7" s="544">
        <f>40000+10000</f>
        <v>50000</v>
      </c>
      <c r="BF7" s="525"/>
      <c r="BG7" s="525"/>
      <c r="BH7" s="525"/>
      <c r="BI7" s="525"/>
      <c r="BJ7" s="608"/>
      <c r="BK7" s="528">
        <f t="shared" ref="BK7:BK10" si="8">SUM(AY7:BJ7)</f>
        <v>50000</v>
      </c>
      <c r="BL7" s="614"/>
      <c r="BM7" s="533"/>
      <c r="BN7" s="535"/>
      <c r="BO7" s="533"/>
      <c r="BP7" s="544">
        <f>40000</f>
        <v>40000</v>
      </c>
      <c r="BQ7" s="526"/>
      <c r="BR7" s="533"/>
      <c r="BS7" s="525"/>
      <c r="BT7" s="525"/>
      <c r="BU7" s="525"/>
      <c r="BV7" s="525"/>
      <c r="BW7" s="608"/>
      <c r="BX7" s="528">
        <f t="shared" ref="BX7:BX87" si="9">SUM(BL7:BW7)</f>
        <v>40000</v>
      </c>
      <c r="BY7" s="525"/>
      <c r="BZ7" s="525"/>
      <c r="CA7" s="525"/>
      <c r="CB7" s="525"/>
      <c r="CC7" s="544">
        <f>41500</f>
        <v>41500</v>
      </c>
      <c r="CD7" s="544">
        <f>4200</f>
        <v>4200</v>
      </c>
      <c r="CE7" s="563"/>
      <c r="CF7" s="525"/>
      <c r="CG7" s="525"/>
      <c r="CH7" s="525"/>
      <c r="CI7" s="525"/>
      <c r="CJ7" s="525"/>
      <c r="CK7" s="528">
        <f t="shared" si="6"/>
        <v>45700</v>
      </c>
      <c r="CL7" s="526"/>
      <c r="CM7" s="525"/>
      <c r="CN7" s="526"/>
      <c r="CO7" s="525"/>
      <c r="CP7" s="544">
        <v>41500</v>
      </c>
      <c r="CQ7" s="619"/>
      <c r="CR7" s="525"/>
      <c r="CS7" s="544">
        <v>4400</v>
      </c>
      <c r="CT7" s="525"/>
      <c r="CU7" s="525"/>
      <c r="CV7" s="525"/>
      <c r="CW7" s="525"/>
      <c r="CX7" s="528">
        <f t="shared" ref="CX7:CX83" si="10">SUM(CL7:CW7)</f>
        <v>45900</v>
      </c>
      <c r="CY7" s="881"/>
      <c r="CZ7" s="541"/>
      <c r="DA7" s="541"/>
      <c r="DB7" s="880"/>
      <c r="DC7" s="541"/>
      <c r="DD7" s="541"/>
      <c r="DE7" s="544">
        <v>42300</v>
      </c>
      <c r="DF7" s="544">
        <v>8500</v>
      </c>
      <c r="DG7" s="880"/>
      <c r="DI7" s="572">
        <v>4400</v>
      </c>
      <c r="DJ7" s="552"/>
      <c r="DK7" s="528">
        <f t="shared" ref="DK7:DK83" si="11">SUM(CY7:DJ7)</f>
        <v>55200</v>
      </c>
      <c r="DL7" s="611"/>
      <c r="DO7" s="552"/>
      <c r="DP7" s="572">
        <v>42300</v>
      </c>
      <c r="DQ7" s="552"/>
      <c r="DR7" s="552"/>
      <c r="DS7" s="552"/>
      <c r="DT7" s="552"/>
      <c r="DU7" s="552"/>
      <c r="DV7" s="552"/>
      <c r="DW7" s="552"/>
      <c r="DX7" s="519">
        <f t="shared" ref="DX7:DX83" si="12">SUM(DL7:DW7)</f>
        <v>42300</v>
      </c>
    </row>
    <row r="8" spans="2:128" ht="15">
      <c r="B8" s="480" t="s">
        <v>16</v>
      </c>
      <c r="C8" s="512"/>
      <c r="D8" s="512"/>
      <c r="E8" s="512">
        <v>15000</v>
      </c>
      <c r="F8" s="512"/>
      <c r="G8" s="512"/>
      <c r="H8" s="512"/>
      <c r="I8" s="512"/>
      <c r="J8" s="512"/>
      <c r="K8" s="512"/>
      <c r="L8" s="512"/>
      <c r="M8" s="512"/>
      <c r="N8" s="512"/>
      <c r="O8" s="514">
        <f t="shared" si="3"/>
        <v>15000</v>
      </c>
      <c r="P8" s="534"/>
      <c r="Q8" s="534"/>
      <c r="R8" s="534"/>
      <c r="S8" s="534"/>
      <c r="T8" s="534"/>
      <c r="U8" s="534"/>
      <c r="V8" s="544">
        <v>9000</v>
      </c>
      <c r="W8" s="544"/>
      <c r="X8" s="525"/>
      <c r="Y8" s="525"/>
      <c r="Z8" s="525"/>
      <c r="AA8" s="525"/>
      <c r="AB8" s="605">
        <f t="shared" si="4"/>
        <v>9000</v>
      </c>
      <c r="AC8" s="613"/>
      <c r="AD8" s="534"/>
      <c r="AE8" s="534">
        <f>9000+30000</f>
        <v>39000</v>
      </c>
      <c r="AF8" s="534"/>
      <c r="AG8" s="534"/>
      <c r="AH8" s="534"/>
      <c r="AI8" s="534"/>
      <c r="AJ8" s="534"/>
      <c r="AK8" s="607">
        <f t="shared" si="7"/>
        <v>39000</v>
      </c>
      <c r="AL8" s="534"/>
      <c r="AM8" s="525"/>
      <c r="AN8" s="533"/>
      <c r="AO8" s="533"/>
      <c r="AP8" s="525"/>
      <c r="AQ8" s="525"/>
      <c r="AR8" s="525"/>
      <c r="AS8" s="525"/>
      <c r="AT8" s="525"/>
      <c r="AU8" s="544">
        <f>9000</f>
        <v>9000</v>
      </c>
      <c r="AV8" s="544">
        <v>30000</v>
      </c>
      <c r="AW8" s="533"/>
      <c r="AX8" s="528">
        <f t="shared" si="5"/>
        <v>39000</v>
      </c>
      <c r="AY8" s="614"/>
      <c r="AZ8" s="533"/>
      <c r="BA8" s="535"/>
      <c r="BB8" s="533"/>
      <c r="BC8" s="525"/>
      <c r="BD8" s="563"/>
      <c r="BE8" s="525"/>
      <c r="BF8" s="544">
        <f>9000+30000</f>
        <v>39000</v>
      </c>
      <c r="BG8" s="525"/>
      <c r="BH8" s="525"/>
      <c r="BI8" s="525"/>
      <c r="BJ8" s="608"/>
      <c r="BK8" s="528">
        <f t="shared" si="8"/>
        <v>39000</v>
      </c>
      <c r="BL8" s="614"/>
      <c r="BM8" s="533"/>
      <c r="BN8" s="535"/>
      <c r="BO8" s="533"/>
      <c r="BP8" s="525"/>
      <c r="BQ8" s="615">
        <v>15000</v>
      </c>
      <c r="BR8" s="533"/>
      <c r="BS8" s="525"/>
      <c r="BT8" s="525"/>
      <c r="BU8" s="525"/>
      <c r="BV8" s="525"/>
      <c r="BW8" s="608"/>
      <c r="BX8" s="528">
        <f t="shared" si="9"/>
        <v>15000</v>
      </c>
      <c r="BY8" s="525"/>
      <c r="BZ8" s="525"/>
      <c r="CA8" s="525"/>
      <c r="CB8" s="525"/>
      <c r="CC8" s="525"/>
      <c r="CD8" s="525"/>
      <c r="CE8" s="525"/>
      <c r="CF8" s="525"/>
      <c r="CG8" s="525"/>
      <c r="CH8" s="525"/>
      <c r="CI8" s="541"/>
      <c r="CJ8" s="563"/>
      <c r="CK8" s="528">
        <f>SUM(BY8:CJ8)</f>
        <v>0</v>
      </c>
      <c r="CL8" s="543"/>
      <c r="CM8" s="544">
        <f>15000+4300</f>
        <v>19300</v>
      </c>
      <c r="CN8" s="526"/>
      <c r="CO8" s="525"/>
      <c r="CP8" s="525"/>
      <c r="CQ8" s="541"/>
      <c r="CR8" s="541"/>
      <c r="CS8" s="541"/>
      <c r="CT8" s="541"/>
      <c r="CU8" s="541"/>
      <c r="CV8" s="880"/>
      <c r="CW8" s="544">
        <f>15000+4400</f>
        <v>19400</v>
      </c>
      <c r="CX8" s="528">
        <f>SUM(CM8:CW8)</f>
        <v>38700</v>
      </c>
      <c r="CY8" s="881"/>
      <c r="CZ8" s="541"/>
      <c r="DA8" s="541"/>
      <c r="DB8" s="880"/>
      <c r="DC8" s="880"/>
      <c r="DD8" s="541"/>
      <c r="DE8" s="541"/>
      <c r="DF8" s="541"/>
      <c r="DG8" s="541"/>
      <c r="DI8" s="572">
        <f>16000+4400</f>
        <v>20400</v>
      </c>
      <c r="DJ8" s="552"/>
      <c r="DK8" s="528">
        <f t="shared" si="11"/>
        <v>20400</v>
      </c>
      <c r="DL8" s="611"/>
      <c r="DO8" s="552"/>
      <c r="DP8" s="552"/>
      <c r="DQ8" s="536">
        <v>15000</v>
      </c>
      <c r="DR8" s="536"/>
      <c r="DS8" s="536"/>
      <c r="DT8" s="552"/>
      <c r="DU8" s="552"/>
      <c r="DV8" s="552"/>
      <c r="DW8" s="552"/>
      <c r="DX8" s="519">
        <f t="shared" si="12"/>
        <v>15000</v>
      </c>
    </row>
    <row r="9" spans="2:128" ht="15">
      <c r="B9" s="480" t="s">
        <v>21</v>
      </c>
      <c r="C9" s="512"/>
      <c r="D9" s="512"/>
      <c r="E9" s="512">
        <v>0</v>
      </c>
      <c r="F9" s="512">
        <v>0</v>
      </c>
      <c r="G9" s="512">
        <v>0</v>
      </c>
      <c r="H9" s="512">
        <v>0</v>
      </c>
      <c r="I9" s="512"/>
      <c r="J9" s="512"/>
      <c r="K9" s="512"/>
      <c r="L9" s="512"/>
      <c r="M9" s="512"/>
      <c r="N9" s="512"/>
      <c r="O9" s="514">
        <f t="shared" si="3"/>
        <v>0</v>
      </c>
      <c r="P9" s="534"/>
      <c r="Q9" s="525"/>
      <c r="R9" s="616"/>
      <c r="S9" s="616"/>
      <c r="T9" s="616"/>
      <c r="U9" s="616"/>
      <c r="V9" s="616"/>
      <c r="W9" s="544"/>
      <c r="X9" s="617"/>
      <c r="Y9" s="544"/>
      <c r="Z9" s="544">
        <f>15000*1.21</f>
        <v>18150</v>
      </c>
      <c r="AA9" s="617"/>
      <c r="AB9" s="605">
        <f t="shared" si="4"/>
        <v>18150</v>
      </c>
      <c r="AC9" s="613">
        <v>15000</v>
      </c>
      <c r="AD9" s="534"/>
      <c r="AE9" s="534"/>
      <c r="AF9" s="534"/>
      <c r="AG9" s="616"/>
      <c r="AH9" s="534"/>
      <c r="AI9" s="534"/>
      <c r="AJ9" s="534"/>
      <c r="AK9" s="607">
        <f t="shared" si="7"/>
        <v>15000</v>
      </c>
      <c r="AL9" s="534"/>
      <c r="AM9" s="617"/>
      <c r="AN9" s="533"/>
      <c r="AO9" s="563"/>
      <c r="AP9" s="533"/>
      <c r="AQ9" s="525"/>
      <c r="AR9" s="544">
        <f>25000</f>
        <v>25000</v>
      </c>
      <c r="AS9" s="525"/>
      <c r="AT9" s="525"/>
      <c r="AU9" s="525"/>
      <c r="AV9" s="525"/>
      <c r="AW9" s="563"/>
      <c r="AX9" s="528">
        <f t="shared" si="5"/>
        <v>25000</v>
      </c>
      <c r="AY9" s="563"/>
      <c r="AZ9" s="525"/>
      <c r="BA9" s="615">
        <v>25000</v>
      </c>
      <c r="BB9" s="525"/>
      <c r="BC9" s="533"/>
      <c r="BD9" s="525"/>
      <c r="BE9" s="525"/>
      <c r="BF9" s="544">
        <f>25000</f>
        <v>25000</v>
      </c>
      <c r="BG9" s="525"/>
      <c r="BH9" s="525"/>
      <c r="BI9" s="525"/>
      <c r="BJ9" s="525"/>
      <c r="BK9" s="528">
        <f>SUM(AY9:BJ9)</f>
        <v>50000</v>
      </c>
      <c r="BL9" s="533"/>
      <c r="BM9" s="533"/>
      <c r="BN9" s="615">
        <f>50000*0</f>
        <v>0</v>
      </c>
      <c r="BO9" s="525"/>
      <c r="BP9" s="544">
        <f>25000</f>
        <v>25000</v>
      </c>
      <c r="BQ9" s="526"/>
      <c r="BR9" s="525"/>
      <c r="BS9" s="534">
        <v>25000</v>
      </c>
      <c r="BT9" s="525"/>
      <c r="BU9" s="525"/>
      <c r="BV9" s="525"/>
      <c r="BW9" s="618"/>
      <c r="BX9" s="528">
        <f t="shared" si="9"/>
        <v>50000</v>
      </c>
      <c r="BY9" s="525"/>
      <c r="BZ9" s="525"/>
      <c r="CA9" s="525"/>
      <c r="CB9" s="534">
        <v>25000</v>
      </c>
      <c r="CC9" s="525"/>
      <c r="CD9" s="525"/>
      <c r="CE9" s="525"/>
      <c r="CF9" s="544">
        <f>4200+25000</f>
        <v>29200</v>
      </c>
      <c r="CG9" s="525"/>
      <c r="CH9" s="525"/>
      <c r="CI9" s="525"/>
      <c r="CJ9" s="525"/>
      <c r="CK9" s="528">
        <f t="shared" si="6"/>
        <v>54200</v>
      </c>
      <c r="CL9" s="526"/>
      <c r="CM9" s="525"/>
      <c r="CN9" s="543"/>
      <c r="CO9" s="544">
        <v>25000</v>
      </c>
      <c r="CP9" s="525"/>
      <c r="CQ9" s="525"/>
      <c r="CR9" s="525"/>
      <c r="CS9" s="541"/>
      <c r="CT9" s="544">
        <f>25000+4400</f>
        <v>29400</v>
      </c>
      <c r="CU9" s="525"/>
      <c r="CV9" s="533"/>
      <c r="CW9" s="533"/>
      <c r="CX9" s="528">
        <f t="shared" si="10"/>
        <v>54400</v>
      </c>
      <c r="CY9" s="881"/>
      <c r="CZ9" s="544">
        <f>25000</f>
        <v>25000</v>
      </c>
      <c r="DA9" s="541"/>
      <c r="DB9" s="533"/>
      <c r="DC9" s="880"/>
      <c r="DD9" s="533"/>
      <c r="DE9" s="533"/>
      <c r="DF9" s="541"/>
      <c r="DG9" s="544">
        <f>25000</f>
        <v>25000</v>
      </c>
      <c r="DH9" s="552"/>
      <c r="DI9" s="552"/>
      <c r="DJ9" s="572">
        <v>4400</v>
      </c>
      <c r="DK9" s="528">
        <f>SUM(CY9:DJ9)</f>
        <v>54400</v>
      </c>
      <c r="DL9" s="572"/>
      <c r="DM9" s="572">
        <v>25000</v>
      </c>
      <c r="DN9" s="536"/>
      <c r="DP9" s="552"/>
      <c r="DQ9" s="536"/>
      <c r="DR9" s="536"/>
      <c r="DS9" s="536">
        <v>25000</v>
      </c>
      <c r="DT9" s="552"/>
      <c r="DU9" s="552"/>
      <c r="DV9" s="552"/>
      <c r="DW9" s="552"/>
      <c r="DX9" s="519">
        <f t="shared" si="12"/>
        <v>50000</v>
      </c>
    </row>
    <row r="10" spans="2:128" ht="15">
      <c r="B10" s="480" t="s">
        <v>26</v>
      </c>
      <c r="C10" s="512"/>
      <c r="D10" s="512"/>
      <c r="E10" s="512"/>
      <c r="F10" s="512"/>
      <c r="G10" s="512"/>
      <c r="H10" s="512"/>
      <c r="I10" s="512">
        <v>5000</v>
      </c>
      <c r="J10" s="512"/>
      <c r="K10" s="512"/>
      <c r="L10" s="512"/>
      <c r="M10" s="512"/>
      <c r="N10" s="512"/>
      <c r="O10" s="514">
        <f t="shared" si="3"/>
        <v>5000</v>
      </c>
      <c r="P10" s="534"/>
      <c r="Q10" s="534"/>
      <c r="R10" s="534"/>
      <c r="S10" s="534"/>
      <c r="T10" s="534"/>
      <c r="U10" s="534"/>
      <c r="V10" s="534">
        <v>4500</v>
      </c>
      <c r="W10" s="544"/>
      <c r="X10" s="617"/>
      <c r="Y10" s="525"/>
      <c r="Z10" s="525"/>
      <c r="AA10" s="563"/>
      <c r="AB10" s="605">
        <f t="shared" si="4"/>
        <v>4500</v>
      </c>
      <c r="AC10" s="613"/>
      <c r="AD10" s="534"/>
      <c r="AE10" s="534"/>
      <c r="AF10" s="534"/>
      <c r="AG10" s="544">
        <f>4500</f>
        <v>4500</v>
      </c>
      <c r="AH10" s="534"/>
      <c r="AI10" s="534"/>
      <c r="AJ10" s="534"/>
      <c r="AK10" s="607">
        <f t="shared" si="7"/>
        <v>4500</v>
      </c>
      <c r="AL10" s="534"/>
      <c r="AM10" s="525"/>
      <c r="AN10" s="525"/>
      <c r="AO10" s="525"/>
      <c r="AP10" s="544">
        <f>4500</f>
        <v>4500</v>
      </c>
      <c r="AQ10" s="544">
        <f>4500</f>
        <v>4500</v>
      </c>
      <c r="AR10" s="533"/>
      <c r="AS10" s="533"/>
      <c r="AT10" s="533"/>
      <c r="AU10" s="525"/>
      <c r="AV10" s="525"/>
      <c r="AW10" s="563"/>
      <c r="AX10" s="528">
        <f t="shared" si="5"/>
        <v>9000</v>
      </c>
      <c r="AY10" s="563"/>
      <c r="AZ10" s="544">
        <v>4500</v>
      </c>
      <c r="BA10" s="535"/>
      <c r="BB10" s="533"/>
      <c r="BC10" s="544">
        <v>4500</v>
      </c>
      <c r="BD10" s="525"/>
      <c r="BE10" s="525"/>
      <c r="BF10" s="525"/>
      <c r="BG10" s="525"/>
      <c r="BH10" s="525"/>
      <c r="BI10" s="525"/>
      <c r="BJ10" s="608"/>
      <c r="BK10" s="528">
        <f t="shared" si="8"/>
        <v>9000</v>
      </c>
      <c r="BL10" s="614"/>
      <c r="BM10" s="525"/>
      <c r="BN10" s="526"/>
      <c r="BO10" s="544">
        <v>6000</v>
      </c>
      <c r="BP10" s="525"/>
      <c r="BQ10" s="526"/>
      <c r="BR10" s="525"/>
      <c r="BS10" s="544">
        <v>6000</v>
      </c>
      <c r="BT10" s="525"/>
      <c r="BU10" s="525"/>
      <c r="BV10" s="525"/>
      <c r="BW10" s="608"/>
      <c r="BX10" s="528">
        <f t="shared" si="9"/>
        <v>12000</v>
      </c>
      <c r="BY10" s="534">
        <v>6000</v>
      </c>
      <c r="BZ10" s="525"/>
      <c r="CA10" s="525"/>
      <c r="CB10" s="544">
        <v>6000</v>
      </c>
      <c r="CC10" s="525"/>
      <c r="CD10" s="619"/>
      <c r="CE10" s="525"/>
      <c r="CF10" s="525"/>
      <c r="CG10" s="525"/>
      <c r="CH10" s="525"/>
      <c r="CI10" s="541"/>
      <c r="CJ10" s="619"/>
      <c r="CK10" s="528">
        <f>SUM(BY10:CJ10)</f>
        <v>12000</v>
      </c>
      <c r="CL10" s="543"/>
      <c r="CM10" s="541"/>
      <c r="CN10" s="543"/>
      <c r="CO10" s="541"/>
      <c r="CP10" s="541"/>
      <c r="CQ10" s="544">
        <f>6500+6500</f>
        <v>13000</v>
      </c>
      <c r="CR10" s="525"/>
      <c r="CS10" s="525"/>
      <c r="CT10" s="525"/>
      <c r="CU10" s="525"/>
      <c r="CV10" s="880"/>
      <c r="CW10" s="533"/>
      <c r="CX10" s="528">
        <f>SUM(CQ10:CW10)</f>
        <v>13000</v>
      </c>
      <c r="CY10" s="541"/>
      <c r="CZ10" s="541"/>
      <c r="DA10" s="533"/>
      <c r="DB10" s="541"/>
      <c r="DC10" s="541"/>
      <c r="DD10" s="541"/>
      <c r="DE10" s="544">
        <f>6500+6500</f>
        <v>13000</v>
      </c>
      <c r="DF10" s="541"/>
      <c r="DG10" s="541"/>
      <c r="DH10" s="552"/>
      <c r="DI10" s="536">
        <v>6500</v>
      </c>
      <c r="DJ10" s="552"/>
      <c r="DK10" s="528">
        <f>SUM(DA10:DJ10)</f>
        <v>19500</v>
      </c>
      <c r="DL10" s="611"/>
      <c r="DO10" s="536">
        <v>6000</v>
      </c>
      <c r="DP10" s="552"/>
      <c r="DQ10" s="536"/>
      <c r="DR10" s="536"/>
      <c r="DS10" s="536"/>
      <c r="DT10" s="552"/>
      <c r="DU10" s="552"/>
      <c r="DV10" s="536">
        <v>6000</v>
      </c>
      <c r="DW10" s="552"/>
      <c r="DX10" s="519">
        <f t="shared" si="12"/>
        <v>12000</v>
      </c>
    </row>
    <row r="11" spans="2:128" ht="15">
      <c r="B11" s="480" t="s">
        <v>40</v>
      </c>
      <c r="C11" s="512"/>
      <c r="D11" s="512"/>
      <c r="E11" s="512"/>
      <c r="F11" s="512"/>
      <c r="G11" s="512"/>
      <c r="H11" s="512"/>
      <c r="I11" s="512"/>
      <c r="J11" s="512">
        <v>10000</v>
      </c>
      <c r="K11" s="512"/>
      <c r="L11" s="512"/>
      <c r="M11" s="512"/>
      <c r="N11" s="512"/>
      <c r="O11" s="514">
        <f t="shared" si="3"/>
        <v>10000</v>
      </c>
      <c r="P11" s="534"/>
      <c r="Q11" s="534"/>
      <c r="R11" s="534"/>
      <c r="S11" s="534"/>
      <c r="T11" s="534"/>
      <c r="U11" s="534"/>
      <c r="V11" s="534"/>
      <c r="W11" s="544"/>
      <c r="X11" s="544">
        <v>10000</v>
      </c>
      <c r="Y11" s="544"/>
      <c r="Z11" s="525"/>
      <c r="AA11" s="525"/>
      <c r="AB11" s="605">
        <f t="shared" si="4"/>
        <v>10000</v>
      </c>
      <c r="AC11" s="620"/>
      <c r="AD11" s="616"/>
      <c r="AE11" s="616"/>
      <c r="AF11" s="616"/>
      <c r="AG11" s="616"/>
      <c r="AH11" s="616"/>
      <c r="AI11" s="616"/>
      <c r="AJ11" s="616"/>
      <c r="AK11" s="607">
        <f t="shared" si="7"/>
        <v>0</v>
      </c>
      <c r="AL11" s="544">
        <v>10000</v>
      </c>
      <c r="AM11" s="617"/>
      <c r="AN11" s="617"/>
      <c r="AO11" s="617"/>
      <c r="AP11" s="525"/>
      <c r="AQ11" s="525"/>
      <c r="AR11" s="533"/>
      <c r="AS11" s="533"/>
      <c r="AT11" s="533"/>
      <c r="AU11" s="533"/>
      <c r="AV11" s="533"/>
      <c r="AW11" s="533"/>
      <c r="AX11" s="528">
        <f t="shared" si="5"/>
        <v>10000</v>
      </c>
      <c r="AY11" s="614"/>
      <c r="AZ11" s="544">
        <v>10000</v>
      </c>
      <c r="BA11" s="535"/>
      <c r="BB11" s="533"/>
      <c r="BC11" s="533"/>
      <c r="BD11" s="525"/>
      <c r="BE11" s="525"/>
      <c r="BF11" s="525"/>
      <c r="BG11" s="525"/>
      <c r="BH11" s="525"/>
      <c r="BI11" s="525"/>
      <c r="BJ11" s="608"/>
      <c r="BK11" s="528">
        <f>SUM(AY11:BJ11)</f>
        <v>10000</v>
      </c>
      <c r="BL11" s="544">
        <v>10000</v>
      </c>
      <c r="BM11" s="533"/>
      <c r="BN11" s="526"/>
      <c r="BO11" s="533"/>
      <c r="BP11" s="533"/>
      <c r="BQ11" s="526"/>
      <c r="BR11" s="525"/>
      <c r="BS11" s="525"/>
      <c r="BT11" s="525"/>
      <c r="BU11" s="525"/>
      <c r="BV11" s="525"/>
      <c r="BW11" s="544">
        <v>10500</v>
      </c>
      <c r="BX11" s="528">
        <f t="shared" si="9"/>
        <v>20500</v>
      </c>
      <c r="BY11" s="563"/>
      <c r="BZ11" s="525"/>
      <c r="CA11" s="525"/>
      <c r="CB11" s="525"/>
      <c r="CC11" s="525"/>
      <c r="CD11" s="525"/>
      <c r="CE11" s="525"/>
      <c r="CF11" s="525"/>
      <c r="CG11" s="525"/>
      <c r="CH11" s="525"/>
      <c r="CI11" s="525"/>
      <c r="CJ11" s="619"/>
      <c r="CK11" s="528">
        <f t="shared" si="6"/>
        <v>0</v>
      </c>
      <c r="CL11" s="615">
        <v>9000</v>
      </c>
      <c r="CM11" s="525"/>
      <c r="CN11" s="526"/>
      <c r="CO11" s="525"/>
      <c r="CP11" s="525"/>
      <c r="CQ11" s="525"/>
      <c r="CR11" s="525"/>
      <c r="CS11" s="525"/>
      <c r="CT11" s="525"/>
      <c r="CU11" s="525"/>
      <c r="CV11" s="533"/>
      <c r="CW11" s="533"/>
      <c r="CX11" s="528">
        <f t="shared" si="10"/>
        <v>9000</v>
      </c>
      <c r="CY11" s="541"/>
      <c r="CZ11" s="541"/>
      <c r="DA11" s="541"/>
      <c r="DB11" s="544">
        <v>9000</v>
      </c>
      <c r="DC11" s="880"/>
      <c r="DD11" s="880"/>
      <c r="DE11" s="880"/>
      <c r="DF11" s="880"/>
      <c r="DG11" s="880"/>
      <c r="DH11" s="552"/>
      <c r="DI11" s="552"/>
      <c r="DJ11" s="536">
        <v>10500</v>
      </c>
      <c r="DK11" s="528">
        <f>SUM(DB11:DJ11)</f>
        <v>19500</v>
      </c>
      <c r="DL11" s="611"/>
      <c r="DO11" s="552"/>
      <c r="DP11" s="552"/>
      <c r="DQ11" s="552"/>
      <c r="DR11" s="552"/>
      <c r="DS11" s="552"/>
      <c r="DT11" s="552"/>
      <c r="DU11" s="552"/>
      <c r="DV11" s="552"/>
      <c r="DW11" s="536">
        <v>10500</v>
      </c>
      <c r="DX11" s="519">
        <f t="shared" si="12"/>
        <v>10500</v>
      </c>
    </row>
    <row r="12" spans="2:128" ht="15">
      <c r="B12" s="480" t="s">
        <v>142</v>
      </c>
      <c r="C12" s="512"/>
      <c r="D12" s="512"/>
      <c r="E12" s="512"/>
      <c r="F12" s="512"/>
      <c r="G12" s="512"/>
      <c r="H12" s="512"/>
      <c r="I12" s="512"/>
      <c r="J12" s="512"/>
      <c r="K12" s="512"/>
      <c r="L12" s="512"/>
      <c r="M12" s="512">
        <v>7500</v>
      </c>
      <c r="N12" s="512"/>
      <c r="O12" s="514">
        <f t="shared" si="3"/>
        <v>7500</v>
      </c>
      <c r="P12" s="534"/>
      <c r="Q12" s="534"/>
      <c r="R12" s="534"/>
      <c r="S12" s="534"/>
      <c r="T12" s="534"/>
      <c r="U12" s="534">
        <v>7500</v>
      </c>
      <c r="V12" s="534"/>
      <c r="W12" s="544"/>
      <c r="X12" s="525"/>
      <c r="Y12" s="534">
        <v>7500</v>
      </c>
      <c r="Z12" s="525"/>
      <c r="AA12" s="525"/>
      <c r="AB12" s="605">
        <f t="shared" si="4"/>
        <v>15000</v>
      </c>
      <c r="AC12" s="620"/>
      <c r="AD12" s="616"/>
      <c r="AE12" s="616"/>
      <c r="AF12" s="534"/>
      <c r="AG12" s="544">
        <v>7500</v>
      </c>
      <c r="AH12" s="534"/>
      <c r="AI12" s="616"/>
      <c r="AJ12" s="616"/>
      <c r="AK12" s="607">
        <f t="shared" si="7"/>
        <v>7500</v>
      </c>
      <c r="AL12" s="616"/>
      <c r="AM12" s="525"/>
      <c r="AN12" s="544">
        <v>7500</v>
      </c>
      <c r="AO12" s="617"/>
      <c r="AP12" s="525"/>
      <c r="AQ12" s="525"/>
      <c r="AR12" s="544">
        <v>7500</v>
      </c>
      <c r="AS12" s="525"/>
      <c r="AT12" s="525"/>
      <c r="AU12" s="525"/>
      <c r="AV12" s="525"/>
      <c r="AW12" s="525"/>
      <c r="AX12" s="528">
        <f t="shared" si="5"/>
        <v>15000</v>
      </c>
      <c r="AY12" s="614"/>
      <c r="AZ12" s="525"/>
      <c r="BA12" s="615">
        <v>7500</v>
      </c>
      <c r="BB12" s="533"/>
      <c r="BC12" s="533"/>
      <c r="BD12" s="525"/>
      <c r="BE12" s="525"/>
      <c r="BF12" s="544">
        <v>7500</v>
      </c>
      <c r="BG12" s="525"/>
      <c r="BH12" s="525"/>
      <c r="BI12" s="525"/>
      <c r="BJ12" s="608"/>
      <c r="BK12" s="528">
        <f t="shared" ref="BK12:BK86" si="13">SUM(AY12:BJ12)</f>
        <v>15000</v>
      </c>
      <c r="BL12" s="614"/>
      <c r="BM12" s="525"/>
      <c r="BN12" s="526"/>
      <c r="BO12" s="544">
        <v>7500</v>
      </c>
      <c r="BP12" s="533"/>
      <c r="BQ12" s="526"/>
      <c r="BR12" s="544">
        <v>7500</v>
      </c>
      <c r="BS12" s="525"/>
      <c r="BT12" s="525"/>
      <c r="BU12" s="525"/>
      <c r="BV12" s="525"/>
      <c r="BW12" s="608"/>
      <c r="BX12" s="528">
        <f t="shared" si="9"/>
        <v>15000</v>
      </c>
      <c r="BY12" s="525"/>
      <c r="BZ12" s="525"/>
      <c r="CA12" s="525"/>
      <c r="CB12" s="619"/>
      <c r="CC12" s="525"/>
      <c r="CD12" s="619"/>
      <c r="CE12" s="619"/>
      <c r="CF12" s="525"/>
      <c r="CG12" s="619"/>
      <c r="CH12" s="525"/>
      <c r="CI12" s="525"/>
      <c r="CJ12" s="525"/>
      <c r="CK12" s="528">
        <f t="shared" si="6"/>
        <v>0</v>
      </c>
      <c r="CL12" s="526"/>
      <c r="CM12" s="525"/>
      <c r="CN12" s="809"/>
      <c r="CO12" s="619"/>
      <c r="CP12" s="619"/>
      <c r="CQ12" s="619"/>
      <c r="CR12" s="619"/>
      <c r="CS12" s="525"/>
      <c r="CT12" s="619"/>
      <c r="CU12" s="525"/>
      <c r="CV12" s="533"/>
      <c r="CW12" s="533"/>
      <c r="CX12" s="528">
        <f t="shared" si="10"/>
        <v>0</v>
      </c>
      <c r="CY12" s="881"/>
      <c r="CZ12" s="541"/>
      <c r="DA12" s="541"/>
      <c r="DB12" s="880"/>
      <c r="DC12" s="880"/>
      <c r="DD12" s="880"/>
      <c r="DE12" s="880"/>
      <c r="DF12" s="880"/>
      <c r="DG12" s="880"/>
      <c r="DH12" s="552"/>
      <c r="DI12" s="552"/>
      <c r="DJ12" s="536"/>
      <c r="DK12" s="528">
        <f t="shared" si="11"/>
        <v>0</v>
      </c>
      <c r="DL12" s="611"/>
      <c r="DO12" s="552"/>
      <c r="DP12" s="552"/>
      <c r="DQ12" s="552"/>
      <c r="DR12" s="552"/>
      <c r="DS12" s="552"/>
      <c r="DT12" s="552"/>
      <c r="DU12" s="552"/>
      <c r="DV12" s="552"/>
      <c r="DW12" s="536"/>
      <c r="DX12" s="519">
        <f t="shared" si="12"/>
        <v>0</v>
      </c>
    </row>
    <row r="13" spans="2:128" ht="15">
      <c r="B13" s="480" t="s">
        <v>143</v>
      </c>
      <c r="C13" s="512"/>
      <c r="D13" s="512"/>
      <c r="E13" s="512"/>
      <c r="F13" s="512"/>
      <c r="G13" s="512"/>
      <c r="H13" s="512"/>
      <c r="I13" s="512"/>
      <c r="J13" s="512"/>
      <c r="K13" s="512"/>
      <c r="L13" s="512"/>
      <c r="M13" s="512"/>
      <c r="N13" s="512"/>
      <c r="O13" s="514">
        <f t="shared" si="3"/>
        <v>0</v>
      </c>
      <c r="P13" s="534">
        <v>10000</v>
      </c>
      <c r="Q13" s="534"/>
      <c r="R13" s="534"/>
      <c r="S13" s="534"/>
      <c r="T13" s="534"/>
      <c r="U13" s="534"/>
      <c r="V13" s="534"/>
      <c r="W13" s="544"/>
      <c r="X13" s="525"/>
      <c r="Y13" s="525"/>
      <c r="Z13" s="525"/>
      <c r="AA13" s="525"/>
      <c r="AB13" s="605">
        <f t="shared" si="4"/>
        <v>10000</v>
      </c>
      <c r="AC13" s="620"/>
      <c r="AD13" s="616"/>
      <c r="AE13" s="534"/>
      <c r="AF13" s="534"/>
      <c r="AG13" s="534"/>
      <c r="AH13" s="534"/>
      <c r="AI13" s="544">
        <v>12500</v>
      </c>
      <c r="AJ13" s="616"/>
      <c r="AK13" s="607">
        <f t="shared" si="7"/>
        <v>12500</v>
      </c>
      <c r="AL13" s="616"/>
      <c r="AM13" s="617"/>
      <c r="AN13" s="617"/>
      <c r="AO13" s="617"/>
      <c r="AP13" s="525"/>
      <c r="AQ13" s="525"/>
      <c r="AR13" s="544">
        <v>10000</v>
      </c>
      <c r="AS13" s="533"/>
      <c r="AT13" s="533"/>
      <c r="AU13" s="533"/>
      <c r="AV13" s="533"/>
      <c r="AW13" s="533"/>
      <c r="AX13" s="528">
        <f t="shared" si="5"/>
        <v>10000</v>
      </c>
      <c r="AY13" s="614"/>
      <c r="AZ13" s="533"/>
      <c r="BA13" s="535"/>
      <c r="BB13" s="533"/>
      <c r="BC13" s="533"/>
      <c r="BD13" s="525"/>
      <c r="BE13" s="544">
        <v>10000</v>
      </c>
      <c r="BF13" s="525"/>
      <c r="BG13" s="525"/>
      <c r="BH13" s="525"/>
      <c r="BI13" s="525"/>
      <c r="BJ13" s="608"/>
      <c r="BK13" s="528">
        <f t="shared" si="13"/>
        <v>10000</v>
      </c>
      <c r="BL13" s="614"/>
      <c r="BM13" s="533"/>
      <c r="BN13" s="535"/>
      <c r="BO13" s="533"/>
      <c r="BP13" s="533"/>
      <c r="BQ13" s="526"/>
      <c r="BR13" s="544">
        <v>12500</v>
      </c>
      <c r="BS13" s="525"/>
      <c r="BT13" s="525"/>
      <c r="BU13" s="525"/>
      <c r="BV13" s="525"/>
      <c r="BW13" s="608"/>
      <c r="BX13" s="528">
        <f t="shared" si="9"/>
        <v>12500</v>
      </c>
      <c r="BY13" s="525"/>
      <c r="BZ13" s="525"/>
      <c r="CA13" s="525"/>
      <c r="CB13" s="525"/>
      <c r="CC13" s="525"/>
      <c r="CD13" s="544">
        <v>12000</v>
      </c>
      <c r="CE13" s="525"/>
      <c r="CF13" s="525"/>
      <c r="CG13" s="525"/>
      <c r="CH13" s="525"/>
      <c r="CI13" s="525"/>
      <c r="CJ13" s="525"/>
      <c r="CK13" s="528">
        <f t="shared" si="6"/>
        <v>12000</v>
      </c>
      <c r="CL13" s="526"/>
      <c r="CM13" s="525"/>
      <c r="CN13" s="526"/>
      <c r="CO13" s="525"/>
      <c r="CP13" s="525"/>
      <c r="CQ13" s="544">
        <v>12000</v>
      </c>
      <c r="CR13" s="525"/>
      <c r="CS13" s="525"/>
      <c r="CT13" s="525"/>
      <c r="CU13" s="525"/>
      <c r="CV13" s="533"/>
      <c r="CW13" s="533"/>
      <c r="CX13" s="528">
        <f t="shared" si="10"/>
        <v>12000</v>
      </c>
      <c r="CY13" s="881"/>
      <c r="CZ13" s="541"/>
      <c r="DA13" s="541"/>
      <c r="DB13" s="880"/>
      <c r="DC13" s="880"/>
      <c r="DD13" s="541"/>
      <c r="DE13" s="544">
        <v>12000</v>
      </c>
      <c r="DF13" s="880"/>
      <c r="DG13" s="880"/>
      <c r="DH13" s="552"/>
      <c r="DI13" s="552"/>
      <c r="DJ13" s="536"/>
      <c r="DK13" s="528">
        <f t="shared" si="11"/>
        <v>12000</v>
      </c>
      <c r="DL13" s="611"/>
      <c r="DO13" s="552"/>
      <c r="DP13" s="552"/>
      <c r="DQ13" s="536">
        <v>12000</v>
      </c>
      <c r="DR13" s="552"/>
      <c r="DS13" s="552"/>
      <c r="DT13" s="552"/>
      <c r="DU13" s="552"/>
      <c r="DV13" s="552"/>
      <c r="DW13" s="536"/>
      <c r="DX13" s="519">
        <f t="shared" si="12"/>
        <v>12000</v>
      </c>
    </row>
    <row r="14" spans="2:128" ht="15">
      <c r="B14" s="589" t="s">
        <v>28</v>
      </c>
      <c r="C14" s="512"/>
      <c r="D14" s="512"/>
      <c r="E14" s="512"/>
      <c r="F14" s="512"/>
      <c r="G14" s="512"/>
      <c r="H14" s="512"/>
      <c r="I14" s="512"/>
      <c r="J14" s="512"/>
      <c r="K14" s="512"/>
      <c r="L14" s="512"/>
      <c r="M14" s="512"/>
      <c r="N14" s="512"/>
      <c r="O14" s="514">
        <f t="shared" si="3"/>
        <v>0</v>
      </c>
      <c r="P14" s="534"/>
      <c r="Q14" s="534">
        <v>6000</v>
      </c>
      <c r="R14" s="534"/>
      <c r="S14" s="534"/>
      <c r="T14" s="534"/>
      <c r="U14" s="534"/>
      <c r="V14" s="534">
        <v>6000</v>
      </c>
      <c r="W14" s="544"/>
      <c r="X14" s="525"/>
      <c r="Y14" s="525"/>
      <c r="Z14" s="525"/>
      <c r="AA14" s="525"/>
      <c r="AB14" s="605">
        <f t="shared" si="4"/>
        <v>12000</v>
      </c>
      <c r="AC14" s="620"/>
      <c r="AD14" s="544">
        <v>6000</v>
      </c>
      <c r="AE14" s="616"/>
      <c r="AF14" s="616"/>
      <c r="AG14" s="616"/>
      <c r="AH14" s="616"/>
      <c r="AI14" s="534"/>
      <c r="AJ14" s="544">
        <v>6000</v>
      </c>
      <c r="AK14" s="607">
        <f t="shared" si="7"/>
        <v>12000</v>
      </c>
      <c r="AL14" s="616"/>
      <c r="AM14" s="617"/>
      <c r="AN14" s="617"/>
      <c r="AO14" s="617"/>
      <c r="AP14" s="525"/>
      <c r="AQ14" s="544">
        <v>6000</v>
      </c>
      <c r="AR14" s="533"/>
      <c r="AS14" s="533"/>
      <c r="AT14" s="533"/>
      <c r="AU14" s="533"/>
      <c r="AV14" s="525"/>
      <c r="AW14" s="563"/>
      <c r="AX14" s="528">
        <f t="shared" si="5"/>
        <v>6000</v>
      </c>
      <c r="AY14" s="544">
        <v>6000</v>
      </c>
      <c r="AZ14" s="533"/>
      <c r="BA14" s="535"/>
      <c r="BB14" s="533"/>
      <c r="BC14" s="525"/>
      <c r="BD14" s="525"/>
      <c r="BE14" s="525"/>
      <c r="BF14" s="544">
        <v>6000</v>
      </c>
      <c r="BG14" s="525"/>
      <c r="BH14" s="525"/>
      <c r="BI14" s="525"/>
      <c r="BJ14" s="544">
        <v>6000</v>
      </c>
      <c r="BK14" s="528">
        <f>SUM(AY14:BJ14)</f>
        <v>18000</v>
      </c>
      <c r="BL14" s="614"/>
      <c r="BM14" s="533"/>
      <c r="BN14" s="535"/>
      <c r="BO14" s="533"/>
      <c r="BP14" s="525"/>
      <c r="BQ14" s="615">
        <v>6000</v>
      </c>
      <c r="BR14" s="525"/>
      <c r="BS14" s="525"/>
      <c r="BT14" s="525"/>
      <c r="BU14" s="525"/>
      <c r="BV14" s="544">
        <v>6000</v>
      </c>
      <c r="BW14" s="608"/>
      <c r="BX14" s="528">
        <f t="shared" si="9"/>
        <v>12000</v>
      </c>
      <c r="BY14" s="525"/>
      <c r="BZ14" s="525"/>
      <c r="CA14" s="525"/>
      <c r="CB14" s="525"/>
      <c r="CC14" s="525"/>
      <c r="CD14" s="619"/>
      <c r="CE14" s="619"/>
      <c r="CF14" s="619"/>
      <c r="CG14" s="619"/>
      <c r="CH14" s="619"/>
      <c r="CI14" s="619"/>
      <c r="CJ14" s="525"/>
      <c r="CK14" s="528">
        <f t="shared" si="6"/>
        <v>0</v>
      </c>
      <c r="CL14" s="526"/>
      <c r="CM14" s="525"/>
      <c r="CN14" s="526"/>
      <c r="CO14" s="525"/>
      <c r="CP14" s="525"/>
      <c r="CQ14" s="619"/>
      <c r="CR14" s="619"/>
      <c r="CS14" s="619"/>
      <c r="CT14" s="619"/>
      <c r="CU14" s="619"/>
      <c r="CV14" s="533"/>
      <c r="CW14" s="533"/>
      <c r="CX14" s="528">
        <f t="shared" si="10"/>
        <v>0</v>
      </c>
      <c r="CY14" s="881"/>
      <c r="CZ14" s="541"/>
      <c r="DA14" s="541"/>
      <c r="DB14" s="880"/>
      <c r="DC14" s="880"/>
      <c r="DD14" s="533"/>
      <c r="DE14" s="880"/>
      <c r="DF14" s="880"/>
      <c r="DG14" s="880"/>
      <c r="DH14" s="552"/>
      <c r="DI14" s="552"/>
      <c r="DJ14" s="536"/>
      <c r="DK14" s="528">
        <f t="shared" si="11"/>
        <v>0</v>
      </c>
      <c r="DL14" s="611"/>
      <c r="DO14" s="552"/>
      <c r="DP14" s="552"/>
      <c r="DQ14" s="536"/>
      <c r="DR14" s="552"/>
      <c r="DS14" s="552"/>
      <c r="DT14" s="552"/>
      <c r="DU14" s="552"/>
      <c r="DV14" s="552"/>
      <c r="DW14" s="536"/>
      <c r="DX14" s="519">
        <f t="shared" si="12"/>
        <v>0</v>
      </c>
    </row>
    <row r="15" spans="2:128" ht="15">
      <c r="B15" s="589" t="s">
        <v>23</v>
      </c>
      <c r="C15" s="512"/>
      <c r="D15" s="512"/>
      <c r="E15" s="512"/>
      <c r="F15" s="512"/>
      <c r="G15" s="512">
        <v>0</v>
      </c>
      <c r="H15" s="512">
        <v>5000</v>
      </c>
      <c r="I15" s="512"/>
      <c r="J15" s="512"/>
      <c r="K15" s="512"/>
      <c r="L15" s="512"/>
      <c r="M15" s="512"/>
      <c r="N15" s="512"/>
      <c r="O15" s="514">
        <f t="shared" si="3"/>
        <v>5000</v>
      </c>
      <c r="P15" s="534"/>
      <c r="Q15" s="534"/>
      <c r="R15" s="534"/>
      <c r="S15" s="534"/>
      <c r="T15" s="534"/>
      <c r="U15" s="534"/>
      <c r="V15" s="534"/>
      <c r="W15" s="544"/>
      <c r="X15" s="534">
        <f>5000+5000</f>
        <v>10000</v>
      </c>
      <c r="Y15" s="525"/>
      <c r="Z15" s="525"/>
      <c r="AA15" s="525"/>
      <c r="AB15" s="605">
        <f t="shared" si="4"/>
        <v>10000</v>
      </c>
      <c r="AC15" s="613"/>
      <c r="AD15" s="534">
        <v>-5000</v>
      </c>
      <c r="AE15" s="616"/>
      <c r="AF15" s="616"/>
      <c r="AG15" s="616"/>
      <c r="AH15" s="534"/>
      <c r="AI15" s="534"/>
      <c r="AJ15" s="534"/>
      <c r="AK15" s="607">
        <f t="shared" si="7"/>
        <v>-5000</v>
      </c>
      <c r="AL15" s="616"/>
      <c r="AM15" s="617"/>
      <c r="AN15" s="617"/>
      <c r="AO15" s="617"/>
      <c r="AP15" s="525"/>
      <c r="AQ15" s="533"/>
      <c r="AR15" s="533"/>
      <c r="AS15" s="533"/>
      <c r="AT15" s="533"/>
      <c r="AU15" s="533"/>
      <c r="AV15" s="533"/>
      <c r="AW15" s="533"/>
      <c r="AX15" s="528">
        <f t="shared" si="5"/>
        <v>0</v>
      </c>
      <c r="AY15" s="614"/>
      <c r="AZ15" s="533"/>
      <c r="BA15" s="535"/>
      <c r="BB15" s="533"/>
      <c r="BC15" s="533"/>
      <c r="BD15" s="525"/>
      <c r="BE15" s="525"/>
      <c r="BF15" s="525"/>
      <c r="BG15" s="525"/>
      <c r="BH15" s="525"/>
      <c r="BI15" s="525"/>
      <c r="BJ15" s="608"/>
      <c r="BK15" s="528">
        <f t="shared" si="13"/>
        <v>0</v>
      </c>
      <c r="BL15" s="614"/>
      <c r="BM15" s="533"/>
      <c r="BN15" s="535"/>
      <c r="BO15" s="533"/>
      <c r="BP15" s="533"/>
      <c r="BQ15" s="526"/>
      <c r="BR15" s="525"/>
      <c r="BS15" s="525"/>
      <c r="BT15" s="525"/>
      <c r="BU15" s="525"/>
      <c r="BV15" s="525"/>
      <c r="BW15" s="608"/>
      <c r="BX15" s="528">
        <f t="shared" si="9"/>
        <v>0</v>
      </c>
      <c r="BY15" s="525"/>
      <c r="BZ15" s="525"/>
      <c r="CA15" s="525"/>
      <c r="CB15" s="525"/>
      <c r="CC15" s="525"/>
      <c r="CD15" s="525"/>
      <c r="CE15" s="525"/>
      <c r="CF15" s="525"/>
      <c r="CG15" s="525"/>
      <c r="CH15" s="525"/>
      <c r="CI15" s="525"/>
      <c r="CJ15" s="525"/>
      <c r="CK15" s="528">
        <f t="shared" si="6"/>
        <v>0</v>
      </c>
      <c r="CL15" s="526"/>
      <c r="CM15" s="525"/>
      <c r="CN15" s="526"/>
      <c r="CO15" s="525"/>
      <c r="CP15" s="525"/>
      <c r="CQ15" s="525"/>
      <c r="CR15" s="525"/>
      <c r="CS15" s="525"/>
      <c r="CT15" s="525"/>
      <c r="CU15" s="525"/>
      <c r="CV15" s="533"/>
      <c r="CW15" s="533"/>
      <c r="CX15" s="528">
        <f t="shared" si="10"/>
        <v>0</v>
      </c>
      <c r="CY15" s="881"/>
      <c r="CZ15" s="541"/>
      <c r="DA15" s="541"/>
      <c r="DB15" s="880"/>
      <c r="DC15" s="880"/>
      <c r="DD15" s="533"/>
      <c r="DE15" s="880"/>
      <c r="DF15" s="880"/>
      <c r="DG15" s="880"/>
      <c r="DH15" s="552"/>
      <c r="DI15" s="552"/>
      <c r="DJ15" s="536"/>
      <c r="DK15" s="528">
        <f t="shared" si="11"/>
        <v>0</v>
      </c>
      <c r="DL15" s="611"/>
      <c r="DO15" s="552"/>
      <c r="DP15" s="552"/>
      <c r="DQ15" s="536"/>
      <c r="DR15" s="552"/>
      <c r="DS15" s="552"/>
      <c r="DT15" s="552"/>
      <c r="DU15" s="552"/>
      <c r="DV15" s="552"/>
      <c r="DW15" s="536"/>
      <c r="DX15" s="519">
        <f t="shared" si="12"/>
        <v>0</v>
      </c>
    </row>
    <row r="16" spans="2:128" ht="15">
      <c r="B16" s="589" t="s">
        <v>38</v>
      </c>
      <c r="C16" s="512"/>
      <c r="D16" s="512"/>
      <c r="E16" s="512"/>
      <c r="F16" s="512"/>
      <c r="G16" s="512"/>
      <c r="H16" s="512"/>
      <c r="I16" s="512"/>
      <c r="J16" s="512"/>
      <c r="K16" s="512"/>
      <c r="L16" s="512"/>
      <c r="M16" s="512"/>
      <c r="N16" s="512"/>
      <c r="O16" s="514">
        <f t="shared" si="3"/>
        <v>0</v>
      </c>
      <c r="P16" s="534"/>
      <c r="Q16" s="534"/>
      <c r="R16" s="534"/>
      <c r="S16" s="544">
        <v>4500</v>
      </c>
      <c r="T16" s="534"/>
      <c r="U16" s="534"/>
      <c r="V16" s="534"/>
      <c r="W16" s="544"/>
      <c r="X16" s="525"/>
      <c r="Y16" s="525"/>
      <c r="Z16" s="525"/>
      <c r="AA16" s="525"/>
      <c r="AB16" s="605">
        <f t="shared" si="4"/>
        <v>4500</v>
      </c>
      <c r="AC16" s="620"/>
      <c r="AD16" s="616"/>
      <c r="AE16" s="616"/>
      <c r="AF16" s="534"/>
      <c r="AG16" s="534"/>
      <c r="AH16" s="534"/>
      <c r="AI16" s="544">
        <v>4500</v>
      </c>
      <c r="AJ16" s="616"/>
      <c r="AK16" s="607">
        <f t="shared" si="7"/>
        <v>4500</v>
      </c>
      <c r="AL16" s="616"/>
      <c r="AM16" s="617"/>
      <c r="AN16" s="617"/>
      <c r="AO16" s="617"/>
      <c r="AP16" s="525"/>
      <c r="AQ16" s="533"/>
      <c r="AR16" s="533"/>
      <c r="AS16" s="525"/>
      <c r="AT16" s="525"/>
      <c r="AU16" s="533"/>
      <c r="AV16" s="525"/>
      <c r="AW16" s="533"/>
      <c r="AX16" s="528">
        <f t="shared" si="5"/>
        <v>0</v>
      </c>
      <c r="AY16" s="525"/>
      <c r="AZ16" s="533"/>
      <c r="BA16" s="526"/>
      <c r="BB16" s="544">
        <v>10000</v>
      </c>
      <c r="BC16" s="533"/>
      <c r="BD16" s="525"/>
      <c r="BE16" s="525"/>
      <c r="BF16" s="525"/>
      <c r="BG16" s="533"/>
      <c r="BH16" s="525"/>
      <c r="BI16" s="525"/>
      <c r="BJ16" s="608"/>
      <c r="BK16" s="528">
        <f>SUM(AY16:BJ16)</f>
        <v>10000</v>
      </c>
      <c r="BL16" s="614"/>
      <c r="BM16" s="533"/>
      <c r="BN16" s="535"/>
      <c r="BO16" s="533"/>
      <c r="BP16" s="533"/>
      <c r="BQ16" s="526"/>
      <c r="BR16" s="525"/>
      <c r="BS16" s="525"/>
      <c r="BT16" s="525"/>
      <c r="BU16" s="533"/>
      <c r="BV16" s="525"/>
      <c r="BW16" s="563"/>
      <c r="BX16" s="528">
        <f>SUM(BL16:BW16)</f>
        <v>0</v>
      </c>
      <c r="BY16" s="544">
        <f>5285+5715</f>
        <v>11000</v>
      </c>
      <c r="BZ16" s="525"/>
      <c r="CA16" s="525"/>
      <c r="CB16" s="525"/>
      <c r="CC16" s="525"/>
      <c r="CD16" s="525"/>
      <c r="CE16" s="525"/>
      <c r="CF16" s="525"/>
      <c r="CG16" s="544">
        <v>4200</v>
      </c>
      <c r="CH16" s="525"/>
      <c r="CI16" s="525"/>
      <c r="CJ16" s="525"/>
      <c r="CK16" s="528">
        <f t="shared" si="6"/>
        <v>15200</v>
      </c>
      <c r="CL16" s="526"/>
      <c r="CM16" s="525"/>
      <c r="CN16" s="526"/>
      <c r="CO16" s="525"/>
      <c r="CP16" s="525"/>
      <c r="CQ16" s="525"/>
      <c r="CR16" s="525"/>
      <c r="CS16" s="544">
        <v>4400</v>
      </c>
      <c r="CT16" s="525"/>
      <c r="CU16" s="525"/>
      <c r="CV16" s="541"/>
      <c r="CW16" s="533"/>
      <c r="CX16" s="528">
        <f>SUM(CL16:CW16)</f>
        <v>4400</v>
      </c>
      <c r="CY16" s="541"/>
      <c r="CZ16" s="541"/>
      <c r="DA16" s="541"/>
      <c r="DB16" s="544">
        <v>5500</v>
      </c>
      <c r="DC16" s="880"/>
      <c r="DD16" s="533"/>
      <c r="DE16" s="880"/>
      <c r="DF16" s="880"/>
      <c r="DG16" s="880"/>
      <c r="DH16" s="572">
        <v>4400</v>
      </c>
      <c r="DI16" s="552"/>
      <c r="DJ16" s="536">
        <v>6000</v>
      </c>
      <c r="DK16" s="528">
        <f>SUM(DB16:DJ16)</f>
        <v>15900</v>
      </c>
      <c r="DL16" s="611"/>
      <c r="DO16" s="552"/>
      <c r="DP16" s="552"/>
      <c r="DQ16" s="536"/>
      <c r="DR16" s="552"/>
      <c r="DS16" s="552"/>
      <c r="DT16" s="552"/>
      <c r="DU16" s="552"/>
      <c r="DV16" s="552"/>
      <c r="DW16" s="536">
        <v>6000</v>
      </c>
      <c r="DX16" s="519">
        <f t="shared" si="12"/>
        <v>6000</v>
      </c>
    </row>
    <row r="17" spans="1:130" ht="15">
      <c r="B17" s="589" t="s">
        <v>49</v>
      </c>
      <c r="C17" s="512"/>
      <c r="D17" s="512"/>
      <c r="E17" s="512"/>
      <c r="F17" s="512"/>
      <c r="G17" s="512"/>
      <c r="H17" s="512"/>
      <c r="I17" s="512"/>
      <c r="J17" s="512"/>
      <c r="K17" s="512"/>
      <c r="L17" s="512"/>
      <c r="M17" s="512"/>
      <c r="N17" s="512"/>
      <c r="O17" s="514">
        <f t="shared" si="3"/>
        <v>0</v>
      </c>
      <c r="P17" s="534"/>
      <c r="Q17" s="544">
        <v>12500</v>
      </c>
      <c r="R17" s="534"/>
      <c r="S17" s="534"/>
      <c r="T17" s="534"/>
      <c r="U17" s="534"/>
      <c r="V17" s="534"/>
      <c r="W17" s="544"/>
      <c r="X17" s="525"/>
      <c r="Y17" s="525"/>
      <c r="Z17" s="525"/>
      <c r="AA17" s="525"/>
      <c r="AB17" s="605">
        <f t="shared" si="4"/>
        <v>12500</v>
      </c>
      <c r="AC17" s="609">
        <f>12500</f>
        <v>12500</v>
      </c>
      <c r="AD17" s="534"/>
      <c r="AE17" s="616"/>
      <c r="AF17" s="616"/>
      <c r="AG17" s="616"/>
      <c r="AH17" s="616"/>
      <c r="AI17" s="616"/>
      <c r="AJ17" s="616"/>
      <c r="AK17" s="607">
        <f t="shared" si="7"/>
        <v>12500</v>
      </c>
      <c r="AL17" s="616"/>
      <c r="AM17" s="617"/>
      <c r="AN17" s="563">
        <f>12500*0</f>
        <v>0</v>
      </c>
      <c r="AO17" s="617"/>
      <c r="AP17" s="525"/>
      <c r="AQ17" s="525"/>
      <c r="AR17" s="525"/>
      <c r="AS17" s="525"/>
      <c r="AT17" s="525"/>
      <c r="AU17" s="525"/>
      <c r="AV17" s="525"/>
      <c r="AW17" s="533"/>
      <c r="AX17" s="528">
        <f t="shared" si="5"/>
        <v>0</v>
      </c>
      <c r="AY17" s="614"/>
      <c r="AZ17" s="533"/>
      <c r="BA17" s="535"/>
      <c r="BB17" s="533"/>
      <c r="BC17" s="533"/>
      <c r="BD17" s="533"/>
      <c r="BE17" s="525"/>
      <c r="BF17" s="525"/>
      <c r="BG17" s="525"/>
      <c r="BH17" s="525"/>
      <c r="BI17" s="525"/>
      <c r="BJ17" s="608"/>
      <c r="BK17" s="528">
        <f t="shared" si="13"/>
        <v>0</v>
      </c>
      <c r="BL17" s="614"/>
      <c r="BM17" s="533"/>
      <c r="BN17" s="535"/>
      <c r="BO17" s="533"/>
      <c r="BP17" s="533"/>
      <c r="BQ17" s="535"/>
      <c r="BR17" s="525"/>
      <c r="BS17" s="525"/>
      <c r="BT17" s="525"/>
      <c r="BU17" s="525"/>
      <c r="BV17" s="525"/>
      <c r="BW17" s="608"/>
      <c r="BX17" s="528">
        <f t="shared" si="9"/>
        <v>0</v>
      </c>
      <c r="BY17" s="525"/>
      <c r="BZ17" s="525"/>
      <c r="CA17" s="525"/>
      <c r="CB17" s="525"/>
      <c r="CC17" s="525"/>
      <c r="CD17" s="525"/>
      <c r="CE17" s="525"/>
      <c r="CF17" s="525"/>
      <c r="CG17" s="525"/>
      <c r="CH17" s="525"/>
      <c r="CI17" s="525"/>
      <c r="CJ17" s="525"/>
      <c r="CK17" s="528">
        <f t="shared" si="6"/>
        <v>0</v>
      </c>
      <c r="CL17" s="526"/>
      <c r="CM17" s="525"/>
      <c r="CN17" s="526"/>
      <c r="CO17" s="525"/>
      <c r="CP17" s="525"/>
      <c r="CQ17" s="525"/>
      <c r="CR17" s="525"/>
      <c r="CS17" s="525"/>
      <c r="CT17" s="525"/>
      <c r="CU17" s="525"/>
      <c r="CV17" s="525"/>
      <c r="CW17" s="525"/>
      <c r="CX17" s="528">
        <f t="shared" si="10"/>
        <v>0</v>
      </c>
      <c r="CY17" s="881"/>
      <c r="CZ17" s="541"/>
      <c r="DA17" s="541"/>
      <c r="DB17" s="541"/>
      <c r="DC17" s="541"/>
      <c r="DD17" s="533"/>
      <c r="DE17" s="880"/>
      <c r="DF17" s="880"/>
      <c r="DG17" s="880"/>
      <c r="DH17" s="552"/>
      <c r="DK17" s="528">
        <f t="shared" si="11"/>
        <v>0</v>
      </c>
      <c r="DL17" s="611"/>
      <c r="DQ17" s="536"/>
      <c r="DR17" s="552"/>
      <c r="DS17" s="552"/>
      <c r="DT17" s="552"/>
      <c r="DU17" s="552"/>
      <c r="DX17" s="519">
        <f t="shared" si="12"/>
        <v>0</v>
      </c>
    </row>
    <row r="18" spans="1:130" ht="15">
      <c r="B18" s="589" t="s">
        <v>144</v>
      </c>
      <c r="C18" s="512"/>
      <c r="D18" s="512"/>
      <c r="E18" s="512"/>
      <c r="F18" s="512"/>
      <c r="G18" s="512"/>
      <c r="H18" s="512"/>
      <c r="I18" s="512"/>
      <c r="J18" s="512"/>
      <c r="K18" s="512"/>
      <c r="L18" s="512"/>
      <c r="M18" s="512"/>
      <c r="N18" s="512"/>
      <c r="O18" s="514">
        <f t="shared" si="3"/>
        <v>0</v>
      </c>
      <c r="P18" s="534"/>
      <c r="Q18" s="544"/>
      <c r="R18" s="534"/>
      <c r="S18" s="534"/>
      <c r="T18" s="534"/>
      <c r="U18" s="534"/>
      <c r="V18" s="534"/>
      <c r="W18" s="544"/>
      <c r="X18" s="525"/>
      <c r="Y18" s="525"/>
      <c r="Z18" s="525"/>
      <c r="AA18" s="525"/>
      <c r="AB18" s="605">
        <f t="shared" si="4"/>
        <v>0</v>
      </c>
      <c r="AC18" s="613"/>
      <c r="AD18" s="534"/>
      <c r="AE18" s="534"/>
      <c r="AF18" s="544">
        <v>12000</v>
      </c>
      <c r="AG18" s="616"/>
      <c r="AH18" s="616"/>
      <c r="AI18" s="616"/>
      <c r="AJ18" s="616"/>
      <c r="AK18" s="607">
        <f t="shared" si="7"/>
        <v>12000</v>
      </c>
      <c r="AL18" s="616"/>
      <c r="AM18" s="617"/>
      <c r="AN18" s="617"/>
      <c r="AO18" s="617"/>
      <c r="AP18" s="525"/>
      <c r="AQ18" s="525"/>
      <c r="AR18" s="525"/>
      <c r="AS18" s="525"/>
      <c r="AT18" s="525"/>
      <c r="AU18" s="544">
        <v>12000</v>
      </c>
      <c r="AV18" s="533"/>
      <c r="AW18" s="533"/>
      <c r="AX18" s="528">
        <f>SUM(AL18:AW18)</f>
        <v>12000</v>
      </c>
      <c r="AY18" s="614"/>
      <c r="AZ18" s="533"/>
      <c r="BA18" s="535"/>
      <c r="BB18" s="533"/>
      <c r="BC18" s="533"/>
      <c r="BD18" s="525"/>
      <c r="BE18" s="544">
        <v>12000</v>
      </c>
      <c r="BF18" s="525"/>
      <c r="BG18" s="525"/>
      <c r="BH18" s="525"/>
      <c r="BI18" s="525"/>
      <c r="BJ18" s="608"/>
      <c r="BK18" s="528">
        <f t="shared" si="13"/>
        <v>12000</v>
      </c>
      <c r="BL18" s="614"/>
      <c r="BM18" s="533"/>
      <c r="BN18" s="535"/>
      <c r="BO18" s="533"/>
      <c r="BP18" s="533"/>
      <c r="BQ18" s="526"/>
      <c r="BR18" s="544">
        <v>12000</v>
      </c>
      <c r="BS18" s="525"/>
      <c r="BT18" s="525"/>
      <c r="BU18" s="525"/>
      <c r="BV18" s="525"/>
      <c r="BW18" s="608"/>
      <c r="BX18" s="528">
        <f t="shared" si="9"/>
        <v>12000</v>
      </c>
      <c r="BY18" s="525"/>
      <c r="BZ18" s="525"/>
      <c r="CA18" s="525"/>
      <c r="CB18" s="525"/>
      <c r="CC18" s="525"/>
      <c r="CD18" s="544">
        <v>13200</v>
      </c>
      <c r="CE18" s="525"/>
      <c r="CF18" s="525"/>
      <c r="CG18" s="525"/>
      <c r="CH18" s="525"/>
      <c r="CI18" s="525"/>
      <c r="CJ18" s="525"/>
      <c r="CK18" s="528">
        <f>SUM(BY18:CJ18)</f>
        <v>13200</v>
      </c>
      <c r="CL18" s="526"/>
      <c r="CM18" s="525"/>
      <c r="CN18" s="526"/>
      <c r="CO18" s="525"/>
      <c r="CP18" s="544">
        <v>13200</v>
      </c>
      <c r="CQ18" s="541"/>
      <c r="CR18" s="525"/>
      <c r="CS18" s="525"/>
      <c r="CT18" s="525"/>
      <c r="CU18" s="525"/>
      <c r="CV18" s="525"/>
      <c r="CW18" s="525"/>
      <c r="CX18" s="528">
        <f t="shared" si="10"/>
        <v>13200</v>
      </c>
      <c r="CY18" s="881"/>
      <c r="CZ18" s="541"/>
      <c r="DA18" s="541"/>
      <c r="DB18" s="541"/>
      <c r="DC18" s="544">
        <v>14000</v>
      </c>
      <c r="DD18" s="541"/>
      <c r="DE18" s="880"/>
      <c r="DF18" s="880"/>
      <c r="DG18" s="880"/>
      <c r="DH18" s="552"/>
      <c r="DK18" s="528">
        <f t="shared" si="11"/>
        <v>14000</v>
      </c>
      <c r="DL18" s="611"/>
      <c r="DQ18" s="536">
        <v>13200</v>
      </c>
      <c r="DR18" s="552"/>
      <c r="DS18" s="552"/>
      <c r="DT18" s="552"/>
      <c r="DU18" s="552"/>
      <c r="DX18" s="519">
        <f t="shared" si="12"/>
        <v>13200</v>
      </c>
    </row>
    <row r="19" spans="1:130" ht="15">
      <c r="A19" s="589"/>
      <c r="B19" s="589" t="s">
        <v>145</v>
      </c>
      <c r="C19" s="512"/>
      <c r="D19" s="512"/>
      <c r="E19" s="512"/>
      <c r="F19" s="512"/>
      <c r="G19" s="512"/>
      <c r="H19" s="512"/>
      <c r="I19" s="512"/>
      <c r="J19" s="512"/>
      <c r="K19" s="512"/>
      <c r="L19" s="512"/>
      <c r="M19" s="512"/>
      <c r="N19" s="512"/>
      <c r="O19" s="514">
        <f t="shared" si="3"/>
        <v>0</v>
      </c>
      <c r="P19" s="534"/>
      <c r="Q19" s="534"/>
      <c r="R19" s="534"/>
      <c r="S19" s="534"/>
      <c r="T19" s="534"/>
      <c r="U19" s="534"/>
      <c r="V19" s="544">
        <v>12500</v>
      </c>
      <c r="W19" s="544"/>
      <c r="X19" s="525"/>
      <c r="Y19" s="525"/>
      <c r="Z19" s="525"/>
      <c r="AA19" s="525"/>
      <c r="AB19" s="605">
        <f t="shared" si="4"/>
        <v>12500</v>
      </c>
      <c r="AC19" s="620"/>
      <c r="AD19" s="534"/>
      <c r="AE19" s="534"/>
      <c r="AF19" s="534"/>
      <c r="AG19" s="534"/>
      <c r="AH19" s="534"/>
      <c r="AI19" s="534"/>
      <c r="AJ19" s="534"/>
      <c r="AK19" s="607">
        <f t="shared" si="7"/>
        <v>0</v>
      </c>
      <c r="AL19" s="534"/>
      <c r="AM19" s="544">
        <v>11500</v>
      </c>
      <c r="AN19" s="525"/>
      <c r="AO19" s="617"/>
      <c r="AP19" s="525"/>
      <c r="AQ19" s="525"/>
      <c r="AR19" s="525"/>
      <c r="AS19" s="525"/>
      <c r="AT19" s="525"/>
      <c r="AU19" s="533"/>
      <c r="AV19" s="533"/>
      <c r="AW19" s="544">
        <v>12500</v>
      </c>
      <c r="AX19" s="528">
        <f>SUM(AL19:AW19)</f>
        <v>24000</v>
      </c>
      <c r="AY19" s="614"/>
      <c r="AZ19" s="533"/>
      <c r="BA19" s="535"/>
      <c r="BB19" s="533"/>
      <c r="BC19" s="533"/>
      <c r="BD19" s="525"/>
      <c r="BE19" s="525"/>
      <c r="BF19" s="525"/>
      <c r="BG19" s="525"/>
      <c r="BH19" s="525"/>
      <c r="BI19" s="525"/>
      <c r="BJ19" s="563"/>
      <c r="BK19" s="528">
        <f>SUM(AY19:BJ19)</f>
        <v>0</v>
      </c>
      <c r="BL19" s="544">
        <v>11500</v>
      </c>
      <c r="BM19" s="533"/>
      <c r="BN19" s="535"/>
      <c r="BO19" s="533"/>
      <c r="BP19" s="533"/>
      <c r="BQ19" s="526"/>
      <c r="BR19" s="525"/>
      <c r="BS19" s="525"/>
      <c r="BT19" s="525"/>
      <c r="BU19" s="525"/>
      <c r="BV19" s="544">
        <v>12000</v>
      </c>
      <c r="BW19" s="525"/>
      <c r="BX19" s="528">
        <f>SUM(BL19:BV19)</f>
        <v>23500</v>
      </c>
      <c r="BY19" s="525"/>
      <c r="BZ19" s="525"/>
      <c r="CA19" s="525"/>
      <c r="CB19" s="525"/>
      <c r="CC19" s="525"/>
      <c r="CD19" s="619"/>
      <c r="CE19" s="525"/>
      <c r="CF19" s="525"/>
      <c r="CG19" s="525"/>
      <c r="CH19" s="525"/>
      <c r="CI19" s="525"/>
      <c r="CJ19" s="544">
        <v>12000</v>
      </c>
      <c r="CK19" s="528">
        <f t="shared" si="6"/>
        <v>12000</v>
      </c>
      <c r="CL19" s="526"/>
      <c r="CM19" s="525"/>
      <c r="CN19" s="526"/>
      <c r="CO19" s="525"/>
      <c r="CP19" s="525"/>
      <c r="CQ19" s="525"/>
      <c r="CR19" s="525"/>
      <c r="CS19" s="525"/>
      <c r="CT19" s="525"/>
      <c r="CU19" s="525"/>
      <c r="CV19" s="525"/>
      <c r="CW19" s="544">
        <v>13200</v>
      </c>
      <c r="CX19" s="528">
        <f t="shared" si="10"/>
        <v>13200</v>
      </c>
      <c r="CY19" s="881"/>
      <c r="CZ19" s="541"/>
      <c r="DA19" s="541"/>
      <c r="DB19" s="541"/>
      <c r="DC19" s="541"/>
      <c r="DD19" s="880"/>
      <c r="DE19" s="880"/>
      <c r="DF19" s="880"/>
      <c r="DG19" s="880"/>
      <c r="DH19" s="552"/>
      <c r="DJ19" s="572">
        <v>13200</v>
      </c>
      <c r="DK19" s="528">
        <f t="shared" si="11"/>
        <v>13200</v>
      </c>
      <c r="DW19" s="536">
        <v>13200</v>
      </c>
      <c r="DX19" s="519">
        <f t="shared" si="12"/>
        <v>13200</v>
      </c>
    </row>
    <row r="20" spans="1:130" ht="15">
      <c r="A20" s="589"/>
      <c r="B20" s="589" t="s">
        <v>67</v>
      </c>
      <c r="C20" s="512"/>
      <c r="D20" s="512"/>
      <c r="E20" s="512"/>
      <c r="F20" s="512"/>
      <c r="G20" s="512"/>
      <c r="H20" s="512"/>
      <c r="I20" s="512"/>
      <c r="J20" s="512"/>
      <c r="K20" s="512"/>
      <c r="L20" s="512"/>
      <c r="M20" s="512"/>
      <c r="N20" s="512"/>
      <c r="O20" s="514">
        <f t="shared" si="3"/>
        <v>0</v>
      </c>
      <c r="P20" s="534"/>
      <c r="Q20" s="616"/>
      <c r="R20" s="616"/>
      <c r="S20" s="534"/>
      <c r="T20" s="534">
        <v>7069.18</v>
      </c>
      <c r="U20" s="534"/>
      <c r="V20" s="534"/>
      <c r="W20" s="544"/>
      <c r="X20" s="525"/>
      <c r="Y20" s="525"/>
      <c r="Z20" s="525"/>
      <c r="AA20" s="525"/>
      <c r="AB20" s="605">
        <f t="shared" si="4"/>
        <v>7069.18</v>
      </c>
      <c r="AC20" s="620"/>
      <c r="AD20" s="616"/>
      <c r="AE20" s="616"/>
      <c r="AF20" s="616"/>
      <c r="AG20" s="534"/>
      <c r="AH20" s="534"/>
      <c r="AI20" s="621">
        <f>4000/1.1608</f>
        <v>3445.8993797381113</v>
      </c>
      <c r="AJ20" s="534"/>
      <c r="AK20" s="607">
        <f t="shared" si="7"/>
        <v>3445.8993797381113</v>
      </c>
      <c r="AL20" s="616"/>
      <c r="AM20" s="617"/>
      <c r="AN20" s="617"/>
      <c r="AO20" s="617"/>
      <c r="AP20" s="525"/>
      <c r="AQ20" s="533"/>
      <c r="AR20" s="533"/>
      <c r="AS20" s="525"/>
      <c r="AT20" s="544">
        <f>5000/1.2059</f>
        <v>4146.2807861348374</v>
      </c>
      <c r="AU20" s="533"/>
      <c r="AV20" s="533"/>
      <c r="AW20" s="533"/>
      <c r="AX20" s="528">
        <f t="shared" si="5"/>
        <v>4146.2807861348374</v>
      </c>
      <c r="AY20" s="614"/>
      <c r="AZ20" s="533"/>
      <c r="BA20" s="533"/>
      <c r="BB20" s="533"/>
      <c r="BC20" s="533"/>
      <c r="BD20" s="525"/>
      <c r="BE20" s="525"/>
      <c r="BF20" s="525"/>
      <c r="BG20" s="525"/>
      <c r="BH20" s="544">
        <f>6000/1.0726</f>
        <v>5593.8840201379826</v>
      </c>
      <c r="BI20" s="525"/>
      <c r="BJ20" s="608"/>
      <c r="BK20" s="528">
        <f t="shared" si="13"/>
        <v>5593.8840201379826</v>
      </c>
      <c r="BL20" s="614"/>
      <c r="BM20" s="533"/>
      <c r="BN20" s="535"/>
      <c r="BO20" s="533"/>
      <c r="BP20" s="533"/>
      <c r="BQ20" s="526"/>
      <c r="BR20" s="525"/>
      <c r="BS20" s="544">
        <f>6000/1.094</f>
        <v>5484.460694698354</v>
      </c>
      <c r="BT20" s="525"/>
      <c r="BU20" s="525"/>
      <c r="BV20" s="525"/>
      <c r="BW20" s="608"/>
      <c r="BX20" s="528">
        <f t="shared" si="9"/>
        <v>5484.460694698354</v>
      </c>
      <c r="BY20" s="525"/>
      <c r="BZ20" s="525"/>
      <c r="CA20" s="525"/>
      <c r="CB20" s="525"/>
      <c r="CC20" s="525"/>
      <c r="CD20" s="525"/>
      <c r="CE20" s="525"/>
      <c r="CF20" s="544">
        <f>8000/1.072</f>
        <v>7462.686567164179</v>
      </c>
      <c r="CG20" s="525"/>
      <c r="CH20" s="525"/>
      <c r="CI20" s="525"/>
      <c r="CJ20" s="525"/>
      <c r="CK20" s="528">
        <f t="shared" si="6"/>
        <v>7462.686567164179</v>
      </c>
      <c r="CL20" s="526"/>
      <c r="CM20" s="525"/>
      <c r="CN20" s="526"/>
      <c r="CO20" s="525"/>
      <c r="CP20" s="525"/>
      <c r="CQ20" s="525"/>
      <c r="CR20" s="525"/>
      <c r="CS20" s="544">
        <f>8500/1.1358</f>
        <v>7483.7119211128729</v>
      </c>
      <c r="CT20" s="541"/>
      <c r="CU20" s="525"/>
      <c r="CV20" s="525"/>
      <c r="CW20" s="525"/>
      <c r="CX20" s="528">
        <f t="shared" si="10"/>
        <v>7483.7119211128729</v>
      </c>
      <c r="CY20" s="881"/>
      <c r="CZ20" s="541"/>
      <c r="DA20" s="541"/>
      <c r="DB20" s="541"/>
      <c r="DC20" s="541"/>
      <c r="DD20" s="880"/>
      <c r="DE20" s="533"/>
      <c r="DF20" s="541"/>
      <c r="DG20" s="541"/>
      <c r="DH20" s="536">
        <f>8500/1.15</f>
        <v>7391.3043478260879</v>
      </c>
      <c r="DK20" s="528">
        <f t="shared" si="11"/>
        <v>7391.3043478260879</v>
      </c>
      <c r="DL20" s="611"/>
      <c r="DQ20" s="552"/>
      <c r="DR20" s="536"/>
      <c r="DS20" s="536">
        <f>8000/1.1</f>
        <v>7272.7272727272721</v>
      </c>
      <c r="DT20" s="552"/>
      <c r="DU20" s="552"/>
      <c r="DX20" s="519">
        <f t="shared" si="12"/>
        <v>7272.7272727272721</v>
      </c>
    </row>
    <row r="21" spans="1:130" ht="15">
      <c r="A21" s="589"/>
      <c r="B21" s="589" t="s">
        <v>34</v>
      </c>
      <c r="C21" s="512"/>
      <c r="D21" s="512"/>
      <c r="E21" s="512"/>
      <c r="F21" s="512"/>
      <c r="G21" s="512"/>
      <c r="H21" s="512"/>
      <c r="I21" s="512"/>
      <c r="J21" s="512"/>
      <c r="K21" s="512"/>
      <c r="L21" s="512"/>
      <c r="M21" s="512"/>
      <c r="N21" s="512"/>
      <c r="O21" s="514">
        <f t="shared" si="3"/>
        <v>0</v>
      </c>
      <c r="P21" s="534"/>
      <c r="Q21" s="534"/>
      <c r="R21" s="616"/>
      <c r="S21" s="534"/>
      <c r="T21" s="534"/>
      <c r="U21" s="534"/>
      <c r="V21" s="534"/>
      <c r="W21" s="544"/>
      <c r="X21" s="525"/>
      <c r="Y21" s="617"/>
      <c r="Z21" s="525"/>
      <c r="AA21" s="617"/>
      <c r="AB21" s="605">
        <f t="shared" si="4"/>
        <v>0</v>
      </c>
      <c r="AC21" s="620"/>
      <c r="AD21" s="616"/>
      <c r="AE21" s="616"/>
      <c r="AF21" s="534"/>
      <c r="AG21" s="534"/>
      <c r="AH21" s="534"/>
      <c r="AI21" s="534"/>
      <c r="AJ21" s="534"/>
      <c r="AK21" s="607">
        <f t="shared" si="7"/>
        <v>0</v>
      </c>
      <c r="AL21" s="544">
        <v>22000</v>
      </c>
      <c r="AM21" s="525"/>
      <c r="AN21" s="617"/>
      <c r="AO21" s="617"/>
      <c r="AP21" s="525"/>
      <c r="AQ21" s="533"/>
      <c r="AR21" s="533"/>
      <c r="AS21" s="533"/>
      <c r="AT21" s="525"/>
      <c r="AU21" s="525"/>
      <c r="AV21" s="544">
        <f>22000/1.1767</f>
        <v>18696.354210928868</v>
      </c>
      <c r="AW21" s="533"/>
      <c r="AX21" s="528">
        <f t="shared" si="5"/>
        <v>40696.354210928868</v>
      </c>
      <c r="AY21" s="614"/>
      <c r="AZ21" s="533"/>
      <c r="BA21" s="533"/>
      <c r="BB21" s="533"/>
      <c r="BC21" s="533"/>
      <c r="BD21" s="525"/>
      <c r="BE21" s="525"/>
      <c r="BF21" s="615">
        <f>22000/1.083</f>
        <v>20313.942751615883</v>
      </c>
      <c r="BG21" s="525"/>
      <c r="BH21" s="563"/>
      <c r="BI21" s="525"/>
      <c r="BJ21" s="608"/>
      <c r="BK21" s="528">
        <f t="shared" si="13"/>
        <v>20313.942751615883</v>
      </c>
      <c r="BL21" s="614"/>
      <c r="BM21" s="533"/>
      <c r="BN21" s="535"/>
      <c r="BO21" s="533"/>
      <c r="BP21" s="533"/>
      <c r="BQ21" s="526"/>
      <c r="BR21" s="544">
        <f>22000/1.0875</f>
        <v>20229.885057471267</v>
      </c>
      <c r="BS21" s="525"/>
      <c r="BT21" s="525"/>
      <c r="BU21" s="525"/>
      <c r="BV21" s="525"/>
      <c r="BW21" s="608"/>
      <c r="BX21" s="528">
        <f t="shared" si="9"/>
        <v>20229.885057471267</v>
      </c>
      <c r="BY21" s="525"/>
      <c r="BZ21" s="525"/>
      <c r="CA21" s="525"/>
      <c r="CB21" s="525"/>
      <c r="CC21" s="525"/>
      <c r="CD21" s="525"/>
      <c r="CE21" s="525"/>
      <c r="CF21" s="525"/>
      <c r="CG21" s="525"/>
      <c r="CH21" s="544">
        <f>22000/1.0842</f>
        <v>20291.459140380004</v>
      </c>
      <c r="CI21" s="525"/>
      <c r="CJ21" s="525"/>
      <c r="CK21" s="528">
        <f t="shared" si="6"/>
        <v>20291.459140380004</v>
      </c>
      <c r="CL21" s="526"/>
      <c r="CM21" s="525"/>
      <c r="CN21" s="526"/>
      <c r="CO21" s="525"/>
      <c r="CP21" s="525"/>
      <c r="CQ21" s="525"/>
      <c r="CR21" s="541"/>
      <c r="CS21" s="541"/>
      <c r="CT21" s="541"/>
      <c r="CU21" s="541"/>
      <c r="CV21" s="544">
        <f>16500/1.1728</f>
        <v>14068.894952251023</v>
      </c>
      <c r="CW21" s="525"/>
      <c r="CX21" s="528">
        <f t="shared" si="10"/>
        <v>14068.894952251023</v>
      </c>
      <c r="CY21" s="881"/>
      <c r="CZ21" s="541"/>
      <c r="DA21" s="541"/>
      <c r="DB21" s="541"/>
      <c r="DC21" s="541"/>
      <c r="DD21" s="880"/>
      <c r="DE21" s="541"/>
      <c r="DF21" s="533"/>
      <c r="DG21" s="541"/>
      <c r="DJ21" s="536">
        <f>10000/1.15</f>
        <v>8695.652173913044</v>
      </c>
      <c r="DK21" s="528">
        <f>SUM(CY21:DJ21)</f>
        <v>8695.652173913044</v>
      </c>
      <c r="DL21" s="611"/>
      <c r="DQ21" s="552"/>
      <c r="DR21" s="536">
        <f>16500/1.1</f>
        <v>14999.999999999998</v>
      </c>
      <c r="DS21" s="536"/>
      <c r="DT21" s="552"/>
      <c r="DU21" s="552"/>
      <c r="DX21" s="519">
        <f t="shared" si="12"/>
        <v>14999.999999999998</v>
      </c>
    </row>
    <row r="22" spans="1:130" ht="15">
      <c r="A22" s="589"/>
      <c r="B22" s="589" t="s">
        <v>33</v>
      </c>
      <c r="C22" s="512"/>
      <c r="D22" s="512"/>
      <c r="E22" s="512"/>
      <c r="F22" s="512"/>
      <c r="G22" s="512"/>
      <c r="H22" s="512"/>
      <c r="I22" s="512"/>
      <c r="J22" s="512"/>
      <c r="K22" s="512"/>
      <c r="L22" s="512"/>
      <c r="M22" s="512"/>
      <c r="N22" s="512"/>
      <c r="O22" s="514">
        <f t="shared" si="3"/>
        <v>0</v>
      </c>
      <c r="P22" s="534"/>
      <c r="Q22" s="544"/>
      <c r="R22" s="616"/>
      <c r="S22" s="544">
        <f>15000*1.21</f>
        <v>18150</v>
      </c>
      <c r="T22" s="544"/>
      <c r="U22" s="544"/>
      <c r="V22" s="544"/>
      <c r="W22" s="544"/>
      <c r="X22" s="563"/>
      <c r="Y22" s="563"/>
      <c r="Z22" s="563"/>
      <c r="AA22" s="563"/>
      <c r="AB22" s="605">
        <f t="shared" si="4"/>
        <v>18150</v>
      </c>
      <c r="AC22" s="620"/>
      <c r="AD22" s="616"/>
      <c r="AE22" s="534"/>
      <c r="AF22" s="534"/>
      <c r="AG22" s="534"/>
      <c r="AH22" s="534"/>
      <c r="AI22" s="534"/>
      <c r="AJ22" s="534"/>
      <c r="AK22" s="607">
        <f t="shared" si="7"/>
        <v>0</v>
      </c>
      <c r="AL22" s="534"/>
      <c r="AM22" s="544">
        <f>15000*1.21</f>
        <v>18150</v>
      </c>
      <c r="AN22" s="617"/>
      <c r="AO22" s="617"/>
      <c r="AP22" s="525"/>
      <c r="AQ22" s="533"/>
      <c r="AR22" s="525"/>
      <c r="AS22" s="525"/>
      <c r="AT22" s="544">
        <f>15000*1.21</f>
        <v>18150</v>
      </c>
      <c r="AU22" s="533"/>
      <c r="AV22" s="533"/>
      <c r="AW22" s="533"/>
      <c r="AX22" s="528">
        <f t="shared" si="5"/>
        <v>36300</v>
      </c>
      <c r="AY22" s="614"/>
      <c r="AZ22" s="533"/>
      <c r="BA22" s="533"/>
      <c r="BB22" s="533"/>
      <c r="BC22" s="525"/>
      <c r="BD22" s="544">
        <f>3750*1.21</f>
        <v>4537.5</v>
      </c>
      <c r="BE22" s="525"/>
      <c r="BF22" s="525"/>
      <c r="BG22" s="525"/>
      <c r="BH22" s="544">
        <f>15000*1.21</f>
        <v>18150</v>
      </c>
      <c r="BI22" s="525"/>
      <c r="BJ22" s="608"/>
      <c r="BK22" s="528">
        <f t="shared" si="13"/>
        <v>22687.5</v>
      </c>
      <c r="BL22" s="614"/>
      <c r="BM22" s="533"/>
      <c r="BN22" s="535"/>
      <c r="BO22" s="533"/>
      <c r="BP22" s="533"/>
      <c r="BQ22" s="526"/>
      <c r="BR22" s="525"/>
      <c r="BS22" s="544">
        <f>16500*1.21</f>
        <v>19965</v>
      </c>
      <c r="BT22" s="525"/>
      <c r="BU22" s="525"/>
      <c r="BV22" s="525"/>
      <c r="BW22" s="608"/>
      <c r="BX22" s="528">
        <f t="shared" si="9"/>
        <v>19965</v>
      </c>
      <c r="BY22" s="525"/>
      <c r="BZ22" s="525"/>
      <c r="CA22" s="525"/>
      <c r="CB22" s="525"/>
      <c r="CC22" s="525"/>
      <c r="CD22" s="525"/>
      <c r="CE22" s="525"/>
      <c r="CF22" s="525"/>
      <c r="CG22" s="544">
        <f>16900*1.21</f>
        <v>20449</v>
      </c>
      <c r="CH22" s="525"/>
      <c r="CI22" s="525"/>
      <c r="CJ22" s="525"/>
      <c r="CK22" s="528">
        <f t="shared" si="6"/>
        <v>20449</v>
      </c>
      <c r="CL22" s="526"/>
      <c r="CM22" s="525"/>
      <c r="CN22" s="526"/>
      <c r="CO22" s="525"/>
      <c r="CP22" s="525"/>
      <c r="CQ22" s="525"/>
      <c r="CR22" s="525"/>
      <c r="CS22" s="619"/>
      <c r="CT22" s="525"/>
      <c r="CU22" s="525"/>
      <c r="CV22" s="544"/>
      <c r="CW22" s="525"/>
      <c r="CX22" s="528">
        <f t="shared" si="10"/>
        <v>0</v>
      </c>
      <c r="CY22" s="881"/>
      <c r="CZ22" s="541"/>
      <c r="DA22" s="541"/>
      <c r="DB22" s="541"/>
      <c r="DC22" s="541"/>
      <c r="DD22" s="880"/>
      <c r="DE22" s="533"/>
      <c r="DF22" s="533"/>
      <c r="DG22" s="880"/>
      <c r="DH22" s="552"/>
      <c r="DK22" s="528">
        <f t="shared" si="11"/>
        <v>0</v>
      </c>
      <c r="DL22" s="611"/>
      <c r="DQ22" s="552"/>
      <c r="DR22" s="536"/>
      <c r="DS22" s="536"/>
      <c r="DT22" s="552"/>
      <c r="DU22" s="552"/>
      <c r="DX22" s="519">
        <f t="shared" si="12"/>
        <v>0</v>
      </c>
    </row>
    <row r="23" spans="1:130" ht="15">
      <c r="A23" s="589"/>
      <c r="B23" s="589" t="s">
        <v>146</v>
      </c>
      <c r="C23" s="512"/>
      <c r="D23" s="512"/>
      <c r="E23" s="512"/>
      <c r="F23" s="512"/>
      <c r="G23" s="512"/>
      <c r="H23" s="512"/>
      <c r="I23" s="512"/>
      <c r="J23" s="512"/>
      <c r="K23" s="512"/>
      <c r="L23" s="512"/>
      <c r="M23" s="512"/>
      <c r="N23" s="512"/>
      <c r="O23" s="514">
        <f t="shared" si="3"/>
        <v>0</v>
      </c>
      <c r="P23" s="534"/>
      <c r="Q23" s="534"/>
      <c r="R23" s="534"/>
      <c r="S23" s="534"/>
      <c r="T23" s="534"/>
      <c r="U23" s="534"/>
      <c r="V23" s="534"/>
      <c r="W23" s="544">
        <v>10771.99</v>
      </c>
      <c r="X23" s="563"/>
      <c r="Y23" s="525"/>
      <c r="Z23" s="525"/>
      <c r="AA23" s="525"/>
      <c r="AB23" s="605">
        <f t="shared" si="4"/>
        <v>10771.99</v>
      </c>
      <c r="AC23" s="620"/>
      <c r="AD23" s="616"/>
      <c r="AE23" s="616"/>
      <c r="AF23" s="616"/>
      <c r="AG23" s="622">
        <f>9000/1.0792</f>
        <v>8339.5107487027435</v>
      </c>
      <c r="AH23" s="616"/>
      <c r="AI23" s="616"/>
      <c r="AJ23" s="616"/>
      <c r="AK23" s="607">
        <f t="shared" si="7"/>
        <v>8339.5107487027435</v>
      </c>
      <c r="AL23" s="617"/>
      <c r="AM23" s="617"/>
      <c r="AN23" s="617"/>
      <c r="AO23" s="617"/>
      <c r="AP23" s="525"/>
      <c r="AQ23" s="533"/>
      <c r="AR23" s="533"/>
      <c r="AS23" s="533"/>
      <c r="AT23" s="525"/>
      <c r="AU23" s="533"/>
      <c r="AV23" s="525"/>
      <c r="AW23" s="533"/>
      <c r="AX23" s="528">
        <f>SUM(AL23:AW23)</f>
        <v>0</v>
      </c>
      <c r="AY23" s="614"/>
      <c r="AZ23" s="533"/>
      <c r="BA23" s="533"/>
      <c r="BB23" s="533"/>
      <c r="BC23" s="533"/>
      <c r="BD23" s="525"/>
      <c r="BE23" s="525"/>
      <c r="BF23" s="525"/>
      <c r="BG23" s="533"/>
      <c r="BH23" s="563"/>
      <c r="BI23" s="525"/>
      <c r="BJ23" s="608"/>
      <c r="BK23" s="528">
        <f>SUM(AY23:BJ23)</f>
        <v>0</v>
      </c>
      <c r="BL23" s="614"/>
      <c r="BM23" s="525"/>
      <c r="BN23" s="535"/>
      <c r="BO23" s="533"/>
      <c r="BP23" s="533"/>
      <c r="BQ23" s="526"/>
      <c r="BR23" s="525"/>
      <c r="BS23" s="525"/>
      <c r="BT23" s="533"/>
      <c r="BU23" s="525"/>
      <c r="BV23" s="525"/>
      <c r="BW23" s="608"/>
      <c r="BX23" s="528">
        <f t="shared" si="9"/>
        <v>0</v>
      </c>
      <c r="BY23" s="525"/>
      <c r="BZ23" s="525"/>
      <c r="CA23" s="525"/>
      <c r="CB23" s="525"/>
      <c r="CC23" s="525"/>
      <c r="CD23" s="525"/>
      <c r="CE23" s="525"/>
      <c r="CF23" s="525"/>
      <c r="CG23" s="525"/>
      <c r="CH23" s="525"/>
      <c r="CI23" s="525"/>
      <c r="CJ23" s="525"/>
      <c r="CK23" s="528">
        <f t="shared" si="6"/>
        <v>0</v>
      </c>
      <c r="CL23" s="526"/>
      <c r="CM23" s="525"/>
      <c r="CN23" s="526"/>
      <c r="CO23" s="525"/>
      <c r="CP23" s="525"/>
      <c r="CQ23" s="525"/>
      <c r="CR23" s="525"/>
      <c r="CS23" s="525"/>
      <c r="CT23" s="525"/>
      <c r="CU23" s="525"/>
      <c r="CV23" s="544"/>
      <c r="CW23" s="525"/>
      <c r="CX23" s="528">
        <f t="shared" si="10"/>
        <v>0</v>
      </c>
      <c r="CY23" s="881"/>
      <c r="CZ23" s="541"/>
      <c r="DA23" s="541"/>
      <c r="DB23" s="541"/>
      <c r="DC23" s="541"/>
      <c r="DD23" s="541"/>
      <c r="DE23" s="525"/>
      <c r="DF23" s="525"/>
      <c r="DG23" s="541"/>
      <c r="DK23" s="528">
        <f t="shared" si="11"/>
        <v>0</v>
      </c>
      <c r="DL23" s="611"/>
      <c r="DR23" s="527"/>
      <c r="DS23" s="527"/>
      <c r="DX23" s="519">
        <f t="shared" si="12"/>
        <v>0</v>
      </c>
    </row>
    <row r="24" spans="1:130" ht="15">
      <c r="A24" s="589"/>
      <c r="B24" s="589" t="s">
        <v>147</v>
      </c>
      <c r="C24" s="512"/>
      <c r="D24" s="512"/>
      <c r="E24" s="512"/>
      <c r="F24" s="512"/>
      <c r="G24" s="512"/>
      <c r="H24" s="512"/>
      <c r="I24" s="512"/>
      <c r="J24" s="512"/>
      <c r="K24" s="512"/>
      <c r="L24" s="512"/>
      <c r="M24" s="512"/>
      <c r="N24" s="512"/>
      <c r="O24" s="514"/>
      <c r="P24" s="534"/>
      <c r="Q24" s="534"/>
      <c r="R24" s="534"/>
      <c r="S24" s="534"/>
      <c r="T24" s="534"/>
      <c r="U24" s="534"/>
      <c r="V24" s="534"/>
      <c r="W24" s="544"/>
      <c r="X24" s="563"/>
      <c r="Y24" s="525"/>
      <c r="Z24" s="525"/>
      <c r="AA24" s="525"/>
      <c r="AB24" s="605">
        <f>SUM(P24:AA24)</f>
        <v>0</v>
      </c>
      <c r="AC24" s="620"/>
      <c r="AD24" s="616"/>
      <c r="AE24" s="616"/>
      <c r="AF24" s="616"/>
      <c r="AG24" s="544"/>
      <c r="AH24" s="616"/>
      <c r="AI24" s="616"/>
      <c r="AJ24" s="616"/>
      <c r="AK24" s="607">
        <f>SUM(AC24:AJ24)</f>
        <v>0</v>
      </c>
      <c r="AL24" s="617"/>
      <c r="AM24" s="617"/>
      <c r="AN24" s="617"/>
      <c r="AO24" s="617"/>
      <c r="AP24" s="525"/>
      <c r="AQ24" s="533"/>
      <c r="AR24" s="533"/>
      <c r="AS24" s="533"/>
      <c r="AT24" s="525"/>
      <c r="AU24" s="533"/>
      <c r="AV24" s="525"/>
      <c r="AW24" s="533"/>
      <c r="AX24" s="528">
        <f>SUM(AL24:AW24)</f>
        <v>0</v>
      </c>
      <c r="AY24" s="614"/>
      <c r="AZ24" s="533"/>
      <c r="BA24" s="533"/>
      <c r="BB24" s="533"/>
      <c r="BC24" s="533"/>
      <c r="BD24" s="525"/>
      <c r="BE24" s="525"/>
      <c r="BF24" s="525"/>
      <c r="BG24" s="525"/>
      <c r="BH24" s="563"/>
      <c r="BI24" s="544">
        <f>15000/1.0005</f>
        <v>14992.503748125939</v>
      </c>
      <c r="BJ24" s="608"/>
      <c r="BK24" s="528">
        <f>SUM(AY24:BJ24)</f>
        <v>14992.503748125939</v>
      </c>
      <c r="BL24" s="614"/>
      <c r="BM24" s="544">
        <f>15000/1.0037</f>
        <v>14944.704593005878</v>
      </c>
      <c r="BN24" s="526"/>
      <c r="BO24" s="533"/>
      <c r="BP24" s="533"/>
      <c r="BQ24" s="535"/>
      <c r="BR24" s="525"/>
      <c r="BS24" s="544">
        <f>15000/1.0978</f>
        <v>13663.691018400435</v>
      </c>
      <c r="BT24" s="525"/>
      <c r="BU24" s="533"/>
      <c r="BV24" s="525"/>
      <c r="BW24" s="608"/>
      <c r="BX24" s="528">
        <f t="shared" si="9"/>
        <v>28608.395611406311</v>
      </c>
      <c r="BY24" s="525"/>
      <c r="BZ24" s="525"/>
      <c r="CA24" s="544">
        <f>15000/1.0741</f>
        <v>13965.180150823944</v>
      </c>
      <c r="CB24" s="525"/>
      <c r="CC24" s="525"/>
      <c r="CD24" s="525"/>
      <c r="CE24" s="525"/>
      <c r="CF24" s="619"/>
      <c r="CG24" s="525"/>
      <c r="CH24" s="542">
        <f>(24500-62)/1.0715</f>
        <v>22807.279514699021</v>
      </c>
      <c r="CI24" s="541"/>
      <c r="CJ24" s="563"/>
      <c r="CK24" s="528">
        <f>SUM(BY24:CJ24)</f>
        <v>36772.459665522969</v>
      </c>
      <c r="CL24" s="526"/>
      <c r="CM24" s="525"/>
      <c r="CN24" s="809"/>
      <c r="CO24" s="525"/>
      <c r="CP24" s="525"/>
      <c r="CQ24" s="525"/>
      <c r="CR24" s="525"/>
      <c r="CS24" s="541"/>
      <c r="CT24" s="544">
        <f>(24500+17500-56)/1.1317</f>
        <v>37062.825837236021</v>
      </c>
      <c r="CU24" s="541"/>
      <c r="CV24" s="544"/>
      <c r="CW24" s="525"/>
      <c r="CX24" s="528">
        <f t="shared" si="10"/>
        <v>37062.825837236021</v>
      </c>
      <c r="CY24" s="881"/>
      <c r="CZ24" s="541"/>
      <c r="DA24" s="848"/>
      <c r="DB24" s="541"/>
      <c r="DC24" s="541"/>
      <c r="DD24" s="541"/>
      <c r="DE24" s="525"/>
      <c r="DF24" s="541"/>
      <c r="DG24" s="541"/>
      <c r="DH24" s="536">
        <f>(24500+17500)/1.15</f>
        <v>36521.739130434784</v>
      </c>
      <c r="DK24" s="528">
        <f t="shared" si="11"/>
        <v>36521.739130434784</v>
      </c>
      <c r="DL24" s="611"/>
      <c r="DN24" s="612"/>
      <c r="DR24" s="527"/>
      <c r="DS24" s="536">
        <f>(24500+17500)/1.1</f>
        <v>38181.818181818177</v>
      </c>
      <c r="DX24" s="519">
        <f t="shared" si="12"/>
        <v>38181.818181818177</v>
      </c>
    </row>
    <row r="25" spans="1:130" ht="15">
      <c r="A25" s="589"/>
      <c r="B25" s="589" t="s">
        <v>148</v>
      </c>
      <c r="C25" s="512"/>
      <c r="D25" s="512"/>
      <c r="E25" s="512"/>
      <c r="F25" s="512"/>
      <c r="G25" s="512"/>
      <c r="H25" s="512"/>
      <c r="I25" s="512"/>
      <c r="J25" s="512"/>
      <c r="K25" s="512"/>
      <c r="L25" s="512"/>
      <c r="M25" s="512"/>
      <c r="N25" s="512"/>
      <c r="O25" s="514"/>
      <c r="P25" s="534"/>
      <c r="Q25" s="534"/>
      <c r="R25" s="534"/>
      <c r="S25" s="534"/>
      <c r="T25" s="534"/>
      <c r="U25" s="534"/>
      <c r="V25" s="534"/>
      <c r="W25" s="544"/>
      <c r="X25" s="563"/>
      <c r="Y25" s="525"/>
      <c r="Z25" s="525"/>
      <c r="AA25" s="525"/>
      <c r="AB25" s="605">
        <f>SUM(P25:AA25)</f>
        <v>0</v>
      </c>
      <c r="AC25" s="620"/>
      <c r="AD25" s="616"/>
      <c r="AE25" s="616"/>
      <c r="AF25" s="616"/>
      <c r="AG25" s="544"/>
      <c r="AH25" s="616"/>
      <c r="AI25" s="616"/>
      <c r="AJ25" s="616"/>
      <c r="AK25" s="607">
        <f>SUM(AC25:AJ25)</f>
        <v>0</v>
      </c>
      <c r="AL25" s="617"/>
      <c r="AM25" s="617"/>
      <c r="AN25" s="617"/>
      <c r="AO25" s="617"/>
      <c r="AP25" s="525"/>
      <c r="AQ25" s="533"/>
      <c r="AR25" s="533"/>
      <c r="AS25" s="533"/>
      <c r="AT25" s="525"/>
      <c r="AU25" s="533"/>
      <c r="AV25" s="525"/>
      <c r="AW25" s="533"/>
      <c r="AX25" s="528">
        <f>SUM(AL25:AW25)</f>
        <v>0</v>
      </c>
      <c r="AY25" s="614"/>
      <c r="AZ25" s="533"/>
      <c r="BA25" s="533"/>
      <c r="BB25" s="533"/>
      <c r="BC25" s="533"/>
      <c r="BD25" s="525"/>
      <c r="BE25" s="525"/>
      <c r="BF25" s="525"/>
      <c r="BG25" s="525"/>
      <c r="BH25" s="563"/>
      <c r="BI25" s="544">
        <f>5000/1.0425</f>
        <v>4796.1630695443646</v>
      </c>
      <c r="BJ25" s="608"/>
      <c r="BK25" s="528">
        <f>SUM(AY25:BJ25)</f>
        <v>4796.1630695443646</v>
      </c>
      <c r="BL25" s="614"/>
      <c r="BM25" s="544">
        <f>5000/0.986</f>
        <v>5070.9939148073026</v>
      </c>
      <c r="BN25" s="535"/>
      <c r="BO25" s="533"/>
      <c r="BP25" s="533"/>
      <c r="BQ25" s="535"/>
      <c r="BR25" s="525"/>
      <c r="BS25" s="525"/>
      <c r="BT25" s="525"/>
      <c r="BU25" s="534">
        <f>5000/1.0951</f>
        <v>4565.7930782576932</v>
      </c>
      <c r="BV25" s="525"/>
      <c r="BW25" s="608"/>
      <c r="BX25" s="528">
        <f t="shared" si="9"/>
        <v>9636.7869930649958</v>
      </c>
      <c r="BY25" s="525"/>
      <c r="BZ25" s="534">
        <f>(5000-15)/1.053+15/1.0538</f>
        <v>4748.3272674643586</v>
      </c>
      <c r="CA25" s="525"/>
      <c r="CB25" s="525"/>
      <c r="CC25" s="525"/>
      <c r="CD25" s="525"/>
      <c r="CE25" s="525"/>
      <c r="CF25" s="619"/>
      <c r="CG25" s="525"/>
      <c r="CH25" s="542">
        <f>17500/1.0705</f>
        <v>16347.501167678654</v>
      </c>
      <c r="CI25" s="525"/>
      <c r="CJ25" s="525"/>
      <c r="CK25" s="528">
        <f t="shared" si="6"/>
        <v>21095.828435143012</v>
      </c>
      <c r="CL25" s="526"/>
      <c r="CM25" s="525"/>
      <c r="CN25" s="809"/>
      <c r="CO25" s="525"/>
      <c r="CP25" s="525"/>
      <c r="CQ25" s="525"/>
      <c r="CR25" s="525"/>
      <c r="CS25" s="541"/>
      <c r="CT25" s="541"/>
      <c r="CU25" s="563"/>
      <c r="CV25" s="544"/>
      <c r="CW25" s="525"/>
      <c r="CX25" s="528">
        <f t="shared" si="10"/>
        <v>0</v>
      </c>
      <c r="CY25" s="881"/>
      <c r="CZ25" s="541"/>
      <c r="DA25" s="848"/>
      <c r="DB25" s="541"/>
      <c r="DC25" s="541"/>
      <c r="DD25" s="541"/>
      <c r="DE25" s="541"/>
      <c r="DF25" s="848"/>
      <c r="DG25" s="541"/>
      <c r="DK25" s="528">
        <f t="shared" si="11"/>
        <v>0</v>
      </c>
      <c r="DL25" s="611"/>
      <c r="DN25" s="612"/>
      <c r="DS25" s="612"/>
      <c r="DX25" s="519">
        <f t="shared" si="12"/>
        <v>0</v>
      </c>
    </row>
    <row r="26" spans="1:130" ht="15">
      <c r="B26" s="589" t="s">
        <v>56</v>
      </c>
      <c r="C26" s="512"/>
      <c r="D26" s="512"/>
      <c r="E26" s="512"/>
      <c r="F26" s="512"/>
      <c r="G26" s="512"/>
      <c r="H26" s="512"/>
      <c r="I26" s="512"/>
      <c r="J26" s="512"/>
      <c r="K26" s="512"/>
      <c r="L26" s="512"/>
      <c r="M26" s="512"/>
      <c r="N26" s="512"/>
      <c r="O26" s="514">
        <f t="shared" si="3"/>
        <v>0</v>
      </c>
      <c r="P26" s="534"/>
      <c r="Q26" s="534"/>
      <c r="R26" s="534"/>
      <c r="S26" s="534"/>
      <c r="T26" s="544">
        <v>12500</v>
      </c>
      <c r="U26" s="534"/>
      <c r="V26" s="534"/>
      <c r="W26" s="544"/>
      <c r="X26" s="525"/>
      <c r="Y26" s="525"/>
      <c r="Z26" s="525"/>
      <c r="AA26" s="525"/>
      <c r="AB26" s="605">
        <f>SUM(P26:AA26)</f>
        <v>12500</v>
      </c>
      <c r="AC26" s="620"/>
      <c r="AD26" s="616"/>
      <c r="AE26" s="616"/>
      <c r="AF26" s="616"/>
      <c r="AG26" s="544">
        <v>12500</v>
      </c>
      <c r="AH26" s="616"/>
      <c r="AI26" s="616"/>
      <c r="AJ26" s="616"/>
      <c r="AK26" s="607">
        <f t="shared" si="7"/>
        <v>12500</v>
      </c>
      <c r="AL26" s="617"/>
      <c r="AM26" s="617"/>
      <c r="AN26" s="617"/>
      <c r="AO26" s="617"/>
      <c r="AP26" s="525"/>
      <c r="AQ26" s="533"/>
      <c r="AR26" s="533"/>
      <c r="AS26" s="533"/>
      <c r="AT26" s="525"/>
      <c r="AU26" s="533"/>
      <c r="AV26" s="525"/>
      <c r="AW26" s="544">
        <v>0</v>
      </c>
      <c r="AX26" s="528">
        <f t="shared" si="5"/>
        <v>0</v>
      </c>
      <c r="AY26" s="614"/>
      <c r="AZ26" s="533"/>
      <c r="BA26" s="533"/>
      <c r="BB26" s="533"/>
      <c r="BC26" s="533"/>
      <c r="BD26" s="525"/>
      <c r="BE26" s="525"/>
      <c r="BF26" s="525"/>
      <c r="BG26" s="533"/>
      <c r="BH26" s="563"/>
      <c r="BI26" s="525"/>
      <c r="BJ26" s="608"/>
      <c r="BK26" s="528">
        <f t="shared" si="13"/>
        <v>0</v>
      </c>
      <c r="BL26" s="614"/>
      <c r="BM26" s="533"/>
      <c r="BN26" s="535"/>
      <c r="BO26" s="533"/>
      <c r="BP26" s="533"/>
      <c r="BQ26" s="526"/>
      <c r="BR26" s="525"/>
      <c r="BS26" s="525"/>
      <c r="BT26" s="533"/>
      <c r="BU26" s="525"/>
      <c r="BV26" s="525"/>
      <c r="BW26" s="608"/>
      <c r="BX26" s="528">
        <f t="shared" si="9"/>
        <v>0</v>
      </c>
      <c r="BY26" s="525"/>
      <c r="BZ26" s="525"/>
      <c r="CA26" s="525"/>
      <c r="CB26" s="525"/>
      <c r="CC26" s="525"/>
      <c r="CD26" s="525"/>
      <c r="CE26" s="525"/>
      <c r="CF26" s="525"/>
      <c r="CG26" s="525"/>
      <c r="CH26" s="525"/>
      <c r="CI26" s="525"/>
      <c r="CJ26" s="525"/>
      <c r="CK26" s="528">
        <f t="shared" si="6"/>
        <v>0</v>
      </c>
      <c r="CL26" s="795"/>
      <c r="CM26" s="544">
        <v>15000</v>
      </c>
      <c r="CN26" s="526"/>
      <c r="CO26" s="525"/>
      <c r="CP26" s="525"/>
      <c r="CQ26" s="525"/>
      <c r="CR26" s="525"/>
      <c r="CS26" s="525"/>
      <c r="CT26" s="525"/>
      <c r="CU26" s="525"/>
      <c r="CV26" s="544"/>
      <c r="CW26" s="525"/>
      <c r="CX26" s="528">
        <f t="shared" si="10"/>
        <v>15000</v>
      </c>
      <c r="CY26" s="541"/>
      <c r="CZ26" s="541"/>
      <c r="DA26" s="541"/>
      <c r="DB26" s="544">
        <v>15000</v>
      </c>
      <c r="DC26" s="541"/>
      <c r="DD26" s="541"/>
      <c r="DE26" s="541"/>
      <c r="DF26" s="541"/>
      <c r="DG26" s="541"/>
      <c r="DK26" s="528">
        <f>SUM(DB26:DJ26)</f>
        <v>15000</v>
      </c>
      <c r="DL26" s="536">
        <v>15000</v>
      </c>
      <c r="DX26" s="519">
        <f t="shared" si="12"/>
        <v>15000</v>
      </c>
    </row>
    <row r="27" spans="1:130" ht="15">
      <c r="B27" s="589" t="s">
        <v>30</v>
      </c>
      <c r="C27" s="512"/>
      <c r="D27" s="512"/>
      <c r="E27" s="512"/>
      <c r="F27" s="512"/>
      <c r="G27" s="512"/>
      <c r="H27" s="512"/>
      <c r="I27" s="512"/>
      <c r="J27" s="512"/>
      <c r="K27" s="512"/>
      <c r="L27" s="512"/>
      <c r="M27" s="512">
        <v>18500</v>
      </c>
      <c r="N27" s="512"/>
      <c r="O27" s="514">
        <f t="shared" si="3"/>
        <v>18500</v>
      </c>
      <c r="P27" s="534"/>
      <c r="Q27" s="534"/>
      <c r="R27" s="534"/>
      <c r="S27" s="534"/>
      <c r="T27" s="534"/>
      <c r="U27" s="534"/>
      <c r="V27" s="525"/>
      <c r="W27" s="544"/>
      <c r="X27" s="525"/>
      <c r="Y27" s="525"/>
      <c r="Z27" s="525"/>
      <c r="AA27" s="525"/>
      <c r="AB27" s="605">
        <f t="shared" si="4"/>
        <v>0</v>
      </c>
      <c r="AC27" s="613"/>
      <c r="AD27" s="534"/>
      <c r="AE27" s="534"/>
      <c r="AF27" s="534"/>
      <c r="AG27" s="544">
        <v>18500</v>
      </c>
      <c r="AH27" s="616"/>
      <c r="AI27" s="616"/>
      <c r="AJ27" s="616"/>
      <c r="AK27" s="607">
        <f t="shared" si="7"/>
        <v>18500</v>
      </c>
      <c r="AL27" s="617"/>
      <c r="AM27" s="563"/>
      <c r="AN27" s="544">
        <v>18500</v>
      </c>
      <c r="AO27" s="617"/>
      <c r="AP27" s="525"/>
      <c r="AQ27" s="533"/>
      <c r="AR27" s="533"/>
      <c r="AS27" s="533"/>
      <c r="AT27" s="533"/>
      <c r="AU27" s="533"/>
      <c r="AV27" s="533"/>
      <c r="AW27" s="533"/>
      <c r="AX27" s="528">
        <f>SUM(AL27:AW27)</f>
        <v>18500</v>
      </c>
      <c r="AY27" s="614"/>
      <c r="AZ27" s="525"/>
      <c r="BA27" s="544">
        <v>18500</v>
      </c>
      <c r="BB27" s="525"/>
      <c r="BC27" s="533"/>
      <c r="BD27" s="525"/>
      <c r="BE27" s="525"/>
      <c r="BF27" s="525"/>
      <c r="BG27" s="525"/>
      <c r="BH27" s="563"/>
      <c r="BI27" s="525"/>
      <c r="BJ27" s="608"/>
      <c r="BK27" s="528">
        <f t="shared" si="13"/>
        <v>18500</v>
      </c>
      <c r="BL27" s="614"/>
      <c r="BM27" s="525"/>
      <c r="BN27" s="615">
        <v>15000</v>
      </c>
      <c r="BO27" s="525"/>
      <c r="BP27" s="533"/>
      <c r="BQ27" s="526"/>
      <c r="BR27" s="525"/>
      <c r="BS27" s="525"/>
      <c r="BT27" s="525"/>
      <c r="BU27" s="525"/>
      <c r="BV27" s="525"/>
      <c r="BW27" s="608"/>
      <c r="BX27" s="528">
        <f t="shared" si="9"/>
        <v>15000</v>
      </c>
      <c r="BY27" s="525"/>
      <c r="BZ27" s="525"/>
      <c r="CA27" s="544">
        <v>15000</v>
      </c>
      <c r="CB27" s="525"/>
      <c r="CC27" s="525"/>
      <c r="CD27" s="525"/>
      <c r="CE27" s="525"/>
      <c r="CF27" s="525"/>
      <c r="CG27" s="525"/>
      <c r="CH27" s="525"/>
      <c r="CI27" s="525"/>
      <c r="CJ27" s="525"/>
      <c r="CK27" s="528">
        <f t="shared" si="6"/>
        <v>15000</v>
      </c>
      <c r="CL27" s="526"/>
      <c r="CM27" s="541"/>
      <c r="CN27" s="543"/>
      <c r="CO27" s="541"/>
      <c r="CP27" s="541"/>
      <c r="CQ27" s="544">
        <v>16975</v>
      </c>
      <c r="CR27" s="525"/>
      <c r="CS27" s="525"/>
      <c r="CT27" s="525"/>
      <c r="CU27" s="525"/>
      <c r="CV27" s="544"/>
      <c r="CW27" s="525"/>
      <c r="CX27" s="528">
        <f t="shared" si="10"/>
        <v>16975</v>
      </c>
      <c r="CY27" s="881"/>
      <c r="CZ27" s="541"/>
      <c r="DA27" s="541"/>
      <c r="DB27" s="544">
        <v>16975</v>
      </c>
      <c r="DC27" s="541"/>
      <c r="DD27" s="541"/>
      <c r="DE27" s="541"/>
      <c r="DF27" s="541"/>
      <c r="DG27" s="541"/>
      <c r="DK27" s="528">
        <f t="shared" si="11"/>
        <v>16975</v>
      </c>
      <c r="DM27" s="572">
        <v>16975</v>
      </c>
      <c r="DX27" s="519">
        <f t="shared" si="12"/>
        <v>16975</v>
      </c>
    </row>
    <row r="28" spans="1:130" ht="15">
      <c r="B28" s="480" t="s">
        <v>661</v>
      </c>
      <c r="C28" s="512"/>
      <c r="D28" s="512"/>
      <c r="E28" s="512"/>
      <c r="F28" s="512"/>
      <c r="G28" s="512"/>
      <c r="H28" s="512"/>
      <c r="I28" s="512"/>
      <c r="J28" s="512"/>
      <c r="K28" s="512"/>
      <c r="L28" s="512"/>
      <c r="M28" s="512"/>
      <c r="N28" s="512"/>
      <c r="O28" s="514">
        <f t="shared" si="3"/>
        <v>0</v>
      </c>
      <c r="P28" s="534"/>
      <c r="Q28" s="534"/>
      <c r="R28" s="534"/>
      <c r="S28" s="534"/>
      <c r="T28" s="616"/>
      <c r="U28" s="534"/>
      <c r="V28" s="534">
        <v>12500</v>
      </c>
      <c r="W28" s="544"/>
      <c r="X28" s="525"/>
      <c r="Y28" s="525"/>
      <c r="Z28" s="525"/>
      <c r="AA28" s="525"/>
      <c r="AB28" s="605">
        <f t="shared" si="4"/>
        <v>12500</v>
      </c>
      <c r="AC28" s="620"/>
      <c r="AD28" s="616"/>
      <c r="AE28" s="616"/>
      <c r="AF28" s="616"/>
      <c r="AG28" s="616"/>
      <c r="AH28" s="616"/>
      <c r="AI28" s="534"/>
      <c r="AJ28" s="544">
        <v>12500</v>
      </c>
      <c r="AK28" s="607">
        <f t="shared" si="7"/>
        <v>12500</v>
      </c>
      <c r="AL28" s="617"/>
      <c r="AM28" s="617"/>
      <c r="AN28" s="617"/>
      <c r="AO28" s="617"/>
      <c r="AP28" s="525"/>
      <c r="AQ28" s="533"/>
      <c r="AR28" s="533"/>
      <c r="AS28" s="533"/>
      <c r="AT28" s="533"/>
      <c r="AU28" s="525"/>
      <c r="AV28" s="544">
        <v>12500</v>
      </c>
      <c r="AW28" s="533"/>
      <c r="AX28" s="528">
        <f>SUM(AL28:AW28)</f>
        <v>12500</v>
      </c>
      <c r="AY28" s="614"/>
      <c r="AZ28" s="533"/>
      <c r="BA28" s="533"/>
      <c r="BB28" s="533"/>
      <c r="BC28" s="533"/>
      <c r="BD28" s="525"/>
      <c r="BE28" s="525"/>
      <c r="BF28" s="525"/>
      <c r="BG28" s="525"/>
      <c r="BH28" s="563"/>
      <c r="BI28" s="525"/>
      <c r="BJ28" s="563"/>
      <c r="BK28" s="528">
        <f>SUM(AY28:BJ28)</f>
        <v>0</v>
      </c>
      <c r="BL28" s="544">
        <v>12500</v>
      </c>
      <c r="BM28" s="533"/>
      <c r="BN28" s="535"/>
      <c r="BO28" s="533"/>
      <c r="BP28" s="533"/>
      <c r="BQ28" s="526"/>
      <c r="BR28" s="525"/>
      <c r="BS28" s="525"/>
      <c r="BT28" s="525"/>
      <c r="BU28" s="525"/>
      <c r="BV28" s="525"/>
      <c r="BW28" s="544">
        <v>14000</v>
      </c>
      <c r="BX28" s="528">
        <f>SUM(BL28:BW28)</f>
        <v>26500</v>
      </c>
      <c r="BY28" s="525"/>
      <c r="BZ28" s="525"/>
      <c r="CA28" s="525"/>
      <c r="CB28" s="525"/>
      <c r="CC28" s="525"/>
      <c r="CD28" s="525"/>
      <c r="CE28" s="525"/>
      <c r="CF28" s="525"/>
      <c r="CG28" s="525"/>
      <c r="CH28" s="533"/>
      <c r="CI28" s="544">
        <v>14000</v>
      </c>
      <c r="CJ28" s="525"/>
      <c r="CK28" s="528">
        <f t="shared" si="6"/>
        <v>14000</v>
      </c>
      <c r="CL28" s="526"/>
      <c r="CM28" s="525"/>
      <c r="CN28" s="526"/>
      <c r="CO28" s="525"/>
      <c r="CP28" s="525"/>
      <c r="CQ28" s="525"/>
      <c r="CR28" s="525"/>
      <c r="CS28" s="525"/>
      <c r="CT28" s="525"/>
      <c r="CU28" s="525"/>
      <c r="CV28" s="544">
        <f>14000*0</f>
        <v>0</v>
      </c>
      <c r="CW28" s="533"/>
      <c r="CX28" s="528">
        <f t="shared" si="10"/>
        <v>0</v>
      </c>
      <c r="CY28" s="881"/>
      <c r="CZ28" s="541"/>
      <c r="DA28" s="541"/>
      <c r="DB28" s="541"/>
      <c r="DC28" s="544">
        <v>14000</v>
      </c>
      <c r="DD28" s="541"/>
      <c r="DE28" s="541"/>
      <c r="DF28" s="541"/>
      <c r="DG28" s="541"/>
      <c r="DI28" s="536"/>
      <c r="DJ28" s="552">
        <v>14000</v>
      </c>
      <c r="DK28" s="528">
        <f t="shared" si="11"/>
        <v>28000</v>
      </c>
      <c r="DL28" s="611"/>
      <c r="DV28" s="536">
        <f>14000*0</f>
        <v>0</v>
      </c>
      <c r="DX28" s="519">
        <f t="shared" si="12"/>
        <v>0</v>
      </c>
    </row>
    <row r="29" spans="1:130" ht="15">
      <c r="B29" s="480" t="s">
        <v>149</v>
      </c>
      <c r="C29" s="538"/>
      <c r="D29" s="538"/>
      <c r="E29" s="538"/>
      <c r="F29" s="538"/>
      <c r="G29" s="538"/>
      <c r="H29" s="538"/>
      <c r="I29" s="538"/>
      <c r="J29" s="538"/>
      <c r="K29" s="538"/>
      <c r="L29" s="538"/>
      <c r="M29" s="538"/>
      <c r="N29" s="538"/>
      <c r="O29" s="514">
        <f t="shared" si="3"/>
        <v>0</v>
      </c>
      <c r="P29" s="623"/>
      <c r="Q29" s="623"/>
      <c r="R29" s="623"/>
      <c r="S29" s="623"/>
      <c r="T29" s="623"/>
      <c r="U29" s="623"/>
      <c r="V29" s="534"/>
      <c r="W29" s="544"/>
      <c r="X29" s="525"/>
      <c r="Y29" s="623">
        <f>500*12</f>
        <v>6000</v>
      </c>
      <c r="Z29" s="624"/>
      <c r="AA29" s="624"/>
      <c r="AB29" s="605">
        <f t="shared" si="4"/>
        <v>6000</v>
      </c>
      <c r="AC29" s="625"/>
      <c r="AD29" s="626"/>
      <c r="AE29" s="626"/>
      <c r="AF29" s="626"/>
      <c r="AG29" s="626"/>
      <c r="AH29" s="627">
        <v>6000</v>
      </c>
      <c r="AI29" s="626"/>
      <c r="AJ29" s="626"/>
      <c r="AK29" s="607">
        <f t="shared" si="7"/>
        <v>6000</v>
      </c>
      <c r="AL29" s="525"/>
      <c r="AM29" s="628"/>
      <c r="AN29" s="628"/>
      <c r="AO29" s="628"/>
      <c r="AP29" s="525"/>
      <c r="AQ29" s="533"/>
      <c r="AR29" s="533"/>
      <c r="AS29" s="533"/>
      <c r="AT29" s="533"/>
      <c r="AU29" s="525"/>
      <c r="AV29" s="525"/>
      <c r="AW29" s="533"/>
      <c r="AX29" s="528">
        <f t="shared" ref="AX29:AX86" si="14">SUM(AL29:AW29)</f>
        <v>0</v>
      </c>
      <c r="AY29" s="525"/>
      <c r="AZ29" s="533"/>
      <c r="BA29" s="627">
        <v>8000</v>
      </c>
      <c r="BB29" s="525"/>
      <c r="BC29" s="533"/>
      <c r="BD29" s="525"/>
      <c r="BE29" s="525"/>
      <c r="BF29" s="525"/>
      <c r="BG29" s="525"/>
      <c r="BH29" s="544">
        <v>8000</v>
      </c>
      <c r="BI29" s="525"/>
      <c r="BJ29" s="608"/>
      <c r="BK29" s="528">
        <f>SUM(AY29:BJ29)</f>
        <v>16000</v>
      </c>
      <c r="BL29" s="614"/>
      <c r="BM29" s="533"/>
      <c r="BN29" s="535"/>
      <c r="BO29" s="533"/>
      <c r="BP29" s="533"/>
      <c r="BQ29" s="526"/>
      <c r="BR29" s="525"/>
      <c r="BS29" s="525"/>
      <c r="BT29" s="525"/>
      <c r="BU29" s="525"/>
      <c r="BV29" s="525"/>
      <c r="BW29" s="544">
        <v>12000</v>
      </c>
      <c r="BX29" s="528">
        <f>SUM(BL29:BW29)</f>
        <v>12000</v>
      </c>
      <c r="BY29" s="525"/>
      <c r="BZ29" s="525"/>
      <c r="CA29" s="525"/>
      <c r="CB29" s="525"/>
      <c r="CC29" s="525"/>
      <c r="CD29" s="525"/>
      <c r="CE29" s="525"/>
      <c r="CF29" s="525"/>
      <c r="CG29" s="525"/>
      <c r="CH29" s="544">
        <v>12000</v>
      </c>
      <c r="CI29" s="525"/>
      <c r="CJ29" s="525"/>
      <c r="CK29" s="528">
        <f t="shared" si="6"/>
        <v>12000</v>
      </c>
      <c r="CL29" s="526"/>
      <c r="CM29" s="525"/>
      <c r="CN29" s="525"/>
      <c r="CO29" s="525"/>
      <c r="CP29" s="525"/>
      <c r="CQ29" s="525"/>
      <c r="CR29" s="525"/>
      <c r="CS29" s="525"/>
      <c r="CT29" s="525"/>
      <c r="CU29" s="525"/>
      <c r="CV29" s="880"/>
      <c r="CW29" s="533"/>
      <c r="CX29" s="528">
        <f>SUM(CL29:CW29)</f>
        <v>0</v>
      </c>
      <c r="CY29" s="544">
        <v>12600</v>
      </c>
      <c r="CZ29" s="880"/>
      <c r="DA29" s="880"/>
      <c r="DB29" s="880"/>
      <c r="DC29" s="880"/>
      <c r="DD29" s="880"/>
      <c r="DE29" s="880"/>
      <c r="DF29" s="880"/>
      <c r="DG29" s="880"/>
      <c r="DH29" s="552"/>
      <c r="DI29" s="536">
        <v>12600</v>
      </c>
      <c r="DJ29" s="552"/>
      <c r="DK29" s="528">
        <f t="shared" si="11"/>
        <v>25200</v>
      </c>
      <c r="DL29" s="546"/>
      <c r="DM29" s="552"/>
      <c r="DN29" s="552"/>
      <c r="DO29" s="552"/>
      <c r="DP29" s="552"/>
      <c r="DQ29" s="552"/>
      <c r="DR29" s="552"/>
      <c r="DS29" s="552"/>
      <c r="DT29" s="552"/>
      <c r="DU29" s="552"/>
      <c r="DV29" s="536">
        <v>12600</v>
      </c>
      <c r="DW29" s="552"/>
      <c r="DX29" s="519">
        <f t="shared" si="12"/>
        <v>12600</v>
      </c>
    </row>
    <row r="30" spans="1:130" ht="15">
      <c r="B30" s="480" t="s">
        <v>150</v>
      </c>
      <c r="C30" s="538"/>
      <c r="D30" s="538"/>
      <c r="E30" s="538"/>
      <c r="F30" s="538"/>
      <c r="G30" s="538"/>
      <c r="H30" s="538"/>
      <c r="I30" s="538"/>
      <c r="J30" s="538"/>
      <c r="K30" s="538"/>
      <c r="L30" s="538"/>
      <c r="M30" s="538"/>
      <c r="N30" s="538"/>
      <c r="O30" s="514">
        <f t="shared" si="3"/>
        <v>0</v>
      </c>
      <c r="P30" s="623"/>
      <c r="Q30" s="623"/>
      <c r="R30" s="623"/>
      <c r="S30" s="623"/>
      <c r="T30" s="623"/>
      <c r="U30" s="623"/>
      <c r="V30" s="534"/>
      <c r="W30" s="544"/>
      <c r="X30" s="624"/>
      <c r="Y30" s="623">
        <v>10000</v>
      </c>
      <c r="Z30" s="624"/>
      <c r="AA30" s="624"/>
      <c r="AB30" s="605">
        <f t="shared" si="4"/>
        <v>10000</v>
      </c>
      <c r="AC30" s="625"/>
      <c r="AD30" s="626"/>
      <c r="AE30" s="626"/>
      <c r="AF30" s="626"/>
      <c r="AG30" s="626"/>
      <c r="AH30" s="626"/>
      <c r="AI30" s="626"/>
      <c r="AJ30" s="626"/>
      <c r="AK30" s="607">
        <f t="shared" si="7"/>
        <v>0</v>
      </c>
      <c r="AL30" s="628"/>
      <c r="AM30" s="525"/>
      <c r="AN30" s="627">
        <v>12500</v>
      </c>
      <c r="AO30" s="628"/>
      <c r="AP30" s="525"/>
      <c r="AQ30" s="533"/>
      <c r="AR30" s="533"/>
      <c r="AS30" s="533"/>
      <c r="AT30" s="533"/>
      <c r="AU30" s="533"/>
      <c r="AV30" s="533"/>
      <c r="AW30" s="533"/>
      <c r="AX30" s="528">
        <f>SUM(AL30:AW30)</f>
        <v>12500</v>
      </c>
      <c r="AY30" s="606"/>
      <c r="AZ30" s="525"/>
      <c r="BA30" s="544">
        <v>12500</v>
      </c>
      <c r="BB30" s="525"/>
      <c r="BC30" s="525"/>
      <c r="BD30" s="525"/>
      <c r="BE30" s="525"/>
      <c r="BF30" s="525"/>
      <c r="BG30" s="525"/>
      <c r="BH30" s="563"/>
      <c r="BI30" s="525"/>
      <c r="BJ30" s="608"/>
      <c r="BK30" s="528">
        <f t="shared" si="13"/>
        <v>12500</v>
      </c>
      <c r="BL30" s="614"/>
      <c r="BM30" s="533"/>
      <c r="BN30" s="615">
        <v>12500</v>
      </c>
      <c r="BO30" s="533"/>
      <c r="BP30" s="533"/>
      <c r="BQ30" s="535"/>
      <c r="BR30" s="533"/>
      <c r="BS30" s="533"/>
      <c r="BT30" s="533"/>
      <c r="BU30" s="533"/>
      <c r="BV30" s="533"/>
      <c r="BW30" s="618"/>
      <c r="BX30" s="528">
        <f t="shared" si="9"/>
        <v>12500</v>
      </c>
      <c r="BY30" s="525"/>
      <c r="BZ30" s="525"/>
      <c r="CA30" s="525"/>
      <c r="CB30" s="544">
        <v>12500</v>
      </c>
      <c r="CC30" s="525"/>
      <c r="CD30" s="525"/>
      <c r="CE30" s="525"/>
      <c r="CF30" s="525"/>
      <c r="CG30" s="544">
        <f>4200</f>
        <v>4200</v>
      </c>
      <c r="CH30" s="525"/>
      <c r="CI30" s="525"/>
      <c r="CJ30" s="525"/>
      <c r="CK30" s="528">
        <f t="shared" si="6"/>
        <v>16700</v>
      </c>
      <c r="CL30" s="526"/>
      <c r="CM30" s="541"/>
      <c r="CN30" s="541"/>
      <c r="CO30" s="541"/>
      <c r="CP30" s="544">
        <v>12500</v>
      </c>
      <c r="CQ30" s="525"/>
      <c r="CR30" s="525"/>
      <c r="CS30" s="544">
        <v>4400</v>
      </c>
      <c r="CT30" s="525"/>
      <c r="CU30" s="525"/>
      <c r="CV30" s="525"/>
      <c r="CW30" s="525"/>
      <c r="CX30" s="528">
        <f t="shared" si="10"/>
        <v>16900</v>
      </c>
      <c r="CY30" s="522"/>
      <c r="CZ30" s="541"/>
      <c r="DA30" s="541"/>
      <c r="DB30" s="544">
        <v>14000</v>
      </c>
      <c r="DC30" s="880"/>
      <c r="DD30" s="880"/>
      <c r="DE30" s="880"/>
      <c r="DF30" s="880"/>
      <c r="DG30" s="880"/>
      <c r="DH30" s="572">
        <v>4400</v>
      </c>
      <c r="DI30" s="552"/>
      <c r="DJ30" s="552"/>
      <c r="DK30" s="528">
        <f t="shared" si="11"/>
        <v>18400</v>
      </c>
      <c r="DL30" s="546"/>
      <c r="DM30" s="536">
        <v>12500</v>
      </c>
      <c r="DN30" s="552"/>
      <c r="DO30" s="552"/>
      <c r="DP30" s="552"/>
      <c r="DQ30" s="552"/>
      <c r="DR30" s="552"/>
      <c r="DS30" s="552"/>
      <c r="DT30" s="552"/>
      <c r="DU30" s="552"/>
      <c r="DV30" s="552"/>
      <c r="DW30" s="552"/>
      <c r="DX30" s="519">
        <f t="shared" si="12"/>
        <v>12500</v>
      </c>
    </row>
    <row r="31" spans="1:130" ht="15">
      <c r="B31" s="480" t="s">
        <v>61</v>
      </c>
      <c r="C31" s="538"/>
      <c r="D31" s="538"/>
      <c r="E31" s="538"/>
      <c r="F31" s="538"/>
      <c r="G31" s="538"/>
      <c r="H31" s="538"/>
      <c r="I31" s="538"/>
      <c r="J31" s="538"/>
      <c r="K31" s="538"/>
      <c r="L31" s="538"/>
      <c r="M31" s="538"/>
      <c r="N31" s="538"/>
      <c r="O31" s="514">
        <f t="shared" si="3"/>
        <v>0</v>
      </c>
      <c r="P31" s="623"/>
      <c r="Q31" s="623"/>
      <c r="R31" s="623"/>
      <c r="S31" s="623"/>
      <c r="T31" s="623"/>
      <c r="U31" s="623"/>
      <c r="V31" s="534"/>
      <c r="W31" s="544"/>
      <c r="X31" s="624"/>
      <c r="Y31" s="623"/>
      <c r="Z31" s="525"/>
      <c r="AA31" s="525"/>
      <c r="AB31" s="605">
        <f t="shared" si="4"/>
        <v>0</v>
      </c>
      <c r="AC31" s="613"/>
      <c r="AD31" s="623">
        <f>4570.32</f>
        <v>4570.32</v>
      </c>
      <c r="AE31" s="626"/>
      <c r="AF31" s="626"/>
      <c r="AG31" s="626"/>
      <c r="AH31" s="626"/>
      <c r="AI31" s="626"/>
      <c r="AJ31" s="626"/>
      <c r="AK31" s="607">
        <f t="shared" si="7"/>
        <v>4570.32</v>
      </c>
      <c r="AL31" s="525"/>
      <c r="AM31" s="525"/>
      <c r="AN31" s="525"/>
      <c r="AO31" s="627">
        <f>4109.32-1</f>
        <v>4108.32</v>
      </c>
      <c r="AP31" s="533"/>
      <c r="AQ31" s="533"/>
      <c r="AR31" s="533"/>
      <c r="AS31" s="533"/>
      <c r="AT31" s="533"/>
      <c r="AU31" s="533"/>
      <c r="AV31" s="533"/>
      <c r="AW31" s="533"/>
      <c r="AX31" s="528">
        <f>SUM(AL31:AW31)</f>
        <v>4108.32</v>
      </c>
      <c r="AY31" s="606"/>
      <c r="AZ31" s="534">
        <f>5041.8/1.1603+1933.2/1.1603</f>
        <v>6011.3763681806422</v>
      </c>
      <c r="BA31" s="525"/>
      <c r="BB31" s="525"/>
      <c r="BC31" s="525"/>
      <c r="BD31" s="525"/>
      <c r="BE31" s="525"/>
      <c r="BF31" s="525"/>
      <c r="BG31" s="525"/>
      <c r="BH31" s="563"/>
      <c r="BI31" s="525"/>
      <c r="BJ31" s="608"/>
      <c r="BK31" s="528">
        <f t="shared" si="13"/>
        <v>6011.3763681806422</v>
      </c>
      <c r="BL31" s="614"/>
      <c r="BM31" s="533"/>
      <c r="BN31" s="526"/>
      <c r="BO31" s="525"/>
      <c r="BP31" s="525"/>
      <c r="BQ31" s="526"/>
      <c r="BR31" s="534">
        <f>9708.56/1.0586</f>
        <v>9171.1316833553756</v>
      </c>
      <c r="BS31" s="534">
        <f>(10000-9708.56)/1.0972</f>
        <v>265.6215822092604</v>
      </c>
      <c r="BT31" s="533"/>
      <c r="BU31" s="533"/>
      <c r="BV31" s="533"/>
      <c r="BW31" s="618"/>
      <c r="BX31" s="528">
        <f t="shared" si="9"/>
        <v>9436.7532655646355</v>
      </c>
      <c r="BY31" s="525"/>
      <c r="BZ31" s="544">
        <f>10000/1.0569</f>
        <v>9461.6330778692409</v>
      </c>
      <c r="CA31" s="525"/>
      <c r="CB31" s="533"/>
      <c r="CC31" s="525"/>
      <c r="CD31" s="525"/>
      <c r="CE31" s="525"/>
      <c r="CF31" s="525"/>
      <c r="CG31" s="525"/>
      <c r="CH31" s="525"/>
      <c r="CI31" s="525"/>
      <c r="CJ31" s="525"/>
      <c r="CK31" s="528">
        <f t="shared" si="6"/>
        <v>9461.6330778692409</v>
      </c>
      <c r="CL31" s="526"/>
      <c r="CM31" s="525"/>
      <c r="CN31" s="544">
        <f>10000/1.0578</f>
        <v>9453.5829079221021</v>
      </c>
      <c r="CO31" s="525"/>
      <c r="CP31" s="525"/>
      <c r="CQ31" s="525"/>
      <c r="CR31" s="525"/>
      <c r="CS31" s="525"/>
      <c r="CT31" s="525"/>
      <c r="CU31" s="525"/>
      <c r="CV31" s="525"/>
      <c r="CW31" s="525"/>
      <c r="CX31" s="528">
        <f t="shared" si="10"/>
        <v>9453.5829079221021</v>
      </c>
      <c r="CY31" s="522"/>
      <c r="CZ31" s="880"/>
      <c r="DA31" s="541"/>
      <c r="DB31" s="541"/>
      <c r="DC31" s="541"/>
      <c r="DD31" s="541"/>
      <c r="DE31" s="541"/>
      <c r="DF31" s="544">
        <f>11000/1.1797</f>
        <v>9324.4045096210903</v>
      </c>
      <c r="DG31" s="880"/>
      <c r="DH31" s="552"/>
      <c r="DI31" s="552"/>
      <c r="DJ31" s="552"/>
      <c r="DK31" s="528">
        <f t="shared" si="11"/>
        <v>9324.4045096210903</v>
      </c>
      <c r="DL31" s="546"/>
      <c r="DM31" s="572">
        <f>11000/1.15</f>
        <v>9565.217391304348</v>
      </c>
      <c r="DN31" s="536">
        <f>10000/1.1</f>
        <v>9090.9090909090901</v>
      </c>
      <c r="DO31" s="552"/>
      <c r="DP31" s="552"/>
      <c r="DQ31" s="552"/>
      <c r="DR31" s="552"/>
      <c r="DS31" s="552"/>
      <c r="DT31" s="552"/>
      <c r="DU31" s="552"/>
      <c r="DV31" s="552"/>
      <c r="DW31" s="552"/>
      <c r="DX31" s="519">
        <f t="shared" si="12"/>
        <v>18656.12648221344</v>
      </c>
      <c r="DZ31" s="572">
        <f>11000/1.15</f>
        <v>9565.217391304348</v>
      </c>
    </row>
    <row r="32" spans="1:130" ht="15">
      <c r="B32" s="480" t="s">
        <v>151</v>
      </c>
      <c r="C32" s="538"/>
      <c r="D32" s="538"/>
      <c r="E32" s="538"/>
      <c r="F32" s="538"/>
      <c r="G32" s="538"/>
      <c r="H32" s="538"/>
      <c r="I32" s="538"/>
      <c r="J32" s="538"/>
      <c r="K32" s="538"/>
      <c r="L32" s="538"/>
      <c r="M32" s="538"/>
      <c r="N32" s="538"/>
      <c r="O32" s="514">
        <f t="shared" si="3"/>
        <v>0</v>
      </c>
      <c r="P32" s="623"/>
      <c r="Q32" s="623"/>
      <c r="R32" s="623"/>
      <c r="S32" s="623"/>
      <c r="T32" s="623"/>
      <c r="U32" s="623"/>
      <c r="V32" s="534"/>
      <c r="W32" s="544"/>
      <c r="X32" s="623"/>
      <c r="Y32" s="623">
        <f>12500*1.21</f>
        <v>15125</v>
      </c>
      <c r="Z32" s="624"/>
      <c r="AA32" s="624"/>
      <c r="AB32" s="605">
        <f t="shared" si="4"/>
        <v>15125</v>
      </c>
      <c r="AC32" s="625"/>
      <c r="AD32" s="626"/>
      <c r="AE32" s="626"/>
      <c r="AF32" s="626"/>
      <c r="AG32" s="626"/>
      <c r="AH32" s="626"/>
      <c r="AI32" s="626"/>
      <c r="AJ32" s="626"/>
      <c r="AK32" s="607">
        <f t="shared" si="7"/>
        <v>0</v>
      </c>
      <c r="AL32" s="628"/>
      <c r="AM32" s="627">
        <f>12500*1.21</f>
        <v>15125</v>
      </c>
      <c r="AN32" s="628"/>
      <c r="AO32" s="628"/>
      <c r="AP32" s="533"/>
      <c r="AQ32" s="533"/>
      <c r="AR32" s="533"/>
      <c r="AS32" s="533"/>
      <c r="AT32" s="533"/>
      <c r="AU32" s="533"/>
      <c r="AV32" s="533"/>
      <c r="AW32" s="533"/>
      <c r="AX32" s="528">
        <f>SUM(AL32:AW32)</f>
        <v>15125</v>
      </c>
      <c r="AY32" s="606"/>
      <c r="AZ32" s="627">
        <f>12500*1.21</f>
        <v>15125</v>
      </c>
      <c r="BA32" s="533"/>
      <c r="BB32" s="525"/>
      <c r="BC32" s="525"/>
      <c r="BD32" s="525"/>
      <c r="BE32" s="525"/>
      <c r="BF32" s="525"/>
      <c r="BG32" s="525"/>
      <c r="BH32" s="563"/>
      <c r="BI32" s="525"/>
      <c r="BJ32" s="608"/>
      <c r="BK32" s="528">
        <f t="shared" si="13"/>
        <v>15125</v>
      </c>
      <c r="BL32" s="614"/>
      <c r="BM32" s="533"/>
      <c r="BN32" s="629">
        <f>12500*1.21</f>
        <v>15125</v>
      </c>
      <c r="BO32" s="533"/>
      <c r="BP32" s="533"/>
      <c r="BQ32" s="535"/>
      <c r="BR32" s="533"/>
      <c r="BS32" s="533"/>
      <c r="BT32" s="533"/>
      <c r="BU32" s="533"/>
      <c r="BV32" s="533"/>
      <c r="BW32" s="618"/>
      <c r="BX32" s="528">
        <f t="shared" si="9"/>
        <v>15125</v>
      </c>
      <c r="BY32" s="525"/>
      <c r="BZ32" s="525"/>
      <c r="CA32" s="627">
        <f>13000*1.21</f>
        <v>15730</v>
      </c>
      <c r="CB32" s="525"/>
      <c r="CC32" s="525"/>
      <c r="CD32" s="525"/>
      <c r="CE32" s="525"/>
      <c r="CF32" s="525"/>
      <c r="CG32" s="525"/>
      <c r="CH32" s="525"/>
      <c r="CI32" s="525"/>
      <c r="CJ32" s="525"/>
      <c r="CK32" s="528">
        <f t="shared" si="6"/>
        <v>15730</v>
      </c>
      <c r="CL32" s="526"/>
      <c r="CM32" s="525"/>
      <c r="CN32" s="541"/>
      <c r="CO32" s="541"/>
      <c r="CP32" s="541"/>
      <c r="CQ32" s="544">
        <v>12500</v>
      </c>
      <c r="CR32" s="525"/>
      <c r="CS32" s="525"/>
      <c r="CT32" s="525"/>
      <c r="CU32" s="525"/>
      <c r="CV32" s="525"/>
      <c r="CW32" s="525"/>
      <c r="CX32" s="528">
        <f t="shared" si="10"/>
        <v>12500</v>
      </c>
      <c r="CY32" s="522"/>
      <c r="CZ32" s="880"/>
      <c r="DA32" s="541"/>
      <c r="DB32" s="541"/>
      <c r="DC32" s="541"/>
      <c r="DD32" s="541"/>
      <c r="DE32" s="544">
        <v>12500</v>
      </c>
      <c r="DF32" s="880"/>
      <c r="DG32" s="880"/>
      <c r="DH32" s="552"/>
      <c r="DI32" s="552"/>
      <c r="DJ32" s="552"/>
      <c r="DK32" s="528">
        <f t="shared" si="11"/>
        <v>12500</v>
      </c>
      <c r="DL32" s="546"/>
      <c r="DM32" s="552"/>
      <c r="DN32" s="536">
        <v>12500</v>
      </c>
      <c r="DO32" s="552"/>
      <c r="DP32" s="552"/>
      <c r="DQ32" s="552"/>
      <c r="DR32" s="552"/>
      <c r="DS32" s="552"/>
      <c r="DT32" s="552"/>
      <c r="DU32" s="552"/>
      <c r="DV32" s="552"/>
      <c r="DW32" s="552"/>
      <c r="DX32" s="519">
        <f t="shared" si="12"/>
        <v>12500</v>
      </c>
    </row>
    <row r="33" spans="2:128" ht="15">
      <c r="B33" s="480" t="s">
        <v>152</v>
      </c>
      <c r="C33" s="538"/>
      <c r="D33" s="538"/>
      <c r="E33" s="538"/>
      <c r="F33" s="538"/>
      <c r="G33" s="538"/>
      <c r="H33" s="538"/>
      <c r="I33" s="538"/>
      <c r="J33" s="538"/>
      <c r="K33" s="538"/>
      <c r="L33" s="538"/>
      <c r="M33" s="538"/>
      <c r="N33" s="538"/>
      <c r="O33" s="514">
        <f t="shared" si="3"/>
        <v>0</v>
      </c>
      <c r="P33" s="623"/>
      <c r="Q33" s="623"/>
      <c r="R33" s="623"/>
      <c r="S33" s="623"/>
      <c r="T33" s="623"/>
      <c r="U33" s="623"/>
      <c r="V33" s="534"/>
      <c r="W33" s="544"/>
      <c r="X33" s="623"/>
      <c r="Y33" s="623"/>
      <c r="Z33" s="525"/>
      <c r="AA33" s="534"/>
      <c r="AB33" s="605">
        <f t="shared" si="4"/>
        <v>0</v>
      </c>
      <c r="AC33" s="613"/>
      <c r="AD33" s="534"/>
      <c r="AE33" s="534"/>
      <c r="AF33" s="630">
        <v>9074.41</v>
      </c>
      <c r="AG33" s="630"/>
      <c r="AH33" s="626"/>
      <c r="AI33" s="630">
        <v>4208.3999999999996</v>
      </c>
      <c r="AJ33" s="626"/>
      <c r="AK33" s="607">
        <f t="shared" si="7"/>
        <v>13282.81</v>
      </c>
      <c r="AL33" s="628"/>
      <c r="AM33" s="525"/>
      <c r="AN33" s="525"/>
      <c r="AO33" s="525"/>
      <c r="AP33" s="525"/>
      <c r="AQ33" s="525"/>
      <c r="AR33" s="525"/>
      <c r="AS33" s="525"/>
      <c r="AT33" s="630">
        <f>5000/1.206+3000/1.206+3000/1.206</f>
        <v>9121.0613598673299</v>
      </c>
      <c r="AU33" s="533"/>
      <c r="AV33" s="525"/>
      <c r="AW33" s="630">
        <f>3000/1.1736</f>
        <v>2556.2372188139061</v>
      </c>
      <c r="AX33" s="528">
        <f>SUM(AL33:AW33)</f>
        <v>11677.298578681235</v>
      </c>
      <c r="AY33" s="606"/>
      <c r="AZ33" s="525"/>
      <c r="BA33" s="631">
        <f>3000/1.1368</f>
        <v>2638.9866291344124</v>
      </c>
      <c r="BB33" s="525"/>
      <c r="BC33" s="525"/>
      <c r="BD33" s="525"/>
      <c r="BE33" s="525"/>
      <c r="BF33" s="632">
        <f>3000/1.1052</f>
        <v>2714.4408251900109</v>
      </c>
      <c r="BG33" s="631">
        <f>3000/1.0524</f>
        <v>2850.6271379703535</v>
      </c>
      <c r="BH33" s="563"/>
      <c r="BI33" s="631">
        <f>3000/1.0124</f>
        <v>2963.2556301856976</v>
      </c>
      <c r="BJ33" s="608"/>
      <c r="BK33" s="528">
        <f t="shared" si="13"/>
        <v>11167.310222480475</v>
      </c>
      <c r="BL33" s="614"/>
      <c r="BM33" s="630">
        <f>3000/0.9778</f>
        <v>3068.1120883616281</v>
      </c>
      <c r="BN33" s="526"/>
      <c r="BO33" s="533"/>
      <c r="BP33" s="525"/>
      <c r="BQ33" s="544">
        <f>3000/1.07</f>
        <v>2803.7383177570091</v>
      </c>
      <c r="BR33" s="533"/>
      <c r="BS33" s="544">
        <f>3000/1.1002</f>
        <v>2726.7769496455189</v>
      </c>
      <c r="BT33" s="525"/>
      <c r="BU33" s="533"/>
      <c r="BV33" s="544">
        <f>3000/1.1059</f>
        <v>2712.7226693191064</v>
      </c>
      <c r="BW33" s="525"/>
      <c r="BX33" s="528">
        <f>SUM(BL33:BV33)</f>
        <v>11311.350025083262</v>
      </c>
      <c r="BY33" s="525"/>
      <c r="BZ33" s="542">
        <f>3000/1.0597</f>
        <v>2830.9899028026798</v>
      </c>
      <c r="CA33" s="525"/>
      <c r="CB33" s="525"/>
      <c r="CC33" s="525"/>
      <c r="CD33" s="525"/>
      <c r="CE33" s="619"/>
      <c r="CF33" s="619"/>
      <c r="CG33" s="619"/>
      <c r="CH33" s="619"/>
      <c r="CI33" s="619"/>
      <c r="CJ33" s="525"/>
      <c r="CK33" s="528">
        <f t="shared" si="6"/>
        <v>2830.9899028026798</v>
      </c>
      <c r="CL33" s="526"/>
      <c r="CM33" s="525"/>
      <c r="CN33" s="619"/>
      <c r="CO33" s="617"/>
      <c r="CP33" s="617"/>
      <c r="CQ33" s="617"/>
      <c r="CR33" s="619"/>
      <c r="CS33" s="617"/>
      <c r="CT33" s="619"/>
      <c r="CU33" s="617"/>
      <c r="CV33" s="617"/>
      <c r="CW33" s="619"/>
      <c r="CX33" s="528">
        <f t="shared" si="10"/>
        <v>0</v>
      </c>
      <c r="CY33" s="522"/>
      <c r="CZ33" s="880"/>
      <c r="DA33" s="533"/>
      <c r="DB33" s="880"/>
      <c r="DC33" s="880"/>
      <c r="DD33" s="541"/>
      <c r="DE33" s="880"/>
      <c r="DF33" s="880"/>
      <c r="DG33" s="522"/>
      <c r="DH33" s="552"/>
      <c r="DI33" s="552"/>
      <c r="DJ33" s="546"/>
      <c r="DK33" s="528">
        <f t="shared" si="11"/>
        <v>0</v>
      </c>
      <c r="DL33" s="546"/>
      <c r="DM33" s="552"/>
      <c r="DN33" s="536"/>
      <c r="DO33" s="552"/>
      <c r="DP33" s="552"/>
      <c r="DQ33" s="552"/>
      <c r="DR33" s="546"/>
      <c r="DS33" s="552"/>
      <c r="DT33" s="546"/>
      <c r="DU33" s="552"/>
      <c r="DV33" s="552"/>
      <c r="DW33" s="546"/>
      <c r="DX33" s="519">
        <f t="shared" si="12"/>
        <v>0</v>
      </c>
    </row>
    <row r="34" spans="2:128" ht="15">
      <c r="B34" s="480" t="s">
        <v>153</v>
      </c>
      <c r="C34" s="538"/>
      <c r="D34" s="538"/>
      <c r="E34" s="538"/>
      <c r="F34" s="538"/>
      <c r="G34" s="538"/>
      <c r="H34" s="538"/>
      <c r="I34" s="538"/>
      <c r="J34" s="538"/>
      <c r="K34" s="538"/>
      <c r="L34" s="538"/>
      <c r="M34" s="538"/>
      <c r="N34" s="538"/>
      <c r="O34" s="514">
        <f t="shared" si="3"/>
        <v>0</v>
      </c>
      <c r="P34" s="623"/>
      <c r="Q34" s="623"/>
      <c r="R34" s="623"/>
      <c r="S34" s="623"/>
      <c r="T34" s="623"/>
      <c r="U34" s="623"/>
      <c r="V34" s="534"/>
      <c r="W34" s="544"/>
      <c r="X34" s="623"/>
      <c r="Y34" s="623"/>
      <c r="Z34" s="525"/>
      <c r="AA34" s="534"/>
      <c r="AB34" s="605">
        <f t="shared" si="4"/>
        <v>0</v>
      </c>
      <c r="AC34" s="613"/>
      <c r="AD34" s="534"/>
      <c r="AE34" s="534"/>
      <c r="AF34" s="630">
        <v>5000</v>
      </c>
      <c r="AG34" s="626"/>
      <c r="AH34" s="626"/>
      <c r="AI34" s="630"/>
      <c r="AJ34" s="626"/>
      <c r="AK34" s="607">
        <f t="shared" si="7"/>
        <v>5000</v>
      </c>
      <c r="AL34" s="628"/>
      <c r="AM34" s="634"/>
      <c r="AN34" s="628"/>
      <c r="AO34" s="628"/>
      <c r="AP34" s="544">
        <v>5000</v>
      </c>
      <c r="AQ34" s="525"/>
      <c r="AR34" s="533"/>
      <c r="AS34" s="533"/>
      <c r="AT34" s="533"/>
      <c r="AU34" s="533"/>
      <c r="AV34" s="533"/>
      <c r="AW34" s="533"/>
      <c r="AX34" s="528">
        <f t="shared" ref="AX34:AX35" si="15">SUM(AL34:AW34)</f>
        <v>5000</v>
      </c>
      <c r="AY34" s="606"/>
      <c r="AZ34" s="525"/>
      <c r="BA34" s="525"/>
      <c r="BB34" s="525"/>
      <c r="BC34" s="525"/>
      <c r="BD34" s="544">
        <v>5000</v>
      </c>
      <c r="BE34" s="525"/>
      <c r="BF34" s="525"/>
      <c r="BG34" s="525"/>
      <c r="BH34" s="563"/>
      <c r="BI34" s="525"/>
      <c r="BJ34" s="608"/>
      <c r="BK34" s="528">
        <f t="shared" si="13"/>
        <v>5000</v>
      </c>
      <c r="BL34" s="614"/>
      <c r="BM34" s="533"/>
      <c r="BN34" s="535"/>
      <c r="BO34" s="533"/>
      <c r="BP34" s="525"/>
      <c r="BQ34" s="526"/>
      <c r="BR34" s="544">
        <v>5000</v>
      </c>
      <c r="BS34" s="533"/>
      <c r="BT34" s="533"/>
      <c r="BU34" s="533"/>
      <c r="BV34" s="533"/>
      <c r="BW34" s="618"/>
      <c r="BX34" s="528">
        <f t="shared" si="9"/>
        <v>5000</v>
      </c>
      <c r="BY34" s="525"/>
      <c r="BZ34" s="525"/>
      <c r="CA34" s="525"/>
      <c r="CB34" s="525"/>
      <c r="CC34" s="525"/>
      <c r="CD34" s="544">
        <v>5500</v>
      </c>
      <c r="CE34" s="525"/>
      <c r="CF34" s="525"/>
      <c r="CG34" s="525"/>
      <c r="CH34" s="525"/>
      <c r="CI34" s="525"/>
      <c r="CJ34" s="525"/>
      <c r="CK34" s="528">
        <f t="shared" si="6"/>
        <v>5500</v>
      </c>
      <c r="CL34" s="526"/>
      <c r="CM34" s="525"/>
      <c r="CN34" s="525"/>
      <c r="CO34" s="525"/>
      <c r="CP34" s="525"/>
      <c r="CQ34" s="544">
        <v>6000</v>
      </c>
      <c r="CR34" s="525"/>
      <c r="CS34" s="525"/>
      <c r="CT34" s="525"/>
      <c r="CU34" s="525"/>
      <c r="CV34" s="525"/>
      <c r="CW34" s="525"/>
      <c r="CX34" s="528">
        <f t="shared" si="10"/>
        <v>6000</v>
      </c>
      <c r="CY34" s="522"/>
      <c r="CZ34" s="880"/>
      <c r="DA34" s="533"/>
      <c r="DB34" s="880"/>
      <c r="DC34" s="880"/>
      <c r="DD34" s="541"/>
      <c r="DE34" s="544">
        <v>6000</v>
      </c>
      <c r="DF34" s="880"/>
      <c r="DG34" s="880"/>
      <c r="DH34" s="552"/>
      <c r="DI34" s="552"/>
      <c r="DJ34" s="552"/>
      <c r="DK34" s="528">
        <f t="shared" si="11"/>
        <v>6000</v>
      </c>
      <c r="DL34" s="546"/>
      <c r="DM34" s="552"/>
      <c r="DN34" s="536"/>
      <c r="DO34" s="552"/>
      <c r="DP34" s="552"/>
      <c r="DQ34" s="536">
        <v>6000</v>
      </c>
      <c r="DR34" s="536"/>
      <c r="DS34" s="552"/>
      <c r="DT34" s="552"/>
      <c r="DU34" s="552"/>
      <c r="DV34" s="552"/>
      <c r="DW34" s="552"/>
      <c r="DX34" s="519">
        <f t="shared" si="12"/>
        <v>6000</v>
      </c>
    </row>
    <row r="35" spans="2:128" ht="15">
      <c r="B35" s="480" t="s">
        <v>154</v>
      </c>
      <c r="C35" s="538"/>
      <c r="D35" s="538"/>
      <c r="E35" s="538"/>
      <c r="F35" s="538"/>
      <c r="G35" s="538"/>
      <c r="H35" s="538"/>
      <c r="I35" s="538"/>
      <c r="J35" s="538"/>
      <c r="K35" s="538"/>
      <c r="L35" s="538"/>
      <c r="M35" s="538"/>
      <c r="N35" s="538"/>
      <c r="O35" s="514">
        <f t="shared" si="3"/>
        <v>0</v>
      </c>
      <c r="P35" s="623"/>
      <c r="Q35" s="623"/>
      <c r="R35" s="623"/>
      <c r="S35" s="623"/>
      <c r="T35" s="623"/>
      <c r="U35" s="623"/>
      <c r="V35" s="534"/>
      <c r="W35" s="544"/>
      <c r="X35" s="623"/>
      <c r="Y35" s="623"/>
      <c r="Z35" s="525"/>
      <c r="AA35" s="534"/>
      <c r="AB35" s="605">
        <f t="shared" si="4"/>
        <v>0</v>
      </c>
      <c r="AC35" s="613"/>
      <c r="AD35" s="534"/>
      <c r="AE35" s="630"/>
      <c r="AF35" s="534"/>
      <c r="AG35" s="534"/>
      <c r="AH35" s="635">
        <f>8000/1.1285</f>
        <v>7089.0562693841375</v>
      </c>
      <c r="AI35" s="630"/>
      <c r="AJ35" s="626"/>
      <c r="AK35" s="607">
        <f t="shared" si="7"/>
        <v>7089.0562693841375</v>
      </c>
      <c r="AL35" s="628"/>
      <c r="AM35" s="634"/>
      <c r="AN35" s="628"/>
      <c r="AO35" s="628"/>
      <c r="AP35" s="533"/>
      <c r="AQ35" s="533"/>
      <c r="AR35" s="525"/>
      <c r="AS35" s="525"/>
      <c r="AT35" s="525"/>
      <c r="AU35" s="525"/>
      <c r="AV35" s="525"/>
      <c r="AW35" s="563"/>
      <c r="AX35" s="528">
        <f t="shared" si="15"/>
        <v>0</v>
      </c>
      <c r="AY35" s="525"/>
      <c r="AZ35" s="544">
        <f>7987/1.16</f>
        <v>6885.3448275862074</v>
      </c>
      <c r="BA35" s="525"/>
      <c r="BB35" s="525"/>
      <c r="BC35" s="525"/>
      <c r="BD35" s="525"/>
      <c r="BE35" s="533"/>
      <c r="BF35" s="525"/>
      <c r="BG35" s="525"/>
      <c r="BH35" s="563"/>
      <c r="BI35" s="525"/>
      <c r="BJ35" s="608"/>
      <c r="BK35" s="528">
        <f>SUM(AZ35:BJ35)</f>
        <v>6885.3448275862074</v>
      </c>
      <c r="BL35" s="614"/>
      <c r="BM35" s="533"/>
      <c r="BN35" s="535"/>
      <c r="BO35" s="533"/>
      <c r="BP35" s="533"/>
      <c r="BQ35" s="535"/>
      <c r="BR35" s="533"/>
      <c r="BS35" s="533"/>
      <c r="BT35" s="533"/>
      <c r="BU35" s="533"/>
      <c r="BV35" s="533"/>
      <c r="BW35" s="618"/>
      <c r="BX35" s="528">
        <f t="shared" si="9"/>
        <v>0</v>
      </c>
      <c r="BY35" s="525"/>
      <c r="BZ35" s="525"/>
      <c r="CA35" s="525"/>
      <c r="CB35" s="525"/>
      <c r="CC35" s="525"/>
      <c r="CD35" s="525"/>
      <c r="CE35" s="525"/>
      <c r="CF35" s="525"/>
      <c r="CG35" s="525"/>
      <c r="CH35" s="525"/>
      <c r="CI35" s="525"/>
      <c r="CJ35" s="525"/>
      <c r="CK35" s="528">
        <f t="shared" si="6"/>
        <v>0</v>
      </c>
      <c r="CL35" s="526"/>
      <c r="CM35" s="525"/>
      <c r="CN35" s="525"/>
      <c r="CO35" s="525"/>
      <c r="CP35" s="525"/>
      <c r="CQ35" s="525"/>
      <c r="CR35" s="525"/>
      <c r="CS35" s="525"/>
      <c r="CT35" s="525"/>
      <c r="CU35" s="525"/>
      <c r="CV35" s="525"/>
      <c r="CW35" s="525"/>
      <c r="CX35" s="528">
        <f t="shared" si="10"/>
        <v>0</v>
      </c>
      <c r="CY35" s="522"/>
      <c r="CZ35" s="880"/>
      <c r="DA35" s="533"/>
      <c r="DB35" s="880"/>
      <c r="DC35" s="880"/>
      <c r="DD35" s="541"/>
      <c r="DE35" s="533"/>
      <c r="DF35" s="880"/>
      <c r="DG35" s="880"/>
      <c r="DH35" s="552"/>
      <c r="DI35" s="552"/>
      <c r="DJ35" s="552"/>
      <c r="DK35" s="528">
        <f t="shared" si="11"/>
        <v>0</v>
      </c>
      <c r="DL35" s="546"/>
      <c r="DM35" s="552"/>
      <c r="DN35" s="536"/>
      <c r="DO35" s="552"/>
      <c r="DP35" s="552"/>
      <c r="DQ35" s="536"/>
      <c r="DR35" s="536"/>
      <c r="DS35" s="552"/>
      <c r="DT35" s="552"/>
      <c r="DU35" s="552"/>
      <c r="DV35" s="552"/>
      <c r="DW35" s="552"/>
      <c r="DX35" s="519">
        <f t="shared" si="12"/>
        <v>0</v>
      </c>
    </row>
    <row r="36" spans="2:128" ht="15">
      <c r="B36" s="480" t="s">
        <v>155</v>
      </c>
      <c r="C36" s="538"/>
      <c r="D36" s="538"/>
      <c r="E36" s="538"/>
      <c r="F36" s="538"/>
      <c r="G36" s="538"/>
      <c r="H36" s="538"/>
      <c r="I36" s="538"/>
      <c r="J36" s="538"/>
      <c r="K36" s="538"/>
      <c r="L36" s="538"/>
      <c r="M36" s="538"/>
      <c r="N36" s="538"/>
      <c r="O36" s="514">
        <f t="shared" si="3"/>
        <v>0</v>
      </c>
      <c r="P36" s="623"/>
      <c r="Q36" s="623"/>
      <c r="R36" s="623"/>
      <c r="S36" s="623"/>
      <c r="T36" s="623"/>
      <c r="U36" s="623"/>
      <c r="V36" s="534"/>
      <c r="W36" s="544"/>
      <c r="X36" s="623"/>
      <c r="Y36" s="623"/>
      <c r="Z36" s="525"/>
      <c r="AA36" s="534"/>
      <c r="AB36" s="605">
        <v>0</v>
      </c>
      <c r="AC36" s="613"/>
      <c r="AD36" s="534"/>
      <c r="AE36" s="630"/>
      <c r="AF36" s="534"/>
      <c r="AG36" s="630"/>
      <c r="AH36" s="534"/>
      <c r="AI36" s="544">
        <v>22000</v>
      </c>
      <c r="AJ36" s="626"/>
      <c r="AK36" s="607">
        <f t="shared" si="7"/>
        <v>22000</v>
      </c>
      <c r="AL36" s="628"/>
      <c r="AM36" s="634"/>
      <c r="AN36" s="628"/>
      <c r="AO36" s="628"/>
      <c r="AP36" s="525"/>
      <c r="AQ36" s="533"/>
      <c r="AR36" s="533"/>
      <c r="AS36" s="533"/>
      <c r="AT36" s="533"/>
      <c r="AU36" s="533"/>
      <c r="AV36" s="525"/>
      <c r="AW36" s="533"/>
      <c r="AX36" s="528">
        <f t="shared" si="14"/>
        <v>0</v>
      </c>
      <c r="AY36" s="525"/>
      <c r="AZ36" s="525"/>
      <c r="BA36" s="525"/>
      <c r="BB36" s="544">
        <v>22000</v>
      </c>
      <c r="BC36" s="525"/>
      <c r="BD36" s="525"/>
      <c r="BE36" s="525"/>
      <c r="BF36" s="525"/>
      <c r="BG36" s="525"/>
      <c r="BH36" s="563"/>
      <c r="BI36" s="525"/>
      <c r="BJ36" s="544">
        <v>22000</v>
      </c>
      <c r="BK36" s="528">
        <f>SUM(BB36:BJ36)</f>
        <v>44000</v>
      </c>
      <c r="BL36" s="614"/>
      <c r="BM36" s="533"/>
      <c r="BN36" s="535"/>
      <c r="BO36" s="533"/>
      <c r="BP36" s="533"/>
      <c r="BQ36" s="535"/>
      <c r="BR36" s="533"/>
      <c r="BS36" s="533"/>
      <c r="BT36" s="533"/>
      <c r="BU36" s="533"/>
      <c r="BV36" s="525"/>
      <c r="BW36" s="544">
        <v>16500</v>
      </c>
      <c r="BX36" s="528">
        <f>SUM(BL36:BW36)</f>
        <v>16500</v>
      </c>
      <c r="BY36" s="525"/>
      <c r="BZ36" s="525"/>
      <c r="CA36" s="525"/>
      <c r="CB36" s="525"/>
      <c r="CC36" s="525"/>
      <c r="CD36" s="525"/>
      <c r="CE36" s="525"/>
      <c r="CF36" s="525"/>
      <c r="CG36" s="525"/>
      <c r="CH36" s="525"/>
      <c r="CI36" s="544">
        <v>16500</v>
      </c>
      <c r="CJ36" s="563"/>
      <c r="CK36" s="528">
        <f>SUM(BY36:CJ36)</f>
        <v>16500</v>
      </c>
      <c r="CL36" s="526"/>
      <c r="CM36" s="525"/>
      <c r="CN36" s="525"/>
      <c r="CO36" s="525"/>
      <c r="CP36" s="525"/>
      <c r="CQ36" s="525"/>
      <c r="CR36" s="525"/>
      <c r="CS36" s="525"/>
      <c r="CT36" s="525"/>
      <c r="CU36" s="544">
        <v>16500</v>
      </c>
      <c r="CV36" s="541"/>
      <c r="CW36" s="525"/>
      <c r="CX36" s="528">
        <f t="shared" si="10"/>
        <v>16500</v>
      </c>
      <c r="CY36" s="522"/>
      <c r="CZ36" s="880"/>
      <c r="DA36" s="533"/>
      <c r="DB36" s="880"/>
      <c r="DC36" s="880"/>
      <c r="DD36" s="541"/>
      <c r="DE36" s="533"/>
      <c r="DF36" s="880"/>
      <c r="DG36" s="880"/>
      <c r="DH36" s="552"/>
      <c r="DI36" s="536">
        <v>16500</v>
      </c>
      <c r="DJ36" s="552"/>
      <c r="DK36" s="528">
        <f t="shared" si="11"/>
        <v>16500</v>
      </c>
      <c r="DL36" s="546"/>
      <c r="DM36" s="552"/>
      <c r="DN36" s="536"/>
      <c r="DO36" s="552"/>
      <c r="DP36" s="552"/>
      <c r="DQ36" s="536"/>
      <c r="DR36" s="536"/>
      <c r="DS36" s="552"/>
      <c r="DT36" s="552"/>
      <c r="DU36" s="552"/>
      <c r="DV36" s="536">
        <v>16500</v>
      </c>
      <c r="DW36" s="552"/>
      <c r="DX36" s="519">
        <f t="shared" si="12"/>
        <v>16500</v>
      </c>
    </row>
    <row r="37" spans="2:128" ht="15">
      <c r="B37" s="480" t="s">
        <v>156</v>
      </c>
      <c r="C37" s="538"/>
      <c r="D37" s="538"/>
      <c r="E37" s="538"/>
      <c r="F37" s="538"/>
      <c r="G37" s="538"/>
      <c r="H37" s="538"/>
      <c r="I37" s="538"/>
      <c r="J37" s="538"/>
      <c r="K37" s="538"/>
      <c r="L37" s="538"/>
      <c r="M37" s="538"/>
      <c r="N37" s="538"/>
      <c r="O37" s="514"/>
      <c r="P37" s="623"/>
      <c r="Q37" s="623"/>
      <c r="R37" s="623"/>
      <c r="S37" s="623"/>
      <c r="T37" s="623"/>
      <c r="U37" s="623"/>
      <c r="V37" s="534"/>
      <c r="W37" s="544"/>
      <c r="X37" s="623"/>
      <c r="Y37" s="623"/>
      <c r="Z37" s="525"/>
      <c r="AA37" s="534"/>
      <c r="AB37" s="605">
        <v>0</v>
      </c>
      <c r="AC37" s="613"/>
      <c r="AD37" s="534"/>
      <c r="AE37" s="630"/>
      <c r="AF37" s="534"/>
      <c r="AG37" s="630"/>
      <c r="AH37" s="534"/>
      <c r="AI37" s="544"/>
      <c r="AJ37" s="626"/>
      <c r="AK37" s="607">
        <f t="shared" si="7"/>
        <v>0</v>
      </c>
      <c r="AL37" s="628"/>
      <c r="AM37" s="634"/>
      <c r="AN37" s="628"/>
      <c r="AO37" s="628"/>
      <c r="AP37" s="544">
        <f>(7000-33)/1.2166-27.87/1.224</f>
        <v>5703.845549151767</v>
      </c>
      <c r="AQ37" s="534">
        <f>21.87/1.224</f>
        <v>17.867647058823529</v>
      </c>
      <c r="AR37" s="533"/>
      <c r="AS37" s="533"/>
      <c r="AT37" s="533"/>
      <c r="AU37" s="533"/>
      <c r="AV37" s="533"/>
      <c r="AW37" s="533"/>
      <c r="AX37" s="528">
        <f>SUM(AL37:AW37)</f>
        <v>5721.7131962105905</v>
      </c>
      <c r="AY37" s="606"/>
      <c r="AZ37" s="525"/>
      <c r="BA37" s="525"/>
      <c r="BB37" s="525"/>
      <c r="BC37" s="544">
        <f>(7000-335.72)/1.116</f>
        <v>5971.5770609318988</v>
      </c>
      <c r="BD37" s="525"/>
      <c r="BE37" s="525"/>
      <c r="BF37" s="525"/>
      <c r="BG37" s="525"/>
      <c r="BH37" s="563"/>
      <c r="BI37" s="525"/>
      <c r="BJ37" s="563">
        <v>0</v>
      </c>
      <c r="BK37" s="528">
        <f>SUM(AY37:BJ37)</f>
        <v>5971.5770609318988</v>
      </c>
      <c r="BL37" s="614"/>
      <c r="BM37" s="533"/>
      <c r="BN37" s="535"/>
      <c r="BO37" s="533"/>
      <c r="BP37" s="544">
        <f>11720.21/1.0903</f>
        <v>10749.527652939556</v>
      </c>
      <c r="BQ37" s="615">
        <f>280/1.0988</f>
        <v>254.82344375682564</v>
      </c>
      <c r="BR37" s="533"/>
      <c r="BS37" s="533"/>
      <c r="BT37" s="533"/>
      <c r="BU37" s="533"/>
      <c r="BV37" s="533"/>
      <c r="BW37" s="618"/>
      <c r="BX37" s="528">
        <f t="shared" si="9"/>
        <v>11004.351096696382</v>
      </c>
      <c r="BY37" s="525"/>
      <c r="BZ37" s="525"/>
      <c r="CA37" s="525"/>
      <c r="CB37" s="525"/>
      <c r="CC37" s="525"/>
      <c r="CD37" s="525"/>
      <c r="CE37" s="525"/>
      <c r="CF37" s="525"/>
      <c r="CG37" s="544">
        <f>15000/1.0698</f>
        <v>14021.312394840155</v>
      </c>
      <c r="CH37" s="525"/>
      <c r="CI37" s="525"/>
      <c r="CJ37" s="525"/>
      <c r="CK37" s="528">
        <f t="shared" si="6"/>
        <v>14021.312394840155</v>
      </c>
      <c r="CL37" s="526"/>
      <c r="CM37" s="525"/>
      <c r="CN37" s="525"/>
      <c r="CO37" s="525"/>
      <c r="CP37" s="544">
        <f>15000/1.0443</f>
        <v>14363.688595231255</v>
      </c>
      <c r="CQ37" s="541"/>
      <c r="CR37" s="525"/>
      <c r="CS37" s="525"/>
      <c r="CT37" s="525"/>
      <c r="CU37" s="525"/>
      <c r="CV37" s="525"/>
      <c r="CW37" s="525"/>
      <c r="CX37" s="528">
        <f t="shared" si="10"/>
        <v>14363.688595231255</v>
      </c>
      <c r="CY37" s="522"/>
      <c r="CZ37" s="880"/>
      <c r="DA37" s="533"/>
      <c r="DB37" s="880"/>
      <c r="DC37" s="541"/>
      <c r="DD37" s="541"/>
      <c r="DE37" s="544">
        <f>16000/1.1555</f>
        <v>13846.819558632627</v>
      </c>
      <c r="DF37" s="541"/>
      <c r="DG37" s="880"/>
      <c r="DH37" s="552"/>
      <c r="DI37" s="536"/>
      <c r="DJ37" s="552"/>
      <c r="DK37" s="528">
        <f t="shared" si="11"/>
        <v>13846.819558632627</v>
      </c>
      <c r="DL37" s="546"/>
      <c r="DM37" s="552"/>
      <c r="DN37" s="536"/>
      <c r="DO37" s="552"/>
      <c r="DP37" s="536">
        <f>15000/1.1</f>
        <v>13636.363636363636</v>
      </c>
      <c r="DQ37" s="536"/>
      <c r="DR37" s="536"/>
      <c r="DS37" s="552"/>
      <c r="DT37" s="552"/>
      <c r="DU37" s="552"/>
      <c r="DV37" s="536"/>
      <c r="DW37" s="552"/>
      <c r="DX37" s="519">
        <f t="shared" si="12"/>
        <v>13636.363636363636</v>
      </c>
    </row>
    <row r="38" spans="2:128" ht="15">
      <c r="B38" s="480" t="s">
        <v>157</v>
      </c>
      <c r="C38" s="538"/>
      <c r="D38" s="538"/>
      <c r="E38" s="538"/>
      <c r="F38" s="538"/>
      <c r="G38" s="538"/>
      <c r="H38" s="538"/>
      <c r="I38" s="538"/>
      <c r="J38" s="538"/>
      <c r="K38" s="538"/>
      <c r="L38" s="538"/>
      <c r="M38" s="538"/>
      <c r="N38" s="538"/>
      <c r="O38" s="514"/>
      <c r="P38" s="623"/>
      <c r="Q38" s="623"/>
      <c r="R38" s="623"/>
      <c r="S38" s="623"/>
      <c r="T38" s="623"/>
      <c r="U38" s="623"/>
      <c r="V38" s="534"/>
      <c r="W38" s="544"/>
      <c r="X38" s="623"/>
      <c r="Y38" s="623"/>
      <c r="Z38" s="525"/>
      <c r="AA38" s="534"/>
      <c r="AB38" s="605">
        <v>0</v>
      </c>
      <c r="AC38" s="613"/>
      <c r="AD38" s="534"/>
      <c r="AE38" s="630"/>
      <c r="AF38" s="534"/>
      <c r="AG38" s="630"/>
      <c r="AH38" s="534"/>
      <c r="AI38" s="544"/>
      <c r="AJ38" s="626"/>
      <c r="AK38" s="607">
        <f t="shared" si="7"/>
        <v>0</v>
      </c>
      <c r="AL38" s="628"/>
      <c r="AM38" s="634"/>
      <c r="AN38" s="628"/>
      <c r="AO38" s="628"/>
      <c r="AP38" s="525"/>
      <c r="AQ38" s="525"/>
      <c r="AR38" s="525"/>
      <c r="AS38" s="533"/>
      <c r="AT38" s="525"/>
      <c r="AU38" s="533"/>
      <c r="AV38" s="525"/>
      <c r="AW38" s="544">
        <f>7600+13000</f>
        <v>20600</v>
      </c>
      <c r="AX38" s="528">
        <f>SUM(AL38:AW38)</f>
        <v>20600</v>
      </c>
      <c r="AY38" s="606"/>
      <c r="AZ38" s="525"/>
      <c r="BA38" s="525"/>
      <c r="BB38" s="525"/>
      <c r="BC38" s="525"/>
      <c r="BD38" s="533"/>
      <c r="BE38" s="525"/>
      <c r="BF38" s="525"/>
      <c r="BG38" s="525"/>
      <c r="BH38" s="563"/>
      <c r="BI38" s="525"/>
      <c r="BJ38" s="608"/>
      <c r="BK38" s="528">
        <f t="shared" si="13"/>
        <v>0</v>
      </c>
      <c r="BL38" s="614"/>
      <c r="BM38" s="533"/>
      <c r="BN38" s="535"/>
      <c r="BO38" s="533"/>
      <c r="BP38" s="525"/>
      <c r="BQ38" s="526"/>
      <c r="BR38" s="544">
        <f>15000+15000</f>
        <v>30000</v>
      </c>
      <c r="BS38" s="533"/>
      <c r="BT38" s="533"/>
      <c r="BU38" s="533"/>
      <c r="BV38" s="533"/>
      <c r="BW38" s="618"/>
      <c r="BX38" s="528">
        <f t="shared" si="9"/>
        <v>30000</v>
      </c>
      <c r="BY38" s="525"/>
      <c r="BZ38" s="525"/>
      <c r="CA38" s="525"/>
      <c r="CB38" s="525"/>
      <c r="CC38" s="525"/>
      <c r="CD38" s="525"/>
      <c r="CE38" s="525"/>
      <c r="CF38" s="525"/>
      <c r="CG38" s="525"/>
      <c r="CH38" s="525"/>
      <c r="CI38" s="619"/>
      <c r="CJ38" s="525"/>
      <c r="CK38" s="528">
        <f t="shared" si="6"/>
        <v>0</v>
      </c>
      <c r="CL38" s="526"/>
      <c r="CM38" s="525"/>
      <c r="CN38" s="525"/>
      <c r="CO38" s="525"/>
      <c r="CP38" s="525"/>
      <c r="CQ38" s="541"/>
      <c r="CR38" s="544">
        <v>16500</v>
      </c>
      <c r="CS38" s="525"/>
      <c r="CT38" s="525"/>
      <c r="CU38" s="525"/>
      <c r="CV38" s="525"/>
      <c r="CW38" s="525"/>
      <c r="CX38" s="528">
        <f t="shared" si="10"/>
        <v>16500</v>
      </c>
      <c r="CY38" s="522"/>
      <c r="CZ38" s="880"/>
      <c r="DA38" s="533"/>
      <c r="DB38" s="880"/>
      <c r="DC38" s="541"/>
      <c r="DD38" s="541"/>
      <c r="DE38" s="541"/>
      <c r="DF38" s="880"/>
      <c r="DG38" s="541"/>
      <c r="DH38" s="584">
        <v>16500</v>
      </c>
      <c r="DI38" s="536"/>
      <c r="DJ38" s="552"/>
      <c r="DK38" s="528">
        <f t="shared" si="11"/>
        <v>16500</v>
      </c>
      <c r="DL38" s="546"/>
      <c r="DM38" s="552"/>
      <c r="DN38" s="536"/>
      <c r="DO38" s="552"/>
      <c r="DP38" s="536">
        <v>16500</v>
      </c>
      <c r="DQ38" s="536"/>
      <c r="DR38" s="536"/>
      <c r="DS38" s="552"/>
      <c r="DT38" s="552"/>
      <c r="DU38" s="552"/>
      <c r="DV38" s="536"/>
      <c r="DW38" s="552"/>
      <c r="DX38" s="519">
        <f t="shared" si="12"/>
        <v>16500</v>
      </c>
    </row>
    <row r="39" spans="2:128" ht="15">
      <c r="B39" s="480" t="s">
        <v>47</v>
      </c>
      <c r="C39" s="538"/>
      <c r="D39" s="538"/>
      <c r="E39" s="538"/>
      <c r="F39" s="538"/>
      <c r="G39" s="538"/>
      <c r="H39" s="538"/>
      <c r="I39" s="538"/>
      <c r="J39" s="538"/>
      <c r="K39" s="538"/>
      <c r="L39" s="538"/>
      <c r="M39" s="538"/>
      <c r="N39" s="538"/>
      <c r="O39" s="514"/>
      <c r="P39" s="623"/>
      <c r="Q39" s="623"/>
      <c r="R39" s="623"/>
      <c r="S39" s="623"/>
      <c r="T39" s="623"/>
      <c r="U39" s="623"/>
      <c r="V39" s="534"/>
      <c r="W39" s="544"/>
      <c r="X39" s="623"/>
      <c r="Y39" s="623"/>
      <c r="Z39" s="525"/>
      <c r="AA39" s="534"/>
      <c r="AB39" s="605">
        <v>0</v>
      </c>
      <c r="AC39" s="613"/>
      <c r="AD39" s="534"/>
      <c r="AE39" s="630"/>
      <c r="AF39" s="534"/>
      <c r="AG39" s="630"/>
      <c r="AH39" s="534"/>
      <c r="AI39" s="544"/>
      <c r="AJ39" s="626"/>
      <c r="AK39" s="607">
        <f t="shared" si="7"/>
        <v>0</v>
      </c>
      <c r="AL39" s="628"/>
      <c r="AM39" s="634"/>
      <c r="AN39" s="628"/>
      <c r="AO39" s="628"/>
      <c r="AP39" s="525"/>
      <c r="AQ39" s="525"/>
      <c r="AR39" s="525"/>
      <c r="AS39" s="533"/>
      <c r="AT39" s="525"/>
      <c r="AU39" s="533"/>
      <c r="AV39" s="525"/>
      <c r="AW39" s="544"/>
      <c r="AX39" s="528">
        <f>SUM(AL39:AW39)</f>
        <v>0</v>
      </c>
      <c r="AY39" s="613">
        <v>24000</v>
      </c>
      <c r="AZ39" s="525"/>
      <c r="BA39" s="525"/>
      <c r="BB39" s="525"/>
      <c r="BC39" s="525"/>
      <c r="BD39" s="533"/>
      <c r="BE39" s="525"/>
      <c r="BF39" s="525"/>
      <c r="BG39" s="525"/>
      <c r="BH39" s="563"/>
      <c r="BI39" s="525"/>
      <c r="BJ39" s="533"/>
      <c r="BK39" s="528">
        <f>SUM(AY39:BJ39)</f>
        <v>24000</v>
      </c>
      <c r="BL39" s="525"/>
      <c r="BM39" s="525"/>
      <c r="BN39" s="615">
        <v>24000</v>
      </c>
      <c r="BO39" s="533"/>
      <c r="BP39" s="533"/>
      <c r="BQ39" s="535"/>
      <c r="BR39" s="533"/>
      <c r="BS39" s="533"/>
      <c r="BT39" s="533"/>
      <c r="BU39" s="533"/>
      <c r="BV39" s="525"/>
      <c r="BW39" s="563"/>
      <c r="BX39" s="528">
        <f>SUM(BL39:BW39)</f>
        <v>24000</v>
      </c>
      <c r="BY39" s="525"/>
      <c r="BZ39" s="544">
        <v>36000</v>
      </c>
      <c r="CA39" s="525"/>
      <c r="CB39" s="525"/>
      <c r="CC39" s="525"/>
      <c r="CD39" s="525"/>
      <c r="CE39" s="525"/>
      <c r="CF39" s="525"/>
      <c r="CG39" s="525"/>
      <c r="CH39" s="525"/>
      <c r="CI39" s="619"/>
      <c r="CJ39" s="525"/>
      <c r="CK39" s="528">
        <f>SUM(BZ39:CJ39)</f>
        <v>36000</v>
      </c>
      <c r="CL39" s="526"/>
      <c r="CM39" s="525"/>
      <c r="CN39" s="525"/>
      <c r="CO39" s="525"/>
      <c r="CP39" s="541"/>
      <c r="CQ39" s="541"/>
      <c r="CR39" s="544">
        <v>24000</v>
      </c>
      <c r="CS39" s="525"/>
      <c r="CT39" s="525"/>
      <c r="CU39" s="525"/>
      <c r="CV39" s="619"/>
      <c r="CW39" s="525"/>
      <c r="CX39" s="528">
        <f t="shared" si="10"/>
        <v>24000</v>
      </c>
      <c r="CY39" s="522"/>
      <c r="CZ39" s="880"/>
      <c r="DA39" s="533"/>
      <c r="DB39" s="880"/>
      <c r="DC39" s="541"/>
      <c r="DD39" s="541"/>
      <c r="DE39" s="541"/>
      <c r="DF39" s="544">
        <v>24480</v>
      </c>
      <c r="DG39" s="541"/>
      <c r="DH39" s="552"/>
      <c r="DI39" s="536"/>
      <c r="DJ39" s="552"/>
      <c r="DK39" s="528">
        <f t="shared" si="11"/>
        <v>24480</v>
      </c>
      <c r="DL39" s="546"/>
      <c r="DM39" s="552"/>
      <c r="DN39" s="536"/>
      <c r="DO39" s="552"/>
      <c r="DP39" s="536">
        <v>24000</v>
      </c>
      <c r="DQ39" s="536"/>
      <c r="DR39" s="536"/>
      <c r="DS39" s="552"/>
      <c r="DT39" s="552"/>
      <c r="DU39" s="552"/>
      <c r="DV39" s="536"/>
      <c r="DW39" s="552"/>
      <c r="DX39" s="519">
        <f t="shared" si="12"/>
        <v>24000</v>
      </c>
    </row>
    <row r="40" spans="2:128" ht="15">
      <c r="B40" s="480" t="s">
        <v>158</v>
      </c>
      <c r="C40" s="538"/>
      <c r="D40" s="538"/>
      <c r="E40" s="538"/>
      <c r="F40" s="538"/>
      <c r="G40" s="538"/>
      <c r="H40" s="538"/>
      <c r="I40" s="538"/>
      <c r="J40" s="538"/>
      <c r="K40" s="538"/>
      <c r="L40" s="538"/>
      <c r="M40" s="538"/>
      <c r="N40" s="538"/>
      <c r="O40" s="514"/>
      <c r="P40" s="623"/>
      <c r="Q40" s="623"/>
      <c r="R40" s="623"/>
      <c r="S40" s="623"/>
      <c r="T40" s="623"/>
      <c r="U40" s="623"/>
      <c r="V40" s="534"/>
      <c r="W40" s="544"/>
      <c r="X40" s="623"/>
      <c r="Y40" s="623"/>
      <c r="Z40" s="525"/>
      <c r="AA40" s="534"/>
      <c r="AB40" s="605">
        <v>0</v>
      </c>
      <c r="AC40" s="613"/>
      <c r="AD40" s="534"/>
      <c r="AE40" s="630"/>
      <c r="AF40" s="534"/>
      <c r="AG40" s="630"/>
      <c r="AH40" s="534"/>
      <c r="AI40" s="544"/>
      <c r="AJ40" s="626"/>
      <c r="AK40" s="607">
        <f>SUM(AC40:AJ40)</f>
        <v>0</v>
      </c>
      <c r="AL40" s="628"/>
      <c r="AM40" s="634"/>
      <c r="AN40" s="628"/>
      <c r="AO40" s="628"/>
      <c r="AP40" s="525"/>
      <c r="AQ40" s="525"/>
      <c r="AR40" s="525"/>
      <c r="AS40" s="533"/>
      <c r="AT40" s="525"/>
      <c r="AU40" s="533"/>
      <c r="AV40" s="525"/>
      <c r="AW40" s="544"/>
      <c r="AX40" s="528">
        <f>SUM(AL40:AW40)</f>
        <v>0</v>
      </c>
      <c r="AY40" s="613"/>
      <c r="AZ40" s="525"/>
      <c r="BA40" s="525"/>
      <c r="BB40" s="525"/>
      <c r="BC40" s="525"/>
      <c r="BD40" s="544">
        <v>15000</v>
      </c>
      <c r="BE40" s="525"/>
      <c r="BF40" s="525"/>
      <c r="BG40" s="525"/>
      <c r="BH40" s="563"/>
      <c r="BI40" s="525"/>
      <c r="BJ40" s="608"/>
      <c r="BK40" s="528">
        <f t="shared" ref="BK40:BK56" si="16">SUM(AY40:BJ40)</f>
        <v>15000</v>
      </c>
      <c r="BL40" s="614"/>
      <c r="BM40" s="525"/>
      <c r="BN40" s="526"/>
      <c r="BO40" s="525"/>
      <c r="BP40" s="525"/>
      <c r="BQ40" s="615">
        <v>15000</v>
      </c>
      <c r="BR40" s="533"/>
      <c r="BS40" s="533"/>
      <c r="BT40" s="533"/>
      <c r="BU40" s="533"/>
      <c r="BV40" s="533"/>
      <c r="BW40" s="618"/>
      <c r="BX40" s="528">
        <f t="shared" si="9"/>
        <v>15000</v>
      </c>
      <c r="BY40" s="525"/>
      <c r="BZ40" s="544">
        <v>15900</v>
      </c>
      <c r="CA40" s="525"/>
      <c r="CB40" s="525"/>
      <c r="CC40" s="525"/>
      <c r="CD40" s="619"/>
      <c r="CE40" s="525"/>
      <c r="CF40" s="525"/>
      <c r="CG40" s="525"/>
      <c r="CH40" s="525"/>
      <c r="CI40" s="525"/>
      <c r="CJ40" s="525"/>
      <c r="CK40" s="528">
        <f t="shared" si="6"/>
        <v>15900</v>
      </c>
      <c r="CL40" s="526"/>
      <c r="CM40" s="525"/>
      <c r="CN40" s="544">
        <v>15900</v>
      </c>
      <c r="CO40" s="525"/>
      <c r="CP40" s="525"/>
      <c r="CQ40" s="525"/>
      <c r="CR40" s="525"/>
      <c r="CS40" s="525"/>
      <c r="CT40" s="525"/>
      <c r="CU40" s="525"/>
      <c r="CV40" s="525"/>
      <c r="CW40" s="525"/>
      <c r="CX40" s="528">
        <f t="shared" si="10"/>
        <v>15900</v>
      </c>
      <c r="CY40" s="522"/>
      <c r="CZ40" s="880"/>
      <c r="DA40" s="541"/>
      <c r="DB40" s="544">
        <v>16200</v>
      </c>
      <c r="DC40" s="533"/>
      <c r="DD40" s="533"/>
      <c r="DE40" s="533"/>
      <c r="DF40" s="880"/>
      <c r="DG40" s="880"/>
      <c r="DH40" s="552"/>
      <c r="DI40" s="536"/>
      <c r="DJ40" s="552"/>
      <c r="DK40" s="528">
        <f t="shared" si="11"/>
        <v>16200</v>
      </c>
      <c r="DL40" s="546"/>
      <c r="DM40" s="552"/>
      <c r="DN40" s="536">
        <v>15900</v>
      </c>
      <c r="DO40" s="552"/>
      <c r="DP40" s="536"/>
      <c r="DQ40" s="536"/>
      <c r="DR40" s="536"/>
      <c r="DS40" s="552"/>
      <c r="DT40" s="552"/>
      <c r="DU40" s="552"/>
      <c r="DV40" s="536"/>
      <c r="DW40" s="552"/>
      <c r="DX40" s="519">
        <f t="shared" si="12"/>
        <v>15900</v>
      </c>
    </row>
    <row r="41" spans="2:128" ht="15">
      <c r="B41" s="480" t="s">
        <v>159</v>
      </c>
      <c r="C41" s="538"/>
      <c r="D41" s="538"/>
      <c r="E41" s="538"/>
      <c r="F41" s="538"/>
      <c r="G41" s="538"/>
      <c r="H41" s="538"/>
      <c r="I41" s="538"/>
      <c r="J41" s="538"/>
      <c r="K41" s="538"/>
      <c r="L41" s="538"/>
      <c r="M41" s="538"/>
      <c r="N41" s="538"/>
      <c r="O41" s="514"/>
      <c r="P41" s="623"/>
      <c r="Q41" s="623"/>
      <c r="R41" s="623"/>
      <c r="S41" s="623"/>
      <c r="T41" s="623"/>
      <c r="U41" s="623"/>
      <c r="V41" s="534"/>
      <c r="W41" s="544"/>
      <c r="X41" s="623"/>
      <c r="Y41" s="623"/>
      <c r="Z41" s="525"/>
      <c r="AA41" s="534"/>
      <c r="AB41" s="605">
        <v>0</v>
      </c>
      <c r="AC41" s="613"/>
      <c r="AD41" s="534"/>
      <c r="AE41" s="630"/>
      <c r="AF41" s="534"/>
      <c r="AG41" s="630"/>
      <c r="AH41" s="534"/>
      <c r="AI41" s="544"/>
      <c r="AJ41" s="626"/>
      <c r="AK41" s="607">
        <f>SUM(AC41:AJ41)</f>
        <v>0</v>
      </c>
      <c r="AL41" s="628"/>
      <c r="AM41" s="634"/>
      <c r="AN41" s="628"/>
      <c r="AO41" s="628"/>
      <c r="AP41" s="525"/>
      <c r="AQ41" s="525"/>
      <c r="AR41" s="525"/>
      <c r="AS41" s="533"/>
      <c r="AT41" s="525"/>
      <c r="AU41" s="533"/>
      <c r="AV41" s="525"/>
      <c r="AW41" s="544"/>
      <c r="AX41" s="528">
        <f>SUM(AL41:AW41)</f>
        <v>0</v>
      </c>
      <c r="AY41" s="613"/>
      <c r="AZ41" s="525"/>
      <c r="BA41" s="525"/>
      <c r="BB41" s="525"/>
      <c r="BC41" s="525"/>
      <c r="BD41" s="544">
        <v>10000</v>
      </c>
      <c r="BE41" s="525"/>
      <c r="BF41" s="525"/>
      <c r="BG41" s="525"/>
      <c r="BH41" s="563"/>
      <c r="BI41" s="525"/>
      <c r="BJ41" s="608"/>
      <c r="BK41" s="528">
        <f t="shared" si="16"/>
        <v>10000</v>
      </c>
      <c r="BL41" s="614"/>
      <c r="BM41" s="533"/>
      <c r="BN41" s="535"/>
      <c r="BO41" s="533"/>
      <c r="BP41" s="525"/>
      <c r="BQ41" s="615">
        <v>10000</v>
      </c>
      <c r="BR41" s="533"/>
      <c r="BS41" s="533"/>
      <c r="BT41" s="533"/>
      <c r="BU41" s="533"/>
      <c r="BV41" s="533"/>
      <c r="BW41" s="618"/>
      <c r="BX41" s="528">
        <f t="shared" si="9"/>
        <v>10000</v>
      </c>
      <c r="BY41" s="525"/>
      <c r="BZ41" s="525"/>
      <c r="CA41" s="525"/>
      <c r="CB41" s="525"/>
      <c r="CC41" s="525"/>
      <c r="CD41" s="544">
        <v>10000</v>
      </c>
      <c r="CE41" s="525"/>
      <c r="CF41" s="525"/>
      <c r="CG41" s="525"/>
      <c r="CH41" s="525"/>
      <c r="CI41" s="525"/>
      <c r="CJ41" s="525"/>
      <c r="CK41" s="528">
        <f t="shared" si="6"/>
        <v>10000</v>
      </c>
      <c r="CL41" s="526"/>
      <c r="CM41" s="525"/>
      <c r="CN41" s="525"/>
      <c r="CO41" s="525"/>
      <c r="CP41" s="619"/>
      <c r="CQ41" s="541"/>
      <c r="CR41" s="541"/>
      <c r="CS41" s="541"/>
      <c r="CT41" s="541"/>
      <c r="CU41" s="541"/>
      <c r="CV41" s="525"/>
      <c r="CW41" s="544">
        <f>10000*0</f>
        <v>0</v>
      </c>
      <c r="CX41" s="528">
        <f>SUM(CL41:CW41)</f>
        <v>0</v>
      </c>
      <c r="CY41" s="522"/>
      <c r="CZ41" s="880"/>
      <c r="DA41" s="533"/>
      <c r="DB41" s="880"/>
      <c r="DC41" s="880"/>
      <c r="DD41" s="544">
        <v>0</v>
      </c>
      <c r="DE41" s="533"/>
      <c r="DF41" s="880"/>
      <c r="DG41" s="880"/>
      <c r="DH41" s="552"/>
      <c r="DI41" s="536"/>
      <c r="DJ41" s="552"/>
      <c r="DK41" s="528">
        <f t="shared" si="11"/>
        <v>0</v>
      </c>
      <c r="DL41" s="546"/>
      <c r="DM41" s="552"/>
      <c r="DN41" s="536"/>
      <c r="DO41" s="552"/>
      <c r="DP41" s="552"/>
      <c r="DQ41" s="536">
        <v>10000</v>
      </c>
      <c r="DR41" s="536"/>
      <c r="DS41" s="552"/>
      <c r="DT41" s="552"/>
      <c r="DU41" s="552"/>
      <c r="DV41" s="536"/>
      <c r="DW41" s="552"/>
      <c r="DX41" s="519">
        <f t="shared" si="12"/>
        <v>10000</v>
      </c>
    </row>
    <row r="42" spans="2:128" ht="15">
      <c r="B42" s="480" t="s">
        <v>160</v>
      </c>
      <c r="C42" s="538"/>
      <c r="D42" s="538"/>
      <c r="E42" s="538"/>
      <c r="F42" s="538"/>
      <c r="G42" s="538"/>
      <c r="H42" s="538"/>
      <c r="I42" s="538"/>
      <c r="J42" s="538"/>
      <c r="K42" s="538"/>
      <c r="L42" s="538"/>
      <c r="M42" s="538"/>
      <c r="N42" s="538"/>
      <c r="O42" s="514"/>
      <c r="P42" s="623"/>
      <c r="Q42" s="623"/>
      <c r="R42" s="623"/>
      <c r="S42" s="623"/>
      <c r="T42" s="623"/>
      <c r="U42" s="623"/>
      <c r="V42" s="534"/>
      <c r="W42" s="544"/>
      <c r="X42" s="623"/>
      <c r="Y42" s="623"/>
      <c r="Z42" s="525"/>
      <c r="AA42" s="534"/>
      <c r="AB42" s="605">
        <v>0</v>
      </c>
      <c r="AC42" s="613"/>
      <c r="AD42" s="534"/>
      <c r="AE42" s="630"/>
      <c r="AF42" s="534"/>
      <c r="AG42" s="630"/>
      <c r="AH42" s="534"/>
      <c r="AI42" s="544"/>
      <c r="AJ42" s="626"/>
      <c r="AK42" s="607">
        <f t="shared" ref="AK42:AK49" si="17">SUM(AC42:AJ42)</f>
        <v>0</v>
      </c>
      <c r="AL42" s="628"/>
      <c r="AM42" s="634"/>
      <c r="AN42" s="628"/>
      <c r="AO42" s="628"/>
      <c r="AP42" s="525"/>
      <c r="AQ42" s="525"/>
      <c r="AR42" s="525"/>
      <c r="AS42" s="533"/>
      <c r="AT42" s="525"/>
      <c r="AU42" s="533"/>
      <c r="AV42" s="525"/>
      <c r="AW42" s="544"/>
      <c r="AX42" s="528">
        <f t="shared" ref="AX42:AX56" si="18">SUM(AL42:AW42)</f>
        <v>0</v>
      </c>
      <c r="AY42" s="613"/>
      <c r="AZ42" s="525"/>
      <c r="BA42" s="525"/>
      <c r="BB42" s="525"/>
      <c r="BC42" s="525"/>
      <c r="BD42" s="544"/>
      <c r="BE42" s="525"/>
      <c r="BF42" s="615">
        <f>12000/1.0746</f>
        <v>11166.945840312674</v>
      </c>
      <c r="BG42" s="525"/>
      <c r="BH42" s="563"/>
      <c r="BI42" s="525"/>
      <c r="BJ42" s="608"/>
      <c r="BK42" s="528">
        <f t="shared" si="16"/>
        <v>11166.945840312674</v>
      </c>
      <c r="BL42" s="614"/>
      <c r="BM42" s="533"/>
      <c r="BN42" s="535"/>
      <c r="BO42" s="533"/>
      <c r="BP42" s="563"/>
      <c r="BQ42" s="526"/>
      <c r="BR42" s="525"/>
      <c r="BS42" s="544">
        <f>14000/1.087</f>
        <v>12879.484820607177</v>
      </c>
      <c r="BT42" s="525"/>
      <c r="BU42" s="533"/>
      <c r="BV42" s="533"/>
      <c r="BW42" s="618"/>
      <c r="BX42" s="528">
        <f t="shared" si="9"/>
        <v>12879.484820607177</v>
      </c>
      <c r="BY42" s="525"/>
      <c r="BZ42" s="525"/>
      <c r="CA42" s="525"/>
      <c r="CB42" s="525"/>
      <c r="CC42" s="563"/>
      <c r="CD42" s="525"/>
      <c r="CE42" s="525"/>
      <c r="CF42" s="525"/>
      <c r="CG42" s="542">
        <f>15000/1.0779</f>
        <v>13915.947676036738</v>
      </c>
      <c r="CH42" s="525"/>
      <c r="CI42" s="525"/>
      <c r="CJ42" s="525"/>
      <c r="CK42" s="528">
        <f t="shared" si="6"/>
        <v>13915.947676036738</v>
      </c>
      <c r="CL42" s="526"/>
      <c r="CM42" s="525"/>
      <c r="CN42" s="525"/>
      <c r="CO42" s="525"/>
      <c r="CP42" s="525"/>
      <c r="CQ42" s="525"/>
      <c r="CR42" s="541"/>
      <c r="CS42" s="541"/>
      <c r="CT42" s="541"/>
      <c r="CU42" s="544">
        <f>12000/1.141</f>
        <v>10517.090271691499</v>
      </c>
      <c r="CV42" s="525"/>
      <c r="CW42" s="525"/>
      <c r="CX42" s="528">
        <f t="shared" si="10"/>
        <v>10517.090271691499</v>
      </c>
      <c r="CY42" s="522"/>
      <c r="CZ42" s="880"/>
      <c r="DA42" s="880"/>
      <c r="DB42" s="880"/>
      <c r="DC42" s="880"/>
      <c r="DD42" s="533"/>
      <c r="DE42" s="533">
        <v>0</v>
      </c>
      <c r="DF42" s="880"/>
      <c r="DG42" s="880"/>
      <c r="DH42" s="552"/>
      <c r="DI42" s="536"/>
      <c r="DJ42" s="552"/>
      <c r="DK42" s="528">
        <f t="shared" si="11"/>
        <v>0</v>
      </c>
      <c r="DL42" s="546"/>
      <c r="DM42" s="552"/>
      <c r="DN42" s="552"/>
      <c r="DO42" s="552"/>
      <c r="DP42" s="552"/>
      <c r="DQ42" s="536"/>
      <c r="DR42" s="536">
        <v>0</v>
      </c>
      <c r="DS42" s="552"/>
      <c r="DT42" s="552"/>
      <c r="DU42" s="552"/>
      <c r="DV42" s="536"/>
      <c r="DW42" s="552"/>
      <c r="DX42" s="519">
        <f t="shared" si="12"/>
        <v>0</v>
      </c>
    </row>
    <row r="43" spans="2:128" ht="15">
      <c r="B43" s="480" t="s">
        <v>161</v>
      </c>
      <c r="C43" s="538"/>
      <c r="D43" s="538"/>
      <c r="E43" s="538"/>
      <c r="F43" s="538"/>
      <c r="G43" s="538"/>
      <c r="H43" s="538"/>
      <c r="I43" s="538"/>
      <c r="J43" s="538"/>
      <c r="K43" s="538"/>
      <c r="L43" s="538"/>
      <c r="M43" s="538"/>
      <c r="N43" s="538"/>
      <c r="O43" s="514"/>
      <c r="P43" s="623"/>
      <c r="Q43" s="623"/>
      <c r="R43" s="623"/>
      <c r="S43" s="623"/>
      <c r="T43" s="623"/>
      <c r="U43" s="623"/>
      <c r="V43" s="534"/>
      <c r="W43" s="544"/>
      <c r="X43" s="623"/>
      <c r="Y43" s="623"/>
      <c r="Z43" s="525"/>
      <c r="AA43" s="534"/>
      <c r="AB43" s="605">
        <v>0</v>
      </c>
      <c r="AC43" s="613"/>
      <c r="AD43" s="534"/>
      <c r="AE43" s="630"/>
      <c r="AF43" s="534"/>
      <c r="AG43" s="630"/>
      <c r="AH43" s="534"/>
      <c r="AI43" s="544"/>
      <c r="AJ43" s="626"/>
      <c r="AK43" s="607">
        <f t="shared" si="17"/>
        <v>0</v>
      </c>
      <c r="AL43" s="628"/>
      <c r="AM43" s="634"/>
      <c r="AN43" s="628"/>
      <c r="AO43" s="628"/>
      <c r="AP43" s="525"/>
      <c r="AQ43" s="525"/>
      <c r="AR43" s="525"/>
      <c r="AS43" s="533"/>
      <c r="AT43" s="525"/>
      <c r="AU43" s="533"/>
      <c r="AV43" s="525"/>
      <c r="AW43" s="544"/>
      <c r="AX43" s="528">
        <f t="shared" si="18"/>
        <v>0</v>
      </c>
      <c r="AY43" s="613"/>
      <c r="AZ43" s="525"/>
      <c r="BA43" s="525"/>
      <c r="BB43" s="525"/>
      <c r="BC43" s="525"/>
      <c r="BD43" s="544"/>
      <c r="BE43" s="525"/>
      <c r="BF43" s="525"/>
      <c r="BG43" s="544">
        <v>4000</v>
      </c>
      <c r="BH43" s="563"/>
      <c r="BI43" s="525"/>
      <c r="BJ43" s="608"/>
      <c r="BK43" s="528">
        <f t="shared" si="16"/>
        <v>4000</v>
      </c>
      <c r="BL43" s="614"/>
      <c r="BM43" s="533"/>
      <c r="BN43" s="535"/>
      <c r="BO43" s="533"/>
      <c r="BP43" s="563"/>
      <c r="BQ43" s="526"/>
      <c r="BR43" s="533"/>
      <c r="BS43" s="544">
        <f>4000-4000</f>
        <v>0</v>
      </c>
      <c r="BT43" s="525"/>
      <c r="BU43" s="544">
        <f>4000</f>
        <v>4000</v>
      </c>
      <c r="BV43" s="533"/>
      <c r="BW43" s="618"/>
      <c r="BX43" s="528">
        <f t="shared" si="9"/>
        <v>4000</v>
      </c>
      <c r="BY43" s="525"/>
      <c r="BZ43" s="525"/>
      <c r="CA43" s="525"/>
      <c r="CB43" s="525"/>
      <c r="CC43" s="563"/>
      <c r="CD43" s="525"/>
      <c r="CE43" s="525"/>
      <c r="CF43" s="619"/>
      <c r="CG43" s="525"/>
      <c r="CH43" s="525"/>
      <c r="CI43" s="525"/>
      <c r="CJ43" s="525"/>
      <c r="CK43" s="528">
        <f t="shared" si="6"/>
        <v>0</v>
      </c>
      <c r="CL43" s="526"/>
      <c r="CM43" s="525"/>
      <c r="CN43" s="525"/>
      <c r="CO43" s="525"/>
      <c r="CP43" s="525"/>
      <c r="CQ43" s="525"/>
      <c r="CR43" s="525"/>
      <c r="CS43" s="525"/>
      <c r="CT43" s="525"/>
      <c r="CU43" s="525"/>
      <c r="CV43" s="525"/>
      <c r="CW43" s="525"/>
      <c r="CX43" s="528">
        <f t="shared" si="10"/>
        <v>0</v>
      </c>
      <c r="CY43" s="522"/>
      <c r="CZ43" s="880"/>
      <c r="DA43" s="880"/>
      <c r="DB43" s="880"/>
      <c r="DC43" s="880"/>
      <c r="DD43" s="533"/>
      <c r="DE43" s="533"/>
      <c r="DF43" s="880"/>
      <c r="DG43" s="880"/>
      <c r="DH43" s="552"/>
      <c r="DI43" s="536"/>
      <c r="DJ43" s="552"/>
      <c r="DK43" s="528">
        <f t="shared" si="11"/>
        <v>0</v>
      </c>
      <c r="DL43" s="546"/>
      <c r="DM43" s="552"/>
      <c r="DN43" s="552"/>
      <c r="DO43" s="552"/>
      <c r="DP43" s="552"/>
      <c r="DQ43" s="536"/>
      <c r="DR43" s="536"/>
      <c r="DS43" s="552"/>
      <c r="DT43" s="552"/>
      <c r="DU43" s="552"/>
      <c r="DV43" s="536"/>
      <c r="DW43" s="552"/>
      <c r="DX43" s="519">
        <f t="shared" si="12"/>
        <v>0</v>
      </c>
    </row>
    <row r="44" spans="2:128" ht="15">
      <c r="B44" s="480" t="s">
        <v>162</v>
      </c>
      <c r="C44" s="538"/>
      <c r="D44" s="538"/>
      <c r="E44" s="538"/>
      <c r="F44" s="538"/>
      <c r="G44" s="538"/>
      <c r="H44" s="538"/>
      <c r="I44" s="538"/>
      <c r="J44" s="538"/>
      <c r="K44" s="538"/>
      <c r="L44" s="538"/>
      <c r="M44" s="538"/>
      <c r="N44" s="538"/>
      <c r="O44" s="514"/>
      <c r="P44" s="623"/>
      <c r="Q44" s="623"/>
      <c r="R44" s="623"/>
      <c r="S44" s="623"/>
      <c r="T44" s="623"/>
      <c r="U44" s="623"/>
      <c r="V44" s="534"/>
      <c r="W44" s="544"/>
      <c r="X44" s="623"/>
      <c r="Y44" s="623"/>
      <c r="Z44" s="525"/>
      <c r="AA44" s="534"/>
      <c r="AB44" s="605">
        <v>0</v>
      </c>
      <c r="AC44" s="613"/>
      <c r="AD44" s="534"/>
      <c r="AE44" s="630"/>
      <c r="AF44" s="534"/>
      <c r="AG44" s="630"/>
      <c r="AH44" s="534"/>
      <c r="AI44" s="544"/>
      <c r="AJ44" s="626"/>
      <c r="AK44" s="607">
        <f t="shared" si="17"/>
        <v>0</v>
      </c>
      <c r="AL44" s="628"/>
      <c r="AM44" s="634"/>
      <c r="AN44" s="628"/>
      <c r="AO44" s="628"/>
      <c r="AP44" s="525"/>
      <c r="AQ44" s="525"/>
      <c r="AR44" s="525"/>
      <c r="AS44" s="533"/>
      <c r="AT44" s="525"/>
      <c r="AU44" s="533"/>
      <c r="AV44" s="525"/>
      <c r="AW44" s="544"/>
      <c r="AX44" s="528">
        <f t="shared" si="18"/>
        <v>0</v>
      </c>
      <c r="AY44" s="613"/>
      <c r="AZ44" s="525"/>
      <c r="BA44" s="525"/>
      <c r="BB44" s="525"/>
      <c r="BC44" s="525"/>
      <c r="BD44" s="544"/>
      <c r="BE44" s="525"/>
      <c r="BF44" s="525"/>
      <c r="BG44" s="525"/>
      <c r="BH44" s="563"/>
      <c r="BI44" s="544">
        <v>9000</v>
      </c>
      <c r="BJ44" s="608"/>
      <c r="BK44" s="528">
        <f t="shared" si="16"/>
        <v>9000</v>
      </c>
      <c r="BL44" s="614"/>
      <c r="BM44" s="525"/>
      <c r="BN44" s="526"/>
      <c r="BO44" s="544">
        <v>9000</v>
      </c>
      <c r="BP44" s="563"/>
      <c r="BQ44" s="526"/>
      <c r="BR44" s="533"/>
      <c r="BS44" s="533"/>
      <c r="BT44" s="525"/>
      <c r="BU44" s="544">
        <v>8250</v>
      </c>
      <c r="BV44" s="533"/>
      <c r="BW44" s="618"/>
      <c r="BX44" s="528">
        <f t="shared" si="9"/>
        <v>17250</v>
      </c>
      <c r="BY44" s="525"/>
      <c r="BZ44" s="563"/>
      <c r="CA44" s="544">
        <v>8250</v>
      </c>
      <c r="CB44" s="525"/>
      <c r="CC44" s="563"/>
      <c r="CD44" s="525"/>
      <c r="CE44" s="525"/>
      <c r="CF44" s="525"/>
      <c r="CG44" s="533"/>
      <c r="CH44" s="525"/>
      <c r="CI44" s="541"/>
      <c r="CJ44" s="563"/>
      <c r="CK44" s="528">
        <f>SUM(BY44:CJ44)</f>
        <v>8250</v>
      </c>
      <c r="CL44" s="615">
        <v>16500</v>
      </c>
      <c r="CM44" s="541"/>
      <c r="CN44" s="619"/>
      <c r="CO44" s="525"/>
      <c r="CP44" s="525"/>
      <c r="CQ44" s="525"/>
      <c r="CR44" s="525"/>
      <c r="CS44" s="525"/>
      <c r="CT44" s="544">
        <v>16500</v>
      </c>
      <c r="CU44" s="541"/>
      <c r="CV44" s="525"/>
      <c r="CW44" s="525"/>
      <c r="CX44" s="528">
        <f>SUM(CL44:CW44)</f>
        <v>33000</v>
      </c>
      <c r="CY44" s="522"/>
      <c r="CZ44" s="880"/>
      <c r="DA44" s="522"/>
      <c r="DB44" s="880"/>
      <c r="DC44" s="880"/>
      <c r="DD44" s="880"/>
      <c r="DE44" s="880"/>
      <c r="DF44" s="880"/>
      <c r="DG44" s="880"/>
      <c r="DH44" s="536">
        <v>0</v>
      </c>
      <c r="DI44" s="552"/>
      <c r="DJ44" s="552"/>
      <c r="DK44" s="528">
        <f t="shared" si="11"/>
        <v>0</v>
      </c>
      <c r="DL44" s="546"/>
      <c r="DM44" s="552"/>
      <c r="DN44" s="546"/>
      <c r="DO44" s="552"/>
      <c r="DP44" s="552"/>
      <c r="DQ44" s="552"/>
      <c r="DR44" s="552"/>
      <c r="DS44" s="552"/>
      <c r="DT44" s="552"/>
      <c r="DU44" s="536"/>
      <c r="DV44" s="552"/>
      <c r="DW44" s="552"/>
      <c r="DX44" s="519">
        <f t="shared" si="12"/>
        <v>0</v>
      </c>
    </row>
    <row r="45" spans="2:128" ht="15">
      <c r="B45" s="480" t="s">
        <v>527</v>
      </c>
      <c r="C45" s="538"/>
      <c r="D45" s="538"/>
      <c r="E45" s="538"/>
      <c r="F45" s="538"/>
      <c r="G45" s="538"/>
      <c r="H45" s="538"/>
      <c r="I45" s="538"/>
      <c r="J45" s="538"/>
      <c r="K45" s="538"/>
      <c r="L45" s="538"/>
      <c r="M45" s="538"/>
      <c r="N45" s="538"/>
      <c r="O45" s="514"/>
      <c r="P45" s="623"/>
      <c r="Q45" s="623"/>
      <c r="R45" s="623"/>
      <c r="S45" s="623"/>
      <c r="T45" s="623"/>
      <c r="U45" s="623"/>
      <c r="V45" s="534"/>
      <c r="W45" s="544"/>
      <c r="X45" s="623"/>
      <c r="Y45" s="623"/>
      <c r="Z45" s="525"/>
      <c r="AA45" s="534"/>
      <c r="AB45" s="605">
        <v>0</v>
      </c>
      <c r="AC45" s="613"/>
      <c r="AD45" s="534"/>
      <c r="AE45" s="630"/>
      <c r="AF45" s="534"/>
      <c r="AG45" s="630"/>
      <c r="AH45" s="534"/>
      <c r="AI45" s="544"/>
      <c r="AJ45" s="626"/>
      <c r="AK45" s="607">
        <f t="shared" si="17"/>
        <v>0</v>
      </c>
      <c r="AL45" s="628"/>
      <c r="AM45" s="634"/>
      <c r="AN45" s="628"/>
      <c r="AO45" s="628"/>
      <c r="AP45" s="525"/>
      <c r="AQ45" s="525"/>
      <c r="AR45" s="525"/>
      <c r="AS45" s="533"/>
      <c r="AT45" s="525"/>
      <c r="AU45" s="533"/>
      <c r="AV45" s="525"/>
      <c r="AW45" s="544"/>
      <c r="AX45" s="528">
        <f t="shared" si="18"/>
        <v>0</v>
      </c>
      <c r="AY45" s="613"/>
      <c r="AZ45" s="525"/>
      <c r="BA45" s="525"/>
      <c r="BB45" s="525"/>
      <c r="BC45" s="525"/>
      <c r="BD45" s="544"/>
      <c r="BE45" s="525"/>
      <c r="BF45" s="525"/>
      <c r="BG45" s="525"/>
      <c r="BH45" s="563"/>
      <c r="BI45" s="544">
        <v>8000</v>
      </c>
      <c r="BJ45" s="608"/>
      <c r="BK45" s="528">
        <f t="shared" si="16"/>
        <v>8000</v>
      </c>
      <c r="BL45" s="614"/>
      <c r="BM45" s="563"/>
      <c r="BN45" s="535"/>
      <c r="BO45" s="533"/>
      <c r="BP45" s="563"/>
      <c r="BQ45" s="526"/>
      <c r="BR45" s="533"/>
      <c r="BS45" s="533"/>
      <c r="BT45" s="533"/>
      <c r="BU45" s="533"/>
      <c r="BV45" s="525"/>
      <c r="BW45" s="544">
        <v>8000</v>
      </c>
      <c r="BX45" s="528">
        <f>SUM(BL45:BW45)</f>
        <v>8000</v>
      </c>
      <c r="BY45" s="525"/>
      <c r="BZ45" s="525"/>
      <c r="CA45" s="525"/>
      <c r="CB45" s="525"/>
      <c r="CC45" s="563"/>
      <c r="CD45" s="525"/>
      <c r="CE45" s="525"/>
      <c r="CF45" s="525"/>
      <c r="CG45" s="525"/>
      <c r="CH45" s="544">
        <v>8000</v>
      </c>
      <c r="CI45" s="525"/>
      <c r="CJ45" s="619"/>
      <c r="CK45" s="528">
        <f t="shared" si="6"/>
        <v>8000</v>
      </c>
      <c r="CL45" s="526"/>
      <c r="CM45" s="525"/>
      <c r="CN45" s="525"/>
      <c r="CO45" s="525"/>
      <c r="CP45" s="525"/>
      <c r="CQ45" s="525"/>
      <c r="CR45" s="525"/>
      <c r="CS45" s="525"/>
      <c r="CT45" s="525"/>
      <c r="CU45" s="525"/>
      <c r="CV45" s="525"/>
      <c r="CW45" s="544">
        <v>8000</v>
      </c>
      <c r="CX45" s="528">
        <f t="shared" si="10"/>
        <v>8000</v>
      </c>
      <c r="CY45" s="522"/>
      <c r="CZ45" s="880"/>
      <c r="DA45" s="880"/>
      <c r="DB45" s="880"/>
      <c r="DC45" s="880"/>
      <c r="DD45" s="880"/>
      <c r="DE45" s="880"/>
      <c r="DF45" s="880"/>
      <c r="DG45" s="880"/>
      <c r="DH45" s="536"/>
      <c r="DI45" s="572">
        <v>8000</v>
      </c>
      <c r="DJ45" s="536"/>
      <c r="DK45" s="528">
        <f t="shared" si="11"/>
        <v>8000</v>
      </c>
      <c r="DL45" s="546"/>
      <c r="DM45" s="552"/>
      <c r="DN45" s="552"/>
      <c r="DO45" s="552"/>
      <c r="DP45" s="552"/>
      <c r="DQ45" s="552"/>
      <c r="DR45" s="552"/>
      <c r="DS45" s="552"/>
      <c r="DT45" s="552"/>
      <c r="DU45" s="536"/>
      <c r="DV45" s="572">
        <v>8000</v>
      </c>
      <c r="DW45" s="536"/>
      <c r="DX45" s="519">
        <f t="shared" si="12"/>
        <v>8000</v>
      </c>
    </row>
    <row r="46" spans="2:128" ht="15">
      <c r="B46" s="480" t="s">
        <v>337</v>
      </c>
      <c r="C46" s="538"/>
      <c r="D46" s="538"/>
      <c r="E46" s="538"/>
      <c r="F46" s="538"/>
      <c r="G46" s="538"/>
      <c r="H46" s="538"/>
      <c r="I46" s="538"/>
      <c r="J46" s="538"/>
      <c r="K46" s="538"/>
      <c r="L46" s="538"/>
      <c r="M46" s="538"/>
      <c r="N46" s="538"/>
      <c r="O46" s="514"/>
      <c r="P46" s="623"/>
      <c r="Q46" s="623"/>
      <c r="R46" s="623"/>
      <c r="S46" s="623"/>
      <c r="T46" s="623"/>
      <c r="U46" s="623"/>
      <c r="V46" s="534"/>
      <c r="W46" s="544"/>
      <c r="X46" s="623"/>
      <c r="Y46" s="623"/>
      <c r="Z46" s="525"/>
      <c r="AA46" s="534"/>
      <c r="AB46" s="605">
        <v>0</v>
      </c>
      <c r="AC46" s="613"/>
      <c r="AD46" s="534"/>
      <c r="AE46" s="630"/>
      <c r="AF46" s="534"/>
      <c r="AG46" s="630"/>
      <c r="AH46" s="534"/>
      <c r="AI46" s="544"/>
      <c r="AJ46" s="626"/>
      <c r="AK46" s="607">
        <f t="shared" si="17"/>
        <v>0</v>
      </c>
      <c r="AL46" s="628"/>
      <c r="AM46" s="634"/>
      <c r="AN46" s="628"/>
      <c r="AO46" s="628"/>
      <c r="AP46" s="525"/>
      <c r="AQ46" s="525"/>
      <c r="AR46" s="525"/>
      <c r="AS46" s="533"/>
      <c r="AT46" s="525"/>
      <c r="AU46" s="533"/>
      <c r="AV46" s="525"/>
      <c r="AW46" s="544"/>
      <c r="AX46" s="528">
        <f t="shared" si="18"/>
        <v>0</v>
      </c>
      <c r="AY46" s="613"/>
      <c r="AZ46" s="525"/>
      <c r="BA46" s="525"/>
      <c r="BB46" s="525"/>
      <c r="BC46" s="525"/>
      <c r="BD46" s="544"/>
      <c r="BE46" s="525"/>
      <c r="BF46" s="525"/>
      <c r="BG46" s="525"/>
      <c r="BH46" s="563"/>
      <c r="BI46" s="544"/>
      <c r="BJ46" s="608"/>
      <c r="BK46" s="528">
        <f t="shared" si="16"/>
        <v>0</v>
      </c>
      <c r="BL46" s="614"/>
      <c r="BM46" s="544">
        <f>12000/0.9778</f>
        <v>12272.448353446513</v>
      </c>
      <c r="BN46" s="535"/>
      <c r="BO46" s="533"/>
      <c r="BP46" s="563"/>
      <c r="BQ46" s="526"/>
      <c r="BR46" s="533"/>
      <c r="BS46" s="533"/>
      <c r="BT46" s="533"/>
      <c r="BU46" s="533"/>
      <c r="BV46" s="533"/>
      <c r="BW46" s="618"/>
      <c r="BX46" s="528">
        <f t="shared" si="9"/>
        <v>12272.448353446513</v>
      </c>
      <c r="BY46" s="525"/>
      <c r="BZ46" s="619"/>
      <c r="CA46" s="525"/>
      <c r="CB46" s="525"/>
      <c r="CC46" s="563"/>
      <c r="CD46" s="525"/>
      <c r="CE46" s="525"/>
      <c r="CF46" s="525"/>
      <c r="CG46" s="525"/>
      <c r="CH46" s="525"/>
      <c r="CI46" s="525"/>
      <c r="CJ46" s="525"/>
      <c r="CK46" s="528">
        <f t="shared" si="6"/>
        <v>0</v>
      </c>
      <c r="CL46" s="526"/>
      <c r="CM46" s="544">
        <f>15000/1.0897</f>
        <v>13765.256492612647</v>
      </c>
      <c r="CN46" s="541"/>
      <c r="CO46" s="525"/>
      <c r="CP46" s="525"/>
      <c r="CQ46" s="525"/>
      <c r="CR46" s="525"/>
      <c r="CS46" s="525"/>
      <c r="CT46" s="525"/>
      <c r="CU46" s="525"/>
      <c r="CV46" s="525"/>
      <c r="CW46" s="525"/>
      <c r="CX46" s="528">
        <f t="shared" si="10"/>
        <v>13765.256492612647</v>
      </c>
      <c r="CY46" s="522"/>
      <c r="CZ46" s="541"/>
      <c r="DA46" s="541"/>
      <c r="DB46" s="544">
        <f>15000/1.175</f>
        <v>12765.95744680851</v>
      </c>
      <c r="DC46" s="541"/>
      <c r="DD46" s="880"/>
      <c r="DE46" s="880"/>
      <c r="DF46" s="880"/>
      <c r="DG46" s="880"/>
      <c r="DH46" s="536"/>
      <c r="DI46" s="552"/>
      <c r="DJ46" s="552"/>
      <c r="DK46" s="528">
        <f t="shared" si="11"/>
        <v>12765.95744680851</v>
      </c>
      <c r="DL46" s="546"/>
      <c r="DM46" s="857">
        <f>15000/1.1</f>
        <v>13636.363636363636</v>
      </c>
      <c r="DN46" s="552"/>
      <c r="DO46" s="552"/>
      <c r="DP46" s="552"/>
      <c r="DQ46" s="552"/>
      <c r="DR46" s="552"/>
      <c r="DS46" s="552"/>
      <c r="DT46" s="552"/>
      <c r="DU46" s="536"/>
      <c r="DV46" s="552"/>
      <c r="DW46" s="552"/>
      <c r="DX46" s="519">
        <f t="shared" si="12"/>
        <v>13636.363636363636</v>
      </c>
    </row>
    <row r="47" spans="2:128" ht="15">
      <c r="B47" s="480" t="s">
        <v>356</v>
      </c>
      <c r="C47" s="538"/>
      <c r="D47" s="538"/>
      <c r="E47" s="538"/>
      <c r="F47" s="538"/>
      <c r="G47" s="538"/>
      <c r="H47" s="538"/>
      <c r="I47" s="538"/>
      <c r="J47" s="538"/>
      <c r="K47" s="538"/>
      <c r="L47" s="538"/>
      <c r="M47" s="538"/>
      <c r="N47" s="538"/>
      <c r="O47" s="514"/>
      <c r="P47" s="623"/>
      <c r="Q47" s="623"/>
      <c r="R47" s="623"/>
      <c r="S47" s="623"/>
      <c r="T47" s="623"/>
      <c r="U47" s="623"/>
      <c r="V47" s="534"/>
      <c r="W47" s="544"/>
      <c r="X47" s="623"/>
      <c r="Y47" s="623"/>
      <c r="Z47" s="525"/>
      <c r="AA47" s="534"/>
      <c r="AB47" s="605">
        <v>0</v>
      </c>
      <c r="AC47" s="613"/>
      <c r="AD47" s="534"/>
      <c r="AE47" s="630"/>
      <c r="AF47" s="534"/>
      <c r="AG47" s="630"/>
      <c r="AH47" s="534"/>
      <c r="AI47" s="544"/>
      <c r="AJ47" s="626"/>
      <c r="AK47" s="607">
        <f t="shared" si="17"/>
        <v>0</v>
      </c>
      <c r="AL47" s="628"/>
      <c r="AM47" s="634"/>
      <c r="AN47" s="628"/>
      <c r="AO47" s="628"/>
      <c r="AP47" s="525"/>
      <c r="AQ47" s="525"/>
      <c r="AR47" s="525"/>
      <c r="AS47" s="533"/>
      <c r="AT47" s="525"/>
      <c r="AU47" s="533"/>
      <c r="AV47" s="525"/>
      <c r="AW47" s="544"/>
      <c r="AX47" s="528">
        <f t="shared" si="18"/>
        <v>0</v>
      </c>
      <c r="AY47" s="613"/>
      <c r="AZ47" s="525"/>
      <c r="BA47" s="525"/>
      <c r="BB47" s="525"/>
      <c r="BC47" s="525"/>
      <c r="BD47" s="544"/>
      <c r="BE47" s="525"/>
      <c r="BF47" s="525"/>
      <c r="BG47" s="525"/>
      <c r="BH47" s="563"/>
      <c r="BI47" s="544"/>
      <c r="BJ47" s="608"/>
      <c r="BK47" s="528">
        <f t="shared" si="16"/>
        <v>0</v>
      </c>
      <c r="BL47" s="614"/>
      <c r="BM47" s="544"/>
      <c r="BN47" s="535"/>
      <c r="BO47" s="533"/>
      <c r="BP47" s="563"/>
      <c r="BQ47" s="526"/>
      <c r="BR47" s="533"/>
      <c r="BS47" s="533"/>
      <c r="BT47" s="533"/>
      <c r="BU47" s="533"/>
      <c r="BV47" s="544">
        <v>9000</v>
      </c>
      <c r="BW47" s="618"/>
      <c r="BX47" s="528">
        <f t="shared" si="9"/>
        <v>9000</v>
      </c>
      <c r="BY47" s="525"/>
      <c r="BZ47" s="619"/>
      <c r="CA47" s="525"/>
      <c r="CB47" s="525"/>
      <c r="CC47" s="563"/>
      <c r="CD47" s="525"/>
      <c r="CE47" s="525"/>
      <c r="CF47" s="525"/>
      <c r="CG47" s="525"/>
      <c r="CH47" s="525"/>
      <c r="CI47" s="544">
        <v>9000</v>
      </c>
      <c r="CJ47" s="525"/>
      <c r="CK47" s="528">
        <f t="shared" si="6"/>
        <v>9000</v>
      </c>
      <c r="CL47" s="526"/>
      <c r="CM47" s="525"/>
      <c r="CN47" s="525"/>
      <c r="CO47" s="525"/>
      <c r="CP47" s="525"/>
      <c r="CQ47" s="525"/>
      <c r="CR47" s="525"/>
      <c r="CS47" s="525"/>
      <c r="CT47" s="525"/>
      <c r="CU47" s="544">
        <v>9000</v>
      </c>
      <c r="CV47" s="541"/>
      <c r="CW47" s="525"/>
      <c r="CX47" s="528">
        <f t="shared" si="10"/>
        <v>9000</v>
      </c>
      <c r="CY47" s="522"/>
      <c r="CZ47" s="880"/>
      <c r="DA47" s="880"/>
      <c r="DB47" s="880"/>
      <c r="DC47" s="880"/>
      <c r="DD47" s="880"/>
      <c r="DE47" s="880"/>
      <c r="DF47" s="880"/>
      <c r="DG47" s="880"/>
      <c r="DI47" s="552"/>
      <c r="DJ47" s="536">
        <v>9000</v>
      </c>
      <c r="DK47" s="528">
        <f>SUM(CY47:DJ47)</f>
        <v>9000</v>
      </c>
      <c r="DL47" s="546"/>
      <c r="DM47" s="552"/>
      <c r="DN47" s="552"/>
      <c r="DO47" s="552"/>
      <c r="DP47" s="552"/>
      <c r="DQ47" s="552"/>
      <c r="DR47" s="552"/>
      <c r="DS47" s="552"/>
      <c r="DT47" s="552"/>
      <c r="DU47" s="536">
        <v>9000</v>
      </c>
      <c r="DV47" s="552"/>
      <c r="DW47" s="552"/>
      <c r="DX47" s="519">
        <f t="shared" si="12"/>
        <v>9000</v>
      </c>
    </row>
    <row r="48" spans="2:128" ht="15">
      <c r="B48" s="480" t="s">
        <v>358</v>
      </c>
      <c r="C48" s="538"/>
      <c r="D48" s="538"/>
      <c r="E48" s="538"/>
      <c r="F48" s="538"/>
      <c r="G48" s="538"/>
      <c r="H48" s="538"/>
      <c r="I48" s="538"/>
      <c r="J48" s="538"/>
      <c r="K48" s="538"/>
      <c r="L48" s="538"/>
      <c r="M48" s="538"/>
      <c r="N48" s="538"/>
      <c r="O48" s="514"/>
      <c r="P48" s="623"/>
      <c r="Q48" s="623"/>
      <c r="R48" s="623"/>
      <c r="S48" s="623"/>
      <c r="T48" s="623"/>
      <c r="U48" s="623"/>
      <c r="V48" s="534"/>
      <c r="W48" s="544"/>
      <c r="X48" s="623"/>
      <c r="Y48" s="623"/>
      <c r="Z48" s="525"/>
      <c r="AA48" s="534"/>
      <c r="AB48" s="605">
        <v>0</v>
      </c>
      <c r="AC48" s="613"/>
      <c r="AD48" s="534"/>
      <c r="AE48" s="630"/>
      <c r="AF48" s="534"/>
      <c r="AG48" s="630"/>
      <c r="AH48" s="534"/>
      <c r="AI48" s="544"/>
      <c r="AJ48" s="626"/>
      <c r="AK48" s="607">
        <f t="shared" si="17"/>
        <v>0</v>
      </c>
      <c r="AL48" s="628"/>
      <c r="AM48" s="634"/>
      <c r="AN48" s="628"/>
      <c r="AO48" s="628"/>
      <c r="AP48" s="525"/>
      <c r="AQ48" s="525"/>
      <c r="AR48" s="525"/>
      <c r="AS48" s="533"/>
      <c r="AT48" s="525"/>
      <c r="AU48" s="533"/>
      <c r="AV48" s="525"/>
      <c r="AW48" s="544"/>
      <c r="AX48" s="528">
        <f t="shared" si="18"/>
        <v>0</v>
      </c>
      <c r="AY48" s="613"/>
      <c r="AZ48" s="525"/>
      <c r="BA48" s="525"/>
      <c r="BB48" s="525"/>
      <c r="BC48" s="525"/>
      <c r="BD48" s="544"/>
      <c r="BE48" s="525"/>
      <c r="BF48" s="525"/>
      <c r="BG48" s="525"/>
      <c r="BH48" s="563"/>
      <c r="BI48" s="544"/>
      <c r="BJ48" s="608"/>
      <c r="BK48" s="528">
        <f t="shared" si="16"/>
        <v>0</v>
      </c>
      <c r="BL48" s="614"/>
      <c r="BM48" s="544"/>
      <c r="BN48" s="535"/>
      <c r="BO48" s="533"/>
      <c r="BP48" s="563"/>
      <c r="BQ48" s="526"/>
      <c r="BR48" s="533"/>
      <c r="BS48" s="533"/>
      <c r="BT48" s="533"/>
      <c r="BU48" s="533"/>
      <c r="BV48" s="525"/>
      <c r="BW48" s="563"/>
      <c r="BX48" s="528">
        <f>SUM(BL48:BW48)</f>
        <v>0</v>
      </c>
      <c r="BY48" s="542">
        <f>(1755.6-20)/1.0704</f>
        <v>1621.4499252615844</v>
      </c>
      <c r="BZ48" s="544">
        <f>(4200+4200+3165.84-25)/1.053</f>
        <v>10959.962013295348</v>
      </c>
      <c r="CA48" s="525"/>
      <c r="CB48" s="525"/>
      <c r="CC48" s="544">
        <f>(4762.25+3857.18+4200+4200+4200+2830.19+2780.42-35)/1.0887</f>
        <v>24611.959217415268</v>
      </c>
      <c r="CD48" s="544">
        <f>(4960-20)/1.0826</f>
        <v>4563.0888601514871</v>
      </c>
      <c r="CE48" s="544">
        <f>(4960-20)/1.0892</f>
        <v>4535.438854204921</v>
      </c>
      <c r="CF48" s="544">
        <f>(4960+5088.42-25)/1.086</f>
        <v>9229.6685082872918</v>
      </c>
      <c r="CG48" s="525"/>
      <c r="CH48" s="544">
        <f>(4960-20)/1.073</f>
        <v>4603.9142590866732</v>
      </c>
      <c r="CI48" s="544">
        <f>(4960+3584.28+2914.91-25)/1.0758+5149.6/1.0907+(4960-20)/1.0848</f>
        <v>19903.752602660297</v>
      </c>
      <c r="CJ48" s="544">
        <f>(4960+219.3-40)/1.1117</f>
        <v>4622.9198524781868</v>
      </c>
      <c r="CK48" s="528">
        <f t="shared" si="6"/>
        <v>84652.154092841054</v>
      </c>
      <c r="CL48" s="544">
        <f>(4960-20)/1.1119</f>
        <v>4442.845579638456</v>
      </c>
      <c r="CM48" s="544">
        <f>(4960-20)/1.1086</f>
        <v>4456.0707198268083</v>
      </c>
      <c r="CN48" s="541"/>
      <c r="CO48" s="544">
        <f>(4960+4960-20)/1.0496+5812.9/1.0389</f>
        <v>15027.409604788365</v>
      </c>
      <c r="CP48" s="541"/>
      <c r="CQ48" s="544">
        <f>(4960+4389.22)/1.032</f>
        <v>9059.3217054263569</v>
      </c>
      <c r="CR48" s="534">
        <f>(5160+5160-25)/1.0903</f>
        <v>9442.3553150509033</v>
      </c>
      <c r="CS48" s="525"/>
      <c r="CT48" s="534">
        <f>(5160-20)/1.136+(5160-20)/1.1185</f>
        <v>9120.0882091835774</v>
      </c>
      <c r="CU48" s="541"/>
      <c r="CV48" s="534">
        <f>(5160-20)/1.1602</f>
        <v>4430.2706429925875</v>
      </c>
      <c r="CW48" s="534">
        <f>(5160-20)/1.1565</f>
        <v>4444.4444444444443</v>
      </c>
      <c r="CX48" s="528">
        <f t="shared" si="10"/>
        <v>60422.8062213515</v>
      </c>
      <c r="CY48" s="534">
        <f>(5160-20)/1.1766+(5160-20)/1.1756</f>
        <v>8740.7549170952188</v>
      </c>
      <c r="CZ48" s="534">
        <f>(5160-20)/1.1724+2794.78/1.1569+6483.89/1.1612</f>
        <v>12383.702226409659</v>
      </c>
      <c r="DA48" s="541"/>
      <c r="DB48" s="541"/>
      <c r="DC48" s="541"/>
      <c r="DD48" s="534">
        <f>((5160+5160+5160)-50)/1.1886+((4051.34+9390.61+2702.16)-50)/1.1826</f>
        <v>26590.749235101976</v>
      </c>
      <c r="DE48" s="534">
        <f>(5310+5310-50)/1.1539</f>
        <v>9160.2391888378552</v>
      </c>
      <c r="DF48" s="525"/>
      <c r="DG48" s="534">
        <f>(5310+2483.1+5561.48-50)/1.1762</f>
        <v>11311.494643768068</v>
      </c>
      <c r="DH48" s="527">
        <f>(5310+5310)/1.15</f>
        <v>9234.782608695652</v>
      </c>
      <c r="DI48" s="527">
        <f t="shared" ref="DI48:DJ48" si="19">5310/1.15</f>
        <v>4617.391304347826</v>
      </c>
      <c r="DJ48" s="527">
        <f t="shared" si="19"/>
        <v>4617.391304347826</v>
      </c>
      <c r="DK48" s="528">
        <f t="shared" si="11"/>
        <v>86656.505428604069</v>
      </c>
      <c r="DL48" s="527">
        <f t="shared" ref="DL48:DP48" si="20">5310/1.15</f>
        <v>4617.391304347826</v>
      </c>
      <c r="DM48" s="527">
        <f t="shared" si="20"/>
        <v>4617.391304347826</v>
      </c>
      <c r="DN48" s="527">
        <f t="shared" si="20"/>
        <v>4617.391304347826</v>
      </c>
      <c r="DO48" s="527">
        <f t="shared" si="20"/>
        <v>4617.391304347826</v>
      </c>
      <c r="DP48" s="527">
        <f t="shared" si="20"/>
        <v>4617.391304347826</v>
      </c>
      <c r="DX48" s="519">
        <f t="shared" si="12"/>
        <v>23086.956521739128</v>
      </c>
    </row>
    <row r="49" spans="2:128" ht="15">
      <c r="B49" s="636" t="s">
        <v>359</v>
      </c>
      <c r="C49" s="538"/>
      <c r="D49" s="538"/>
      <c r="E49" s="538"/>
      <c r="F49" s="538"/>
      <c r="G49" s="538"/>
      <c r="H49" s="538"/>
      <c r="I49" s="538"/>
      <c r="J49" s="538"/>
      <c r="K49" s="538"/>
      <c r="L49" s="538"/>
      <c r="M49" s="538"/>
      <c r="N49" s="538"/>
      <c r="O49" s="514"/>
      <c r="P49" s="623"/>
      <c r="Q49" s="623"/>
      <c r="R49" s="623"/>
      <c r="S49" s="623"/>
      <c r="T49" s="623"/>
      <c r="U49" s="623"/>
      <c r="V49" s="534"/>
      <c r="W49" s="544"/>
      <c r="X49" s="623"/>
      <c r="Y49" s="623"/>
      <c r="Z49" s="525"/>
      <c r="AA49" s="534"/>
      <c r="AB49" s="605">
        <v>0</v>
      </c>
      <c r="AC49" s="613"/>
      <c r="AD49" s="534"/>
      <c r="AE49" s="630"/>
      <c r="AF49" s="534"/>
      <c r="AG49" s="630"/>
      <c r="AH49" s="534"/>
      <c r="AI49" s="544"/>
      <c r="AJ49" s="626"/>
      <c r="AK49" s="607">
        <f t="shared" si="17"/>
        <v>0</v>
      </c>
      <c r="AL49" s="628"/>
      <c r="AM49" s="634"/>
      <c r="AN49" s="628"/>
      <c r="AO49" s="628"/>
      <c r="AP49" s="525"/>
      <c r="AQ49" s="525"/>
      <c r="AR49" s="525"/>
      <c r="AS49" s="533"/>
      <c r="AT49" s="525"/>
      <c r="AU49" s="533"/>
      <c r="AV49" s="525"/>
      <c r="AW49" s="544"/>
      <c r="AX49" s="528">
        <f t="shared" si="18"/>
        <v>0</v>
      </c>
      <c r="AY49" s="613"/>
      <c r="AZ49" s="525"/>
      <c r="BA49" s="525"/>
      <c r="BB49" s="525"/>
      <c r="BC49" s="525"/>
      <c r="BD49" s="544"/>
      <c r="BE49" s="525"/>
      <c r="BF49" s="525"/>
      <c r="BG49" s="525"/>
      <c r="BH49" s="563"/>
      <c r="BI49" s="544"/>
      <c r="BJ49" s="608"/>
      <c r="BK49" s="528">
        <f t="shared" si="16"/>
        <v>0</v>
      </c>
      <c r="BL49" s="614"/>
      <c r="BM49" s="544"/>
      <c r="BN49" s="535"/>
      <c r="BO49" s="533"/>
      <c r="BP49" s="563"/>
      <c r="BQ49" s="526"/>
      <c r="BR49" s="533"/>
      <c r="BS49" s="533"/>
      <c r="BT49" s="533"/>
      <c r="BU49" s="533"/>
      <c r="BV49" s="525"/>
      <c r="BW49" s="563"/>
      <c r="BX49" s="528">
        <f>SUM(BL49:BW49)</f>
        <v>0</v>
      </c>
      <c r="BY49" s="544">
        <f>15000/1.0663</f>
        <v>14067.335646628528</v>
      </c>
      <c r="BZ49" s="563"/>
      <c r="CA49" s="563"/>
      <c r="CB49" s="563"/>
      <c r="CC49" s="563"/>
      <c r="CD49" s="534">
        <f>15000/1.0856</f>
        <v>13817.243920412677</v>
      </c>
      <c r="CE49" s="525"/>
      <c r="CF49" s="525"/>
      <c r="CG49" s="525"/>
      <c r="CH49" s="525"/>
      <c r="CI49" s="525"/>
      <c r="CJ49" s="525"/>
      <c r="CK49" s="528">
        <f t="shared" si="6"/>
        <v>27884.579567041204</v>
      </c>
      <c r="CL49" s="526"/>
      <c r="CM49" s="525"/>
      <c r="CN49" s="525"/>
      <c r="CO49" s="525"/>
      <c r="CP49" s="541"/>
      <c r="CQ49" s="534">
        <f>15000/1.0447</f>
        <v>14358.188953766632</v>
      </c>
      <c r="CR49" s="525"/>
      <c r="CS49" s="525"/>
      <c r="CT49" s="525"/>
      <c r="CU49" s="525"/>
      <c r="CV49" s="525"/>
      <c r="CW49" s="525"/>
      <c r="CX49" s="528">
        <f t="shared" si="10"/>
        <v>14358.188953766632</v>
      </c>
      <c r="CY49" s="881"/>
      <c r="CZ49" s="541"/>
      <c r="DA49" s="541"/>
      <c r="DB49" s="541"/>
      <c r="DC49" s="541"/>
      <c r="DD49" s="541"/>
      <c r="DE49" s="541"/>
      <c r="DF49" s="541"/>
      <c r="DG49" s="541"/>
      <c r="DI49" s="536">
        <f>15000/1.15</f>
        <v>13043.478260869566</v>
      </c>
      <c r="DK49" s="528">
        <f t="shared" si="11"/>
        <v>13043.478260869566</v>
      </c>
      <c r="DL49" s="611"/>
      <c r="DP49" s="536">
        <f>15000/1.1</f>
        <v>13636.363636363636</v>
      </c>
      <c r="DX49" s="519">
        <f t="shared" si="12"/>
        <v>13636.363636363636</v>
      </c>
    </row>
    <row r="50" spans="2:128" ht="15">
      <c r="B50" s="636" t="s">
        <v>531</v>
      </c>
      <c r="C50" s="538"/>
      <c r="D50" s="538"/>
      <c r="E50" s="538"/>
      <c r="F50" s="538"/>
      <c r="G50" s="538"/>
      <c r="H50" s="538"/>
      <c r="I50" s="538"/>
      <c r="J50" s="538"/>
      <c r="K50" s="538"/>
      <c r="L50" s="538"/>
      <c r="M50" s="538"/>
      <c r="N50" s="538"/>
      <c r="O50" s="514"/>
      <c r="P50" s="623"/>
      <c r="Q50" s="623"/>
      <c r="R50" s="623"/>
      <c r="S50" s="623"/>
      <c r="T50" s="623"/>
      <c r="U50" s="623"/>
      <c r="V50" s="534"/>
      <c r="W50" s="544"/>
      <c r="X50" s="623"/>
      <c r="Y50" s="623"/>
      <c r="Z50" s="525"/>
      <c r="AA50" s="534"/>
      <c r="AB50" s="605"/>
      <c r="AC50" s="613"/>
      <c r="AD50" s="534"/>
      <c r="AE50" s="630"/>
      <c r="AF50" s="534"/>
      <c r="AG50" s="630"/>
      <c r="AH50" s="534"/>
      <c r="AI50" s="544"/>
      <c r="AJ50" s="626"/>
      <c r="AK50" s="607"/>
      <c r="AL50" s="628"/>
      <c r="AM50" s="634"/>
      <c r="AN50" s="628"/>
      <c r="AO50" s="628"/>
      <c r="AP50" s="525"/>
      <c r="AQ50" s="525"/>
      <c r="AR50" s="525"/>
      <c r="AS50" s="533"/>
      <c r="AT50" s="525"/>
      <c r="AU50" s="533"/>
      <c r="AV50" s="525"/>
      <c r="AW50" s="544"/>
      <c r="AX50" s="528">
        <f t="shared" si="18"/>
        <v>0</v>
      </c>
      <c r="AY50" s="613"/>
      <c r="AZ50" s="525"/>
      <c r="BA50" s="525"/>
      <c r="BB50" s="525"/>
      <c r="BC50" s="525"/>
      <c r="BD50" s="544"/>
      <c r="BE50" s="525"/>
      <c r="BF50" s="525"/>
      <c r="BG50" s="525"/>
      <c r="BH50" s="563"/>
      <c r="BI50" s="544"/>
      <c r="BJ50" s="608"/>
      <c r="BK50" s="528">
        <f t="shared" si="16"/>
        <v>0</v>
      </c>
      <c r="BL50" s="614"/>
      <c r="BM50" s="544"/>
      <c r="BN50" s="535"/>
      <c r="BO50" s="533"/>
      <c r="BP50" s="563"/>
      <c r="BQ50" s="526"/>
      <c r="BR50" s="533"/>
      <c r="BS50" s="533"/>
      <c r="BT50" s="533"/>
      <c r="BU50" s="533"/>
      <c r="BV50" s="525"/>
      <c r="BW50" s="563"/>
      <c r="BX50" s="528">
        <f t="shared" ref="BX50:BX53" si="21">SUM(BL50:BW50)</f>
        <v>0</v>
      </c>
      <c r="BY50" s="544"/>
      <c r="BZ50" s="563"/>
      <c r="CA50" s="563"/>
      <c r="CB50" s="563"/>
      <c r="CC50" s="563"/>
      <c r="CD50" s="534"/>
      <c r="CE50" s="525"/>
      <c r="CF50" s="525"/>
      <c r="CG50" s="525"/>
      <c r="CH50" s="525"/>
      <c r="CI50" s="525"/>
      <c r="CJ50" s="525"/>
      <c r="CK50" s="528">
        <f t="shared" si="6"/>
        <v>0</v>
      </c>
      <c r="CL50" s="543"/>
      <c r="CM50" s="541"/>
      <c r="CN50" s="544">
        <f>4500/1.0531</f>
        <v>4273.0984711803249</v>
      </c>
      <c r="CO50" s="544">
        <f>4500/1.054</f>
        <v>4269.4497153700186</v>
      </c>
      <c r="CP50" s="525"/>
      <c r="CQ50" s="525"/>
      <c r="CR50" s="525"/>
      <c r="CS50" s="525"/>
      <c r="CT50" s="541"/>
      <c r="CU50" s="541"/>
      <c r="CV50" s="544">
        <f>15000/1.1698</f>
        <v>12822.704735852283</v>
      </c>
      <c r="CW50" s="525"/>
      <c r="CX50" s="528">
        <f t="shared" si="10"/>
        <v>21365.252922402626</v>
      </c>
      <c r="CY50" s="881"/>
      <c r="CZ50" s="541"/>
      <c r="DA50" s="541"/>
      <c r="DB50" s="541"/>
      <c r="DC50" s="848"/>
      <c r="DD50" s="541"/>
      <c r="DE50" s="541"/>
      <c r="DF50" s="541"/>
      <c r="DG50" s="541"/>
      <c r="DH50" s="536">
        <f>15000/1.1*0</f>
        <v>0</v>
      </c>
      <c r="DK50" s="528">
        <f t="shared" si="11"/>
        <v>0</v>
      </c>
      <c r="DL50" s="611"/>
      <c r="DP50" s="612"/>
      <c r="DT50" s="536">
        <f>15000/1.1*0</f>
        <v>0</v>
      </c>
      <c r="DX50" s="519">
        <f t="shared" si="12"/>
        <v>0</v>
      </c>
    </row>
    <row r="51" spans="2:128" ht="15">
      <c r="B51" s="636" t="s">
        <v>569</v>
      </c>
      <c r="C51" s="538"/>
      <c r="D51" s="538"/>
      <c r="E51" s="538"/>
      <c r="F51" s="538"/>
      <c r="G51" s="538"/>
      <c r="H51" s="538"/>
      <c r="I51" s="538"/>
      <c r="J51" s="538"/>
      <c r="K51" s="538"/>
      <c r="L51" s="538"/>
      <c r="M51" s="538"/>
      <c r="N51" s="538"/>
      <c r="O51" s="514"/>
      <c r="P51" s="623"/>
      <c r="Q51" s="623"/>
      <c r="R51" s="623"/>
      <c r="S51" s="623"/>
      <c r="T51" s="623"/>
      <c r="U51" s="623"/>
      <c r="V51" s="534"/>
      <c r="W51" s="544"/>
      <c r="X51" s="623"/>
      <c r="Y51" s="623"/>
      <c r="Z51" s="525"/>
      <c r="AA51" s="534"/>
      <c r="AB51" s="605"/>
      <c r="AC51" s="613"/>
      <c r="AD51" s="534"/>
      <c r="AE51" s="630"/>
      <c r="AF51" s="534"/>
      <c r="AG51" s="630"/>
      <c r="AH51" s="534"/>
      <c r="AI51" s="544"/>
      <c r="AJ51" s="626"/>
      <c r="AK51" s="607"/>
      <c r="AL51" s="628"/>
      <c r="AM51" s="634"/>
      <c r="AN51" s="628"/>
      <c r="AO51" s="628"/>
      <c r="AP51" s="525"/>
      <c r="AQ51" s="525"/>
      <c r="AR51" s="525"/>
      <c r="AS51" s="533"/>
      <c r="AT51" s="525"/>
      <c r="AU51" s="533"/>
      <c r="AV51" s="525"/>
      <c r="AW51" s="544"/>
      <c r="AX51" s="528">
        <f t="shared" si="18"/>
        <v>0</v>
      </c>
      <c r="AY51" s="613"/>
      <c r="AZ51" s="525"/>
      <c r="BA51" s="525"/>
      <c r="BB51" s="525"/>
      <c r="BC51" s="525"/>
      <c r="BD51" s="544"/>
      <c r="BE51" s="525"/>
      <c r="BF51" s="525"/>
      <c r="BG51" s="525"/>
      <c r="BH51" s="563"/>
      <c r="BI51" s="544"/>
      <c r="BJ51" s="608"/>
      <c r="BK51" s="528">
        <f t="shared" si="16"/>
        <v>0</v>
      </c>
      <c r="BL51" s="614"/>
      <c r="BM51" s="544"/>
      <c r="BN51" s="535"/>
      <c r="BO51" s="533"/>
      <c r="BP51" s="563"/>
      <c r="BQ51" s="526"/>
      <c r="BR51" s="533"/>
      <c r="BS51" s="533"/>
      <c r="BT51" s="533"/>
      <c r="BU51" s="533"/>
      <c r="BV51" s="525"/>
      <c r="BW51" s="563"/>
      <c r="BX51" s="528">
        <f t="shared" si="21"/>
        <v>0</v>
      </c>
      <c r="BY51" s="544"/>
      <c r="BZ51" s="563"/>
      <c r="CA51" s="563"/>
      <c r="CB51" s="563"/>
      <c r="CC51" s="563"/>
      <c r="CD51" s="534"/>
      <c r="CE51" s="525"/>
      <c r="CF51" s="525"/>
      <c r="CG51" s="525"/>
      <c r="CH51" s="525"/>
      <c r="CI51" s="525"/>
      <c r="CJ51" s="525"/>
      <c r="CK51" s="528">
        <f t="shared" si="6"/>
        <v>0</v>
      </c>
      <c r="CL51" s="543"/>
      <c r="CM51" s="541"/>
      <c r="CN51" s="544"/>
      <c r="CO51" s="544"/>
      <c r="CP51" s="525"/>
      <c r="CQ51" s="525"/>
      <c r="CR51" s="541"/>
      <c r="CS51" s="541"/>
      <c r="CT51" s="541"/>
      <c r="CU51" s="541"/>
      <c r="CV51" s="544">
        <f>16500/1.1698</f>
        <v>14104.975209437511</v>
      </c>
      <c r="CW51" s="525"/>
      <c r="CX51" s="528">
        <f t="shared" si="10"/>
        <v>14104.975209437511</v>
      </c>
      <c r="CY51" s="881"/>
      <c r="CZ51" s="541"/>
      <c r="DA51" s="541"/>
      <c r="DB51" s="541"/>
      <c r="DC51" s="848"/>
      <c r="DD51" s="541"/>
      <c r="DE51" s="541"/>
      <c r="DF51" s="541"/>
      <c r="DG51" s="541"/>
      <c r="DH51" s="572">
        <f>16500/1.15</f>
        <v>14347.826086956522</v>
      </c>
      <c r="DK51" s="528">
        <f t="shared" si="11"/>
        <v>14347.826086956522</v>
      </c>
      <c r="DL51" s="611"/>
      <c r="DP51" s="612"/>
      <c r="DT51" s="536">
        <f>16500/1.1</f>
        <v>14999.999999999998</v>
      </c>
      <c r="DX51" s="519">
        <f t="shared" si="12"/>
        <v>14999.999999999998</v>
      </c>
    </row>
    <row r="52" spans="2:128" ht="15">
      <c r="B52" s="636" t="s">
        <v>582</v>
      </c>
      <c r="C52" s="538"/>
      <c r="D52" s="538"/>
      <c r="E52" s="538"/>
      <c r="F52" s="538"/>
      <c r="G52" s="538"/>
      <c r="H52" s="538"/>
      <c r="I52" s="538"/>
      <c r="J52" s="538"/>
      <c r="K52" s="538"/>
      <c r="L52" s="538"/>
      <c r="M52" s="538"/>
      <c r="N52" s="538"/>
      <c r="O52" s="514"/>
      <c r="P52" s="623"/>
      <c r="Q52" s="623"/>
      <c r="R52" s="623"/>
      <c r="S52" s="623"/>
      <c r="T52" s="623"/>
      <c r="U52" s="623"/>
      <c r="V52" s="534"/>
      <c r="W52" s="544"/>
      <c r="X52" s="623"/>
      <c r="Y52" s="623"/>
      <c r="Z52" s="525"/>
      <c r="AA52" s="534"/>
      <c r="AB52" s="605"/>
      <c r="AC52" s="613"/>
      <c r="AD52" s="534"/>
      <c r="AE52" s="630"/>
      <c r="AF52" s="534"/>
      <c r="AG52" s="630"/>
      <c r="AH52" s="534"/>
      <c r="AI52" s="544"/>
      <c r="AJ52" s="626"/>
      <c r="AK52" s="607"/>
      <c r="AL52" s="628"/>
      <c r="AM52" s="634"/>
      <c r="AN52" s="628"/>
      <c r="AO52" s="628"/>
      <c r="AP52" s="525"/>
      <c r="AQ52" s="525"/>
      <c r="AR52" s="525"/>
      <c r="AS52" s="533"/>
      <c r="AT52" s="525"/>
      <c r="AU52" s="533"/>
      <c r="AV52" s="525"/>
      <c r="AW52" s="544"/>
      <c r="AX52" s="528">
        <f t="shared" si="18"/>
        <v>0</v>
      </c>
      <c r="AY52" s="613"/>
      <c r="AZ52" s="525"/>
      <c r="BA52" s="525"/>
      <c r="BB52" s="525"/>
      <c r="BC52" s="525"/>
      <c r="BD52" s="544"/>
      <c r="BE52" s="525"/>
      <c r="BF52" s="525"/>
      <c r="BG52" s="525"/>
      <c r="BH52" s="563"/>
      <c r="BI52" s="544"/>
      <c r="BJ52" s="608"/>
      <c r="BK52" s="528">
        <f t="shared" si="16"/>
        <v>0</v>
      </c>
      <c r="BL52" s="614"/>
      <c r="BM52" s="544"/>
      <c r="BN52" s="535"/>
      <c r="BO52" s="533"/>
      <c r="BP52" s="563"/>
      <c r="BQ52" s="526"/>
      <c r="BR52" s="533"/>
      <c r="BS52" s="533"/>
      <c r="BT52" s="533"/>
      <c r="BU52" s="533"/>
      <c r="BV52" s="525"/>
      <c r="BW52" s="563"/>
      <c r="BX52" s="528">
        <f t="shared" si="21"/>
        <v>0</v>
      </c>
      <c r="BY52" s="544"/>
      <c r="BZ52" s="563"/>
      <c r="CA52" s="563"/>
      <c r="CB52" s="563"/>
      <c r="CC52" s="563"/>
      <c r="CD52" s="534"/>
      <c r="CE52" s="525"/>
      <c r="CF52" s="525"/>
      <c r="CG52" s="525"/>
      <c r="CH52" s="525"/>
      <c r="CI52" s="525"/>
      <c r="CJ52" s="525"/>
      <c r="CK52" s="528">
        <f t="shared" si="6"/>
        <v>0</v>
      </c>
      <c r="CL52" s="543"/>
      <c r="CM52" s="541"/>
      <c r="CN52" s="544"/>
      <c r="CO52" s="544"/>
      <c r="CP52" s="525"/>
      <c r="CQ52" s="525"/>
      <c r="CR52" s="541"/>
      <c r="CS52" s="544">
        <f>10000/1.1082</f>
        <v>9023.6419418877449</v>
      </c>
      <c r="CT52" s="525"/>
      <c r="CU52" s="541"/>
      <c r="CV52" s="525"/>
      <c r="CW52" s="525"/>
      <c r="CX52" s="528">
        <f t="shared" si="10"/>
        <v>9023.6419418877449</v>
      </c>
      <c r="CY52" s="881"/>
      <c r="CZ52" s="541"/>
      <c r="DA52" s="541"/>
      <c r="DB52" s="541"/>
      <c r="DC52" s="848"/>
      <c r="DD52" s="541"/>
      <c r="DE52" s="544">
        <v>8631.17</v>
      </c>
      <c r="DF52" s="544">
        <f>-8631.17+10300/1.1797</f>
        <v>99.8633135542932</v>
      </c>
      <c r="DG52" s="541"/>
      <c r="DK52" s="528">
        <f t="shared" si="11"/>
        <v>8731.0333135542933</v>
      </c>
      <c r="DL52" s="611"/>
      <c r="DP52" s="612"/>
      <c r="DS52" s="536">
        <f>10000/1.1</f>
        <v>9090.9090909090901</v>
      </c>
      <c r="DX52" s="519">
        <f t="shared" si="12"/>
        <v>9090.9090909090901</v>
      </c>
    </row>
    <row r="53" spans="2:128" ht="15">
      <c r="B53" s="636" t="s">
        <v>583</v>
      </c>
      <c r="C53" s="538"/>
      <c r="D53" s="538"/>
      <c r="E53" s="538"/>
      <c r="F53" s="538"/>
      <c r="G53" s="538"/>
      <c r="H53" s="538"/>
      <c r="I53" s="538"/>
      <c r="J53" s="538"/>
      <c r="K53" s="538"/>
      <c r="L53" s="538"/>
      <c r="M53" s="538"/>
      <c r="N53" s="538"/>
      <c r="O53" s="514"/>
      <c r="P53" s="623"/>
      <c r="Q53" s="623"/>
      <c r="R53" s="623"/>
      <c r="S53" s="623"/>
      <c r="T53" s="623"/>
      <c r="U53" s="623"/>
      <c r="V53" s="534"/>
      <c r="W53" s="544"/>
      <c r="X53" s="623"/>
      <c r="Y53" s="623"/>
      <c r="Z53" s="525"/>
      <c r="AA53" s="534"/>
      <c r="AB53" s="605"/>
      <c r="AC53" s="613"/>
      <c r="AD53" s="534"/>
      <c r="AE53" s="630"/>
      <c r="AF53" s="534"/>
      <c r="AG53" s="630"/>
      <c r="AH53" s="534"/>
      <c r="AI53" s="544"/>
      <c r="AJ53" s="626"/>
      <c r="AK53" s="607"/>
      <c r="AL53" s="628"/>
      <c r="AM53" s="634"/>
      <c r="AN53" s="628"/>
      <c r="AO53" s="628"/>
      <c r="AP53" s="525"/>
      <c r="AQ53" s="525"/>
      <c r="AR53" s="525"/>
      <c r="AS53" s="533"/>
      <c r="AT53" s="525"/>
      <c r="AU53" s="533"/>
      <c r="AV53" s="525"/>
      <c r="AW53" s="544"/>
      <c r="AX53" s="528">
        <f t="shared" si="18"/>
        <v>0</v>
      </c>
      <c r="AY53" s="613"/>
      <c r="AZ53" s="525"/>
      <c r="BA53" s="525"/>
      <c r="BB53" s="525"/>
      <c r="BC53" s="525"/>
      <c r="BD53" s="544"/>
      <c r="BE53" s="525"/>
      <c r="BF53" s="525"/>
      <c r="BG53" s="525"/>
      <c r="BH53" s="563"/>
      <c r="BI53" s="544"/>
      <c r="BJ53" s="608"/>
      <c r="BK53" s="528">
        <f t="shared" si="16"/>
        <v>0</v>
      </c>
      <c r="BL53" s="614"/>
      <c r="BM53" s="544"/>
      <c r="BN53" s="535"/>
      <c r="BO53" s="533"/>
      <c r="BP53" s="563"/>
      <c r="BQ53" s="526"/>
      <c r="BR53" s="533"/>
      <c r="BS53" s="533"/>
      <c r="BT53" s="533"/>
      <c r="BU53" s="533"/>
      <c r="BV53" s="525"/>
      <c r="BW53" s="563"/>
      <c r="BX53" s="528">
        <f t="shared" si="21"/>
        <v>0</v>
      </c>
      <c r="BY53" s="544"/>
      <c r="BZ53" s="563"/>
      <c r="CA53" s="563"/>
      <c r="CB53" s="563"/>
      <c r="CC53" s="563"/>
      <c r="CD53" s="534"/>
      <c r="CE53" s="525"/>
      <c r="CF53" s="525"/>
      <c r="CG53" s="525"/>
      <c r="CH53" s="525"/>
      <c r="CI53" s="525"/>
      <c r="CJ53" s="525"/>
      <c r="CK53" s="528">
        <f t="shared" si="6"/>
        <v>0</v>
      </c>
      <c r="CL53" s="543"/>
      <c r="CM53" s="541"/>
      <c r="CN53" s="544"/>
      <c r="CO53" s="544"/>
      <c r="CP53" s="525"/>
      <c r="CQ53" s="525"/>
      <c r="CR53" s="541"/>
      <c r="CS53" s="563"/>
      <c r="CT53" s="541"/>
      <c r="CU53" s="534">
        <v>24000</v>
      </c>
      <c r="CV53" s="541"/>
      <c r="CW53" s="525"/>
      <c r="CX53" s="528">
        <f t="shared" si="10"/>
        <v>24000</v>
      </c>
      <c r="CY53" s="881"/>
      <c r="CZ53" s="541"/>
      <c r="DA53" s="541"/>
      <c r="DB53" s="541"/>
      <c r="DC53" s="848"/>
      <c r="DD53" s="541"/>
      <c r="DE53" s="534">
        <v>-3000</v>
      </c>
      <c r="DF53" s="541"/>
      <c r="DG53" s="541"/>
      <c r="DH53" s="536"/>
      <c r="DK53" s="528">
        <f t="shared" si="11"/>
        <v>-3000</v>
      </c>
      <c r="DL53" s="611"/>
      <c r="DP53" s="612"/>
      <c r="DU53" s="536">
        <v>24000</v>
      </c>
      <c r="DX53" s="519">
        <f t="shared" si="12"/>
        <v>24000</v>
      </c>
    </row>
    <row r="54" spans="2:128" ht="15">
      <c r="B54" s="636" t="s">
        <v>567</v>
      </c>
      <c r="C54" s="538"/>
      <c r="D54" s="538"/>
      <c r="E54" s="538"/>
      <c r="F54" s="538"/>
      <c r="G54" s="538"/>
      <c r="H54" s="538"/>
      <c r="I54" s="538"/>
      <c r="J54" s="538"/>
      <c r="K54" s="538"/>
      <c r="L54" s="538"/>
      <c r="M54" s="538"/>
      <c r="N54" s="538"/>
      <c r="O54" s="514"/>
      <c r="P54" s="623"/>
      <c r="Q54" s="623"/>
      <c r="R54" s="623"/>
      <c r="S54" s="623"/>
      <c r="T54" s="623"/>
      <c r="U54" s="623"/>
      <c r="V54" s="534"/>
      <c r="W54" s="544"/>
      <c r="X54" s="623"/>
      <c r="Y54" s="623"/>
      <c r="Z54" s="525"/>
      <c r="AA54" s="534"/>
      <c r="AB54" s="605"/>
      <c r="AC54" s="613"/>
      <c r="AD54" s="534"/>
      <c r="AE54" s="630"/>
      <c r="AF54" s="534"/>
      <c r="AG54" s="630"/>
      <c r="AH54" s="534"/>
      <c r="AI54" s="544"/>
      <c r="AJ54" s="626"/>
      <c r="AK54" s="607"/>
      <c r="AL54" s="628"/>
      <c r="AM54" s="634"/>
      <c r="AN54" s="628"/>
      <c r="AO54" s="628"/>
      <c r="AP54" s="525"/>
      <c r="AQ54" s="525"/>
      <c r="AR54" s="525"/>
      <c r="AS54" s="533"/>
      <c r="AT54" s="525"/>
      <c r="AU54" s="533"/>
      <c r="AV54" s="525"/>
      <c r="AW54" s="544"/>
      <c r="AX54" s="528"/>
      <c r="AY54" s="613"/>
      <c r="AZ54" s="525"/>
      <c r="BA54" s="525"/>
      <c r="BB54" s="525"/>
      <c r="BC54" s="525"/>
      <c r="BD54" s="544"/>
      <c r="BE54" s="525"/>
      <c r="BF54" s="525"/>
      <c r="BG54" s="525"/>
      <c r="BH54" s="563"/>
      <c r="BI54" s="544"/>
      <c r="BJ54" s="608"/>
      <c r="BK54" s="528"/>
      <c r="BL54" s="614"/>
      <c r="BM54" s="544"/>
      <c r="BN54" s="535"/>
      <c r="BO54" s="533"/>
      <c r="BP54" s="563"/>
      <c r="BQ54" s="526"/>
      <c r="BR54" s="533"/>
      <c r="BS54" s="533"/>
      <c r="BT54" s="533"/>
      <c r="BU54" s="533"/>
      <c r="BV54" s="525"/>
      <c r="BW54" s="563"/>
      <c r="BX54" s="528"/>
      <c r="BY54" s="544"/>
      <c r="BZ54" s="563"/>
      <c r="CA54" s="563"/>
      <c r="CB54" s="563"/>
      <c r="CC54" s="563"/>
      <c r="CD54" s="534"/>
      <c r="CE54" s="525"/>
      <c r="CF54" s="525"/>
      <c r="CG54" s="525"/>
      <c r="CH54" s="525"/>
      <c r="CI54" s="525"/>
      <c r="CJ54" s="525"/>
      <c r="CK54" s="528">
        <f t="shared" si="6"/>
        <v>0</v>
      </c>
      <c r="CL54" s="543"/>
      <c r="CM54" s="541"/>
      <c r="CN54" s="544"/>
      <c r="CO54" s="544"/>
      <c r="CP54" s="525"/>
      <c r="CQ54" s="525"/>
      <c r="CR54" s="541"/>
      <c r="CS54" s="563"/>
      <c r="CT54" s="534">
        <f>8000/1.1185</f>
        <v>7152.436298614215</v>
      </c>
      <c r="CU54" s="525"/>
      <c r="CV54" s="525"/>
      <c r="CW54" s="525"/>
      <c r="CX54" s="528">
        <f t="shared" si="10"/>
        <v>7152.436298614215</v>
      </c>
      <c r="CY54" s="881"/>
      <c r="CZ54" s="541"/>
      <c r="DA54" s="541"/>
      <c r="DB54" s="541"/>
      <c r="DC54" s="848"/>
      <c r="DD54" s="541"/>
      <c r="DE54" s="541"/>
      <c r="DF54" s="541"/>
      <c r="DG54" s="541"/>
      <c r="DH54" s="527">
        <f>8000/1.15</f>
        <v>6956.521739130435</v>
      </c>
      <c r="DK54" s="528">
        <f t="shared" si="11"/>
        <v>6956.521739130435</v>
      </c>
      <c r="DL54" s="611"/>
      <c r="DP54" s="612"/>
      <c r="DT54" s="536">
        <f>8000/1.1</f>
        <v>7272.7272727272721</v>
      </c>
      <c r="DX54" s="519">
        <f t="shared" si="12"/>
        <v>7272.7272727272721</v>
      </c>
    </row>
    <row r="55" spans="2:128" ht="15">
      <c r="B55" s="636" t="s">
        <v>310</v>
      </c>
      <c r="C55" s="538"/>
      <c r="D55" s="538"/>
      <c r="E55" s="538"/>
      <c r="F55" s="538"/>
      <c r="G55" s="538"/>
      <c r="H55" s="538"/>
      <c r="I55" s="538"/>
      <c r="J55" s="538"/>
      <c r="K55" s="538"/>
      <c r="L55" s="538"/>
      <c r="M55" s="538"/>
      <c r="N55" s="538"/>
      <c r="O55" s="514"/>
      <c r="P55" s="623"/>
      <c r="Q55" s="623"/>
      <c r="R55" s="623"/>
      <c r="S55" s="623"/>
      <c r="T55" s="623"/>
      <c r="U55" s="623"/>
      <c r="V55" s="534"/>
      <c r="W55" s="544"/>
      <c r="X55" s="623"/>
      <c r="Y55" s="623"/>
      <c r="Z55" s="525"/>
      <c r="AA55" s="534"/>
      <c r="AB55" s="605"/>
      <c r="AC55" s="613"/>
      <c r="AD55" s="534"/>
      <c r="AE55" s="630"/>
      <c r="AF55" s="534"/>
      <c r="AG55" s="630"/>
      <c r="AH55" s="534"/>
      <c r="AI55" s="544"/>
      <c r="AJ55" s="626"/>
      <c r="AK55" s="607"/>
      <c r="AL55" s="628"/>
      <c r="AM55" s="634"/>
      <c r="AN55" s="628"/>
      <c r="AO55" s="628"/>
      <c r="AP55" s="525"/>
      <c r="AQ55" s="525"/>
      <c r="AR55" s="525"/>
      <c r="AS55" s="533"/>
      <c r="AT55" s="525"/>
      <c r="AU55" s="533"/>
      <c r="AV55" s="525"/>
      <c r="AW55" s="544"/>
      <c r="AX55" s="528"/>
      <c r="AY55" s="613"/>
      <c r="AZ55" s="525"/>
      <c r="BA55" s="525"/>
      <c r="BB55" s="525"/>
      <c r="BC55" s="525"/>
      <c r="BD55" s="544"/>
      <c r="BE55" s="525"/>
      <c r="BF55" s="525"/>
      <c r="BG55" s="525"/>
      <c r="BH55" s="563"/>
      <c r="BI55" s="544"/>
      <c r="BJ55" s="608"/>
      <c r="BK55" s="528"/>
      <c r="BL55" s="614"/>
      <c r="BM55" s="544"/>
      <c r="BN55" s="535"/>
      <c r="BO55" s="533"/>
      <c r="BP55" s="563"/>
      <c r="BQ55" s="526"/>
      <c r="BR55" s="533"/>
      <c r="BS55" s="533"/>
      <c r="BT55" s="533"/>
      <c r="BU55" s="533"/>
      <c r="BV55" s="525"/>
      <c r="BW55" s="563"/>
      <c r="BX55" s="528"/>
      <c r="BY55" s="544"/>
      <c r="BZ55" s="563"/>
      <c r="CA55" s="563"/>
      <c r="CB55" s="563"/>
      <c r="CC55" s="563"/>
      <c r="CD55" s="534"/>
      <c r="CE55" s="525"/>
      <c r="CF55" s="525"/>
      <c r="CG55" s="525"/>
      <c r="CH55" s="525"/>
      <c r="CI55" s="525"/>
      <c r="CJ55" s="525"/>
      <c r="CK55" s="528">
        <f t="shared" si="6"/>
        <v>0</v>
      </c>
      <c r="CL55" s="543"/>
      <c r="CM55" s="541"/>
      <c r="CN55" s="544"/>
      <c r="CO55" s="544"/>
      <c r="CP55" s="525"/>
      <c r="CQ55" s="525"/>
      <c r="CR55" s="541"/>
      <c r="CS55" s="534">
        <f>(12000-20)/1.1373</f>
        <v>10533.720214543217</v>
      </c>
      <c r="CT55" s="541"/>
      <c r="CU55" s="525"/>
      <c r="CV55" s="525"/>
      <c r="CW55" s="525"/>
      <c r="CX55" s="528">
        <f t="shared" si="10"/>
        <v>10533.720214543217</v>
      </c>
      <c r="CY55" s="881"/>
      <c r="CZ55" s="541"/>
      <c r="DA55" s="541"/>
      <c r="DB55" s="541"/>
      <c r="DC55" s="848"/>
      <c r="DD55" s="541"/>
      <c r="DE55" s="541"/>
      <c r="DF55" s="534">
        <f>(12800-135.55)/1.1782</f>
        <v>10748.981497199118</v>
      </c>
      <c r="DG55" s="541"/>
      <c r="DK55" s="528">
        <f t="shared" si="11"/>
        <v>10748.981497199118</v>
      </c>
      <c r="DL55" s="611"/>
      <c r="DP55" s="612"/>
      <c r="DS55" s="536">
        <f>12000/1.1</f>
        <v>10909.090909090908</v>
      </c>
      <c r="DX55" s="519">
        <f t="shared" si="12"/>
        <v>10909.090909090908</v>
      </c>
    </row>
    <row r="56" spans="2:128" ht="15">
      <c r="B56" s="636" t="s">
        <v>297</v>
      </c>
      <c r="C56" s="538"/>
      <c r="D56" s="538"/>
      <c r="E56" s="538"/>
      <c r="F56" s="538"/>
      <c r="G56" s="538"/>
      <c r="H56" s="538"/>
      <c r="I56" s="538"/>
      <c r="J56" s="538"/>
      <c r="K56" s="538"/>
      <c r="L56" s="538"/>
      <c r="M56" s="538"/>
      <c r="N56" s="538"/>
      <c r="O56" s="514"/>
      <c r="P56" s="623"/>
      <c r="Q56" s="623"/>
      <c r="R56" s="623"/>
      <c r="S56" s="623"/>
      <c r="T56" s="623"/>
      <c r="U56" s="623"/>
      <c r="V56" s="534"/>
      <c r="W56" s="544"/>
      <c r="X56" s="623"/>
      <c r="Y56" s="623"/>
      <c r="Z56" s="525"/>
      <c r="AA56" s="534"/>
      <c r="AB56" s="605"/>
      <c r="AC56" s="613"/>
      <c r="AD56" s="534"/>
      <c r="AE56" s="630"/>
      <c r="AF56" s="534"/>
      <c r="AG56" s="630"/>
      <c r="AH56" s="534"/>
      <c r="AI56" s="544"/>
      <c r="AJ56" s="626"/>
      <c r="AK56" s="607"/>
      <c r="AL56" s="628"/>
      <c r="AM56" s="634"/>
      <c r="AN56" s="628"/>
      <c r="AO56" s="628"/>
      <c r="AP56" s="525"/>
      <c r="AQ56" s="525"/>
      <c r="AR56" s="525"/>
      <c r="AS56" s="533"/>
      <c r="AT56" s="525"/>
      <c r="AU56" s="533"/>
      <c r="AV56" s="525"/>
      <c r="AW56" s="544"/>
      <c r="AX56" s="528">
        <f t="shared" si="18"/>
        <v>0</v>
      </c>
      <c r="AY56" s="613"/>
      <c r="AZ56" s="525"/>
      <c r="BA56" s="525"/>
      <c r="BB56" s="525"/>
      <c r="BC56" s="525"/>
      <c r="BD56" s="544"/>
      <c r="BE56" s="525"/>
      <c r="BF56" s="525"/>
      <c r="BG56" s="525"/>
      <c r="BH56" s="563"/>
      <c r="BI56" s="544"/>
      <c r="BJ56" s="608"/>
      <c r="BK56" s="528">
        <f t="shared" si="16"/>
        <v>0</v>
      </c>
      <c r="BL56" s="614"/>
      <c r="BM56" s="544"/>
      <c r="BN56" s="535"/>
      <c r="BO56" s="533"/>
      <c r="BP56" s="563"/>
      <c r="BQ56" s="526"/>
      <c r="BR56" s="533"/>
      <c r="BS56" s="533"/>
      <c r="BT56" s="533"/>
      <c r="BU56" s="533"/>
      <c r="BV56" s="525"/>
      <c r="BW56" s="563"/>
      <c r="BX56" s="528"/>
      <c r="BY56" s="544"/>
      <c r="BZ56" s="563"/>
      <c r="CA56" s="563"/>
      <c r="CB56" s="563"/>
      <c r="CC56" s="563"/>
      <c r="CD56" s="534"/>
      <c r="CE56" s="525"/>
      <c r="CF56" s="525"/>
      <c r="CG56" s="525"/>
      <c r="CH56" s="525"/>
      <c r="CI56" s="525"/>
      <c r="CJ56" s="525"/>
      <c r="CK56" s="528">
        <f t="shared" si="6"/>
        <v>0</v>
      </c>
      <c r="CL56" s="543"/>
      <c r="CM56" s="541"/>
      <c r="CN56" s="563"/>
      <c r="CO56" s="541"/>
      <c r="CP56" s="525"/>
      <c r="CQ56" s="525"/>
      <c r="CR56" s="525"/>
      <c r="CS56" s="851"/>
      <c r="CT56" s="541"/>
      <c r="CU56" s="544">
        <f>24000/1.1386</f>
        <v>21078.517477604073</v>
      </c>
      <c r="CV56" s="525"/>
      <c r="CW56" s="525"/>
      <c r="CX56" s="528">
        <f t="shared" si="10"/>
        <v>21078.517477604073</v>
      </c>
      <c r="CY56" s="881"/>
      <c r="CZ56" s="541"/>
      <c r="DA56" s="541"/>
      <c r="DB56" s="541"/>
      <c r="DC56" s="848"/>
      <c r="DD56" s="541"/>
      <c r="DE56" s="541"/>
      <c r="DF56" s="541"/>
      <c r="DG56" s="541"/>
      <c r="DH56" s="584">
        <f>24000/1.15</f>
        <v>20869.565217391308</v>
      </c>
      <c r="DK56" s="528">
        <f t="shared" si="11"/>
        <v>20869.565217391308</v>
      </c>
      <c r="DL56" s="611"/>
      <c r="DP56" s="612"/>
      <c r="DS56" s="536">
        <f>24000/1.1</f>
        <v>21818.181818181816</v>
      </c>
      <c r="DX56" s="519">
        <f t="shared" si="12"/>
        <v>21818.181818181816</v>
      </c>
    </row>
    <row r="57" spans="2:128" ht="15">
      <c r="B57" s="480" t="s">
        <v>354</v>
      </c>
      <c r="C57" s="538"/>
      <c r="D57" s="538"/>
      <c r="E57" s="538"/>
      <c r="F57" s="538"/>
      <c r="G57" s="538"/>
      <c r="H57" s="538"/>
      <c r="I57" s="538"/>
      <c r="J57" s="538"/>
      <c r="K57" s="538"/>
      <c r="L57" s="538"/>
      <c r="M57" s="538"/>
      <c r="N57" s="538"/>
      <c r="O57" s="514"/>
      <c r="P57" s="623"/>
      <c r="Q57" s="623"/>
      <c r="R57" s="623"/>
      <c r="S57" s="623"/>
      <c r="T57" s="623"/>
      <c r="U57" s="623"/>
      <c r="V57" s="534"/>
      <c r="W57" s="544"/>
      <c r="X57" s="623"/>
      <c r="Y57" s="623"/>
      <c r="Z57" s="525"/>
      <c r="AA57" s="534"/>
      <c r="AB57" s="605"/>
      <c r="AC57" s="613"/>
      <c r="AD57" s="534"/>
      <c r="AE57" s="630"/>
      <c r="AF57" s="534"/>
      <c r="AG57" s="630"/>
      <c r="AH57" s="534"/>
      <c r="AI57" s="544"/>
      <c r="AJ57" s="626"/>
      <c r="AK57" s="607"/>
      <c r="AL57" s="628"/>
      <c r="AM57" s="634"/>
      <c r="AN57" s="628"/>
      <c r="AO57" s="628"/>
      <c r="AP57" s="525"/>
      <c r="AQ57" s="525"/>
      <c r="AR57" s="525"/>
      <c r="AS57" s="533"/>
      <c r="AT57" s="525"/>
      <c r="AU57" s="533"/>
      <c r="AV57" s="525"/>
      <c r="AW57" s="544"/>
      <c r="AX57" s="528"/>
      <c r="AY57" s="613"/>
      <c r="AZ57" s="525"/>
      <c r="BA57" s="525"/>
      <c r="BB57" s="525"/>
      <c r="BC57" s="525"/>
      <c r="BD57" s="544"/>
      <c r="BE57" s="525"/>
      <c r="BF57" s="525"/>
      <c r="BG57" s="525"/>
      <c r="BH57" s="563"/>
      <c r="BI57" s="544"/>
      <c r="BJ57" s="608"/>
      <c r="BK57" s="528"/>
      <c r="BL57" s="614"/>
      <c r="BM57" s="544"/>
      <c r="BN57" s="535"/>
      <c r="BO57" s="533"/>
      <c r="BP57" s="563"/>
      <c r="BQ57" s="526"/>
      <c r="BR57" s="533"/>
      <c r="BS57" s="533"/>
      <c r="BT57" s="533"/>
      <c r="BU57" s="533"/>
      <c r="BV57" s="525"/>
      <c r="BW57" s="563"/>
      <c r="BX57" s="528"/>
      <c r="BY57" s="544"/>
      <c r="BZ57" s="563"/>
      <c r="CA57" s="563"/>
      <c r="CB57" s="563"/>
      <c r="CC57" s="563"/>
      <c r="CD57" s="534"/>
      <c r="CE57" s="525"/>
      <c r="CF57" s="525"/>
      <c r="CG57" s="525"/>
      <c r="CH57" s="525"/>
      <c r="CI57" s="525"/>
      <c r="CJ57" s="525"/>
      <c r="CK57" s="528">
        <f t="shared" si="6"/>
        <v>0</v>
      </c>
      <c r="CL57" s="543"/>
      <c r="CM57" s="541"/>
      <c r="CN57" s="563"/>
      <c r="CO57" s="541"/>
      <c r="CP57" s="525"/>
      <c r="CQ57" s="525"/>
      <c r="CR57" s="525"/>
      <c r="CS57" s="851"/>
      <c r="CT57" s="541"/>
      <c r="CU57" s="544"/>
      <c r="CV57" s="525"/>
      <c r="CW57" s="525"/>
      <c r="CX57" s="528">
        <f t="shared" si="10"/>
        <v>0</v>
      </c>
      <c r="CY57" s="881"/>
      <c r="CZ57" s="534">
        <f>16500/2</f>
        <v>8250</v>
      </c>
      <c r="DA57" s="541"/>
      <c r="DB57" s="541"/>
      <c r="DC57" s="534">
        <f>16500/2</f>
        <v>8250</v>
      </c>
      <c r="DD57" s="541"/>
      <c r="DE57" s="541"/>
      <c r="DF57" s="533"/>
      <c r="DG57" s="541"/>
      <c r="DK57" s="528">
        <f t="shared" si="11"/>
        <v>16500</v>
      </c>
      <c r="DL57" s="611"/>
      <c r="DP57" s="612"/>
      <c r="DS57" s="536"/>
      <c r="DX57" s="519">
        <f t="shared" si="12"/>
        <v>0</v>
      </c>
    </row>
    <row r="58" spans="2:128" ht="15">
      <c r="B58" s="636" t="s">
        <v>636</v>
      </c>
      <c r="C58" s="538"/>
      <c r="D58" s="538"/>
      <c r="E58" s="538"/>
      <c r="F58" s="538"/>
      <c r="G58" s="538"/>
      <c r="H58" s="538"/>
      <c r="I58" s="538"/>
      <c r="J58" s="538"/>
      <c r="K58" s="538"/>
      <c r="L58" s="538"/>
      <c r="M58" s="538"/>
      <c r="N58" s="538"/>
      <c r="O58" s="514"/>
      <c r="P58" s="623"/>
      <c r="Q58" s="623"/>
      <c r="R58" s="623"/>
      <c r="S58" s="623"/>
      <c r="T58" s="623"/>
      <c r="U58" s="623"/>
      <c r="V58" s="534"/>
      <c r="W58" s="544"/>
      <c r="X58" s="623"/>
      <c r="Y58" s="623"/>
      <c r="Z58" s="525"/>
      <c r="AA58" s="534"/>
      <c r="AB58" s="605"/>
      <c r="AC58" s="613"/>
      <c r="AD58" s="534"/>
      <c r="AE58" s="630"/>
      <c r="AF58" s="534"/>
      <c r="AG58" s="630"/>
      <c r="AH58" s="534"/>
      <c r="AI58" s="544"/>
      <c r="AJ58" s="626"/>
      <c r="AK58" s="607"/>
      <c r="AL58" s="628"/>
      <c r="AM58" s="634"/>
      <c r="AN58" s="628"/>
      <c r="AO58" s="628"/>
      <c r="AP58" s="525"/>
      <c r="AQ58" s="525"/>
      <c r="AR58" s="525"/>
      <c r="AS58" s="533"/>
      <c r="AT58" s="525"/>
      <c r="AU58" s="533"/>
      <c r="AV58" s="525"/>
      <c r="AW58" s="544"/>
      <c r="AX58" s="528"/>
      <c r="AY58" s="613"/>
      <c r="AZ58" s="525"/>
      <c r="BA58" s="525"/>
      <c r="BB58" s="525"/>
      <c r="BC58" s="525"/>
      <c r="BD58" s="544"/>
      <c r="BE58" s="525"/>
      <c r="BF58" s="525"/>
      <c r="BG58" s="525"/>
      <c r="BH58" s="563"/>
      <c r="BI58" s="544"/>
      <c r="BJ58" s="608"/>
      <c r="BK58" s="528"/>
      <c r="BL58" s="614"/>
      <c r="BM58" s="544"/>
      <c r="BN58" s="535"/>
      <c r="BO58" s="533"/>
      <c r="BP58" s="563"/>
      <c r="BQ58" s="526"/>
      <c r="BR58" s="533"/>
      <c r="BS58" s="533"/>
      <c r="BT58" s="533"/>
      <c r="BU58" s="533"/>
      <c r="BV58" s="525"/>
      <c r="BW58" s="563"/>
      <c r="BX58" s="528"/>
      <c r="BY58" s="544"/>
      <c r="BZ58" s="563"/>
      <c r="CA58" s="563"/>
      <c r="CB58" s="563"/>
      <c r="CC58" s="563"/>
      <c r="CD58" s="534"/>
      <c r="CE58" s="525"/>
      <c r="CF58" s="525"/>
      <c r="CG58" s="525"/>
      <c r="CH58" s="525"/>
      <c r="CI58" s="525"/>
      <c r="CJ58" s="525"/>
      <c r="CK58" s="528">
        <f t="shared" si="6"/>
        <v>0</v>
      </c>
      <c r="CL58" s="543"/>
      <c r="CM58" s="541"/>
      <c r="CN58" s="563"/>
      <c r="CO58" s="541"/>
      <c r="CP58" s="525"/>
      <c r="CQ58" s="525"/>
      <c r="CR58" s="525"/>
      <c r="CS58" s="851"/>
      <c r="CT58" s="541"/>
      <c r="CU58" s="544"/>
      <c r="CV58" s="525"/>
      <c r="CW58" s="525"/>
      <c r="CX58" s="528">
        <f t="shared" si="10"/>
        <v>0</v>
      </c>
      <c r="CY58" s="881"/>
      <c r="CZ58" s="541"/>
      <c r="DA58" s="541"/>
      <c r="DB58" s="541"/>
      <c r="DC58" s="541"/>
      <c r="DD58" s="544">
        <v>24500</v>
      </c>
      <c r="DE58" s="541"/>
      <c r="DF58" s="533"/>
      <c r="DG58" s="541"/>
      <c r="DI58" s="572">
        <v>25000</v>
      </c>
      <c r="DK58" s="528">
        <f t="shared" si="11"/>
        <v>49500</v>
      </c>
      <c r="DL58" s="611"/>
      <c r="DP58" s="612"/>
      <c r="DS58" s="536"/>
      <c r="DU58" s="552">
        <v>25000</v>
      </c>
      <c r="DX58" s="519">
        <f t="shared" si="12"/>
        <v>25000</v>
      </c>
    </row>
    <row r="59" spans="2:128" ht="15">
      <c r="B59" s="636" t="s">
        <v>634</v>
      </c>
      <c r="C59" s="538"/>
      <c r="D59" s="538"/>
      <c r="E59" s="538"/>
      <c r="F59" s="538"/>
      <c r="G59" s="538"/>
      <c r="H59" s="538"/>
      <c r="I59" s="538"/>
      <c r="J59" s="538"/>
      <c r="K59" s="538"/>
      <c r="L59" s="538"/>
      <c r="M59" s="538"/>
      <c r="N59" s="538"/>
      <c r="O59" s="514"/>
      <c r="P59" s="623"/>
      <c r="Q59" s="623"/>
      <c r="R59" s="623"/>
      <c r="S59" s="623"/>
      <c r="T59" s="623"/>
      <c r="U59" s="623"/>
      <c r="V59" s="534"/>
      <c r="W59" s="544"/>
      <c r="X59" s="623"/>
      <c r="Y59" s="623"/>
      <c r="Z59" s="525"/>
      <c r="AA59" s="534"/>
      <c r="AB59" s="605"/>
      <c r="AC59" s="613"/>
      <c r="AD59" s="534"/>
      <c r="AE59" s="630"/>
      <c r="AF59" s="534"/>
      <c r="AG59" s="630"/>
      <c r="AH59" s="534"/>
      <c r="AI59" s="544"/>
      <c r="AJ59" s="626"/>
      <c r="AK59" s="607"/>
      <c r="AL59" s="628"/>
      <c r="AM59" s="634"/>
      <c r="AN59" s="628"/>
      <c r="AO59" s="628"/>
      <c r="AP59" s="525"/>
      <c r="AQ59" s="525"/>
      <c r="AR59" s="525"/>
      <c r="AS59" s="533"/>
      <c r="AT59" s="525"/>
      <c r="AU59" s="533"/>
      <c r="AV59" s="525"/>
      <c r="AW59" s="544"/>
      <c r="AX59" s="528"/>
      <c r="AY59" s="613"/>
      <c r="AZ59" s="525"/>
      <c r="BA59" s="525"/>
      <c r="BB59" s="525"/>
      <c r="BC59" s="525"/>
      <c r="BD59" s="544"/>
      <c r="BE59" s="525"/>
      <c r="BF59" s="525"/>
      <c r="BG59" s="525"/>
      <c r="BH59" s="563"/>
      <c r="BI59" s="544"/>
      <c r="BJ59" s="608"/>
      <c r="BK59" s="528"/>
      <c r="BL59" s="614"/>
      <c r="BM59" s="544"/>
      <c r="BN59" s="535"/>
      <c r="BO59" s="533"/>
      <c r="BP59" s="563"/>
      <c r="BQ59" s="526"/>
      <c r="BR59" s="533"/>
      <c r="BS59" s="533"/>
      <c r="BT59" s="533"/>
      <c r="BU59" s="533"/>
      <c r="BV59" s="525"/>
      <c r="BW59" s="563"/>
      <c r="BX59" s="528"/>
      <c r="BY59" s="544"/>
      <c r="BZ59" s="563"/>
      <c r="CA59" s="563"/>
      <c r="CB59" s="563"/>
      <c r="CC59" s="563"/>
      <c r="CD59" s="534"/>
      <c r="CE59" s="525"/>
      <c r="CF59" s="525"/>
      <c r="CG59" s="525"/>
      <c r="CH59" s="525"/>
      <c r="CI59" s="525"/>
      <c r="CJ59" s="525"/>
      <c r="CK59" s="528"/>
      <c r="CL59" s="543"/>
      <c r="CM59" s="541"/>
      <c r="CN59" s="563"/>
      <c r="CO59" s="541"/>
      <c r="CP59" s="525"/>
      <c r="CQ59" s="525"/>
      <c r="CR59" s="525"/>
      <c r="CS59" s="851"/>
      <c r="CT59" s="541"/>
      <c r="CU59" s="544"/>
      <c r="CV59" s="525"/>
      <c r="CW59" s="525"/>
      <c r="CX59" s="528">
        <f t="shared" si="10"/>
        <v>0</v>
      </c>
      <c r="CY59" s="881"/>
      <c r="CZ59" s="541"/>
      <c r="DA59" s="541"/>
      <c r="DB59" s="563"/>
      <c r="DC59" s="541"/>
      <c r="DD59" s="541"/>
      <c r="DE59" s="544">
        <f>8000/1.1476</f>
        <v>6971.0700592540961</v>
      </c>
      <c r="DF59" s="533"/>
      <c r="DG59" s="541"/>
      <c r="DK59" s="528">
        <f t="shared" si="11"/>
        <v>6971.0700592540961</v>
      </c>
      <c r="DL59" s="611"/>
      <c r="DP59" s="572">
        <f>10000/1.15</f>
        <v>8695.652173913044</v>
      </c>
      <c r="DS59" s="536"/>
      <c r="DW59" s="939">
        <f>10000/1.15</f>
        <v>8695.652173913044</v>
      </c>
      <c r="DX59" s="519">
        <f t="shared" si="12"/>
        <v>17391.304347826088</v>
      </c>
    </row>
    <row r="60" spans="2:128" ht="15">
      <c r="B60" s="965" t="s">
        <v>676</v>
      </c>
      <c r="C60" s="538"/>
      <c r="D60" s="538"/>
      <c r="E60" s="538"/>
      <c r="F60" s="538"/>
      <c r="G60" s="538"/>
      <c r="H60" s="538"/>
      <c r="I60" s="538"/>
      <c r="J60" s="538"/>
      <c r="K60" s="538"/>
      <c r="L60" s="538"/>
      <c r="M60" s="538"/>
      <c r="N60" s="538"/>
      <c r="O60" s="514"/>
      <c r="P60" s="623"/>
      <c r="Q60" s="623"/>
      <c r="R60" s="623"/>
      <c r="S60" s="623"/>
      <c r="T60" s="623"/>
      <c r="U60" s="623"/>
      <c r="V60" s="534"/>
      <c r="W60" s="544"/>
      <c r="X60" s="623"/>
      <c r="Y60" s="623"/>
      <c r="Z60" s="525"/>
      <c r="AA60" s="534"/>
      <c r="AB60" s="605"/>
      <c r="AC60" s="613"/>
      <c r="AD60" s="534"/>
      <c r="AE60" s="630"/>
      <c r="AF60" s="534"/>
      <c r="AG60" s="630"/>
      <c r="AH60" s="534"/>
      <c r="AI60" s="544"/>
      <c r="AJ60" s="626"/>
      <c r="AK60" s="607"/>
      <c r="AL60" s="628"/>
      <c r="AM60" s="634"/>
      <c r="AN60" s="628"/>
      <c r="AO60" s="628"/>
      <c r="AP60" s="525"/>
      <c r="AQ60" s="525"/>
      <c r="AR60" s="525"/>
      <c r="AS60" s="533"/>
      <c r="AT60" s="525"/>
      <c r="AU60" s="533"/>
      <c r="AV60" s="525"/>
      <c r="AW60" s="544"/>
      <c r="AX60" s="528"/>
      <c r="AY60" s="613"/>
      <c r="AZ60" s="525"/>
      <c r="BA60" s="525"/>
      <c r="BB60" s="525"/>
      <c r="BC60" s="525"/>
      <c r="BD60" s="544"/>
      <c r="BE60" s="525"/>
      <c r="BF60" s="525"/>
      <c r="BG60" s="525"/>
      <c r="BH60" s="563"/>
      <c r="BI60" s="544"/>
      <c r="BJ60" s="608"/>
      <c r="BK60" s="528"/>
      <c r="BL60" s="614"/>
      <c r="BM60" s="544"/>
      <c r="BN60" s="535"/>
      <c r="BO60" s="533"/>
      <c r="BP60" s="563"/>
      <c r="BQ60" s="526"/>
      <c r="BR60" s="533"/>
      <c r="BS60" s="533"/>
      <c r="BT60" s="533"/>
      <c r="BU60" s="533"/>
      <c r="BV60" s="525"/>
      <c r="BW60" s="563"/>
      <c r="BX60" s="528"/>
      <c r="BY60" s="544"/>
      <c r="BZ60" s="563"/>
      <c r="CA60" s="563"/>
      <c r="CB60" s="563"/>
      <c r="CC60" s="563"/>
      <c r="CD60" s="534"/>
      <c r="CE60" s="525"/>
      <c r="CF60" s="525"/>
      <c r="CG60" s="525"/>
      <c r="CH60" s="525"/>
      <c r="CI60" s="525"/>
      <c r="CJ60" s="525"/>
      <c r="CK60" s="528"/>
      <c r="CL60" s="543"/>
      <c r="CM60" s="541"/>
      <c r="CN60" s="563"/>
      <c r="CO60" s="541"/>
      <c r="CP60" s="525"/>
      <c r="CQ60" s="525"/>
      <c r="CR60" s="525"/>
      <c r="CS60" s="851"/>
      <c r="CT60" s="541"/>
      <c r="CU60" s="544"/>
      <c r="CV60" s="525"/>
      <c r="CW60" s="525"/>
      <c r="CX60" s="528"/>
      <c r="CY60" s="881"/>
      <c r="CZ60" s="541"/>
      <c r="DA60" s="541"/>
      <c r="DB60" s="563"/>
      <c r="DC60" s="541"/>
      <c r="DD60" s="541"/>
      <c r="DE60" s="544"/>
      <c r="DF60" s="533"/>
      <c r="DG60" s="544">
        <v>16500</v>
      </c>
      <c r="DK60" s="528">
        <f t="shared" si="11"/>
        <v>16500</v>
      </c>
      <c r="DL60" s="611"/>
      <c r="DP60" s="572"/>
      <c r="DQ60" s="536">
        <v>16500</v>
      </c>
      <c r="DS60" s="536"/>
      <c r="DW60" s="572"/>
      <c r="DX60" s="519">
        <f t="shared" si="12"/>
        <v>16500</v>
      </c>
    </row>
    <row r="61" spans="2:128" ht="15">
      <c r="B61" s="560" t="s">
        <v>163</v>
      </c>
      <c r="C61" s="538"/>
      <c r="D61" s="538"/>
      <c r="E61" s="538"/>
      <c r="F61" s="538"/>
      <c r="G61" s="538"/>
      <c r="H61" s="538"/>
      <c r="I61" s="538"/>
      <c r="J61" s="538"/>
      <c r="K61" s="538"/>
      <c r="L61" s="538"/>
      <c r="M61" s="538"/>
      <c r="N61" s="538"/>
      <c r="O61" s="514">
        <f t="shared" si="3"/>
        <v>0</v>
      </c>
      <c r="P61" s="623"/>
      <c r="Q61" s="623"/>
      <c r="R61" s="623"/>
      <c r="S61" s="623"/>
      <c r="T61" s="623"/>
      <c r="U61" s="623"/>
      <c r="V61" s="534"/>
      <c r="W61" s="544"/>
      <c r="X61" s="623"/>
      <c r="Y61" s="623"/>
      <c r="Z61" s="525"/>
      <c r="AA61" s="534"/>
      <c r="AB61" s="605"/>
      <c r="AC61" s="613"/>
      <c r="AD61" s="534"/>
      <c r="AE61" s="630"/>
      <c r="AF61" s="534"/>
      <c r="AG61" s="630"/>
      <c r="AH61" s="616"/>
      <c r="AI61" s="630"/>
      <c r="AJ61" s="626"/>
      <c r="AK61" s="607"/>
      <c r="AL61" s="628"/>
      <c r="AM61" s="634"/>
      <c r="AN61" s="628"/>
      <c r="AO61" s="628"/>
      <c r="AP61" s="525"/>
      <c r="AQ61" s="533"/>
      <c r="AR61" s="533"/>
      <c r="AS61" s="533"/>
      <c r="AT61" s="533"/>
      <c r="AU61" s="533"/>
      <c r="AV61" s="533"/>
      <c r="AW61" s="533"/>
      <c r="AX61" s="528"/>
      <c r="AY61" s="606"/>
      <c r="AZ61" s="525"/>
      <c r="BA61" s="525"/>
      <c r="BB61" s="525"/>
      <c r="BC61" s="525"/>
      <c r="BD61" s="525"/>
      <c r="BE61" s="525"/>
      <c r="BF61" s="525"/>
      <c r="BG61" s="525"/>
      <c r="BH61" s="563"/>
      <c r="BI61" s="525"/>
      <c r="BJ61" s="608"/>
      <c r="BK61" s="528"/>
      <c r="BL61" s="614"/>
      <c r="BM61" s="533"/>
      <c r="BN61" s="535"/>
      <c r="BO61" s="533"/>
      <c r="BP61" s="533"/>
      <c r="BQ61" s="535"/>
      <c r="BR61" s="533"/>
      <c r="BS61" s="533"/>
      <c r="BT61" s="533"/>
      <c r="BU61" s="533"/>
      <c r="BV61" s="533"/>
      <c r="BW61" s="618"/>
      <c r="BX61" s="528">
        <f t="shared" si="9"/>
        <v>0</v>
      </c>
      <c r="BY61" s="525"/>
      <c r="BZ61" s="525"/>
      <c r="CA61" s="525"/>
      <c r="CB61" s="525"/>
      <c r="CC61" s="525"/>
      <c r="CD61" s="525"/>
      <c r="CE61" s="525"/>
      <c r="CF61" s="525"/>
      <c r="CG61" s="525"/>
      <c r="CH61" s="525"/>
      <c r="CI61" s="525"/>
      <c r="CJ61" s="525"/>
      <c r="CK61" s="528">
        <f t="shared" si="6"/>
        <v>0</v>
      </c>
      <c r="CL61" s="526"/>
      <c r="CM61" s="525"/>
      <c r="CN61" s="525"/>
      <c r="CO61" s="525"/>
      <c r="CP61" s="525"/>
      <c r="CQ61" s="525"/>
      <c r="CR61" s="525"/>
      <c r="CS61" s="525"/>
      <c r="CT61" s="525"/>
      <c r="CU61" s="525"/>
      <c r="CV61" s="525"/>
      <c r="CW61" s="525"/>
      <c r="CX61" s="528">
        <f t="shared" si="10"/>
        <v>0</v>
      </c>
      <c r="CY61" s="881"/>
      <c r="CZ61" s="541"/>
      <c r="DA61" s="541"/>
      <c r="DB61" s="541"/>
      <c r="DC61" s="541"/>
      <c r="DD61" s="541"/>
      <c r="DE61" s="541"/>
      <c r="DF61" s="541"/>
      <c r="DG61" s="541"/>
      <c r="DK61" s="528">
        <f t="shared" si="11"/>
        <v>0</v>
      </c>
      <c r="DX61" s="519">
        <f t="shared" si="12"/>
        <v>0</v>
      </c>
    </row>
    <row r="62" spans="2:128" ht="15">
      <c r="B62" s="480" t="s">
        <v>164</v>
      </c>
      <c r="C62" s="538"/>
      <c r="D62" s="538"/>
      <c r="E62" s="538"/>
      <c r="F62" s="538"/>
      <c r="G62" s="538"/>
      <c r="H62" s="538"/>
      <c r="I62" s="538"/>
      <c r="J62" s="538"/>
      <c r="K62" s="538"/>
      <c r="L62" s="538"/>
      <c r="M62" s="538"/>
      <c r="N62" s="538"/>
      <c r="O62" s="514">
        <f t="shared" si="3"/>
        <v>0</v>
      </c>
      <c r="P62" s="623"/>
      <c r="Q62" s="623"/>
      <c r="R62" s="623"/>
      <c r="S62" s="623"/>
      <c r="T62" s="623"/>
      <c r="U62" s="623"/>
      <c r="V62" s="534"/>
      <c r="W62" s="544"/>
      <c r="X62" s="623">
        <v>2076.36</v>
      </c>
      <c r="Y62" s="623"/>
      <c r="Z62" s="525"/>
      <c r="AA62" s="534"/>
      <c r="AB62" s="605">
        <f t="shared" si="4"/>
        <v>2076.36</v>
      </c>
      <c r="AC62" s="613"/>
      <c r="AD62" s="534"/>
      <c r="AE62" s="630"/>
      <c r="AF62" s="534"/>
      <c r="AG62" s="630"/>
      <c r="AH62" s="616"/>
      <c r="AI62" s="630"/>
      <c r="AJ62" s="534"/>
      <c r="AK62" s="607">
        <f t="shared" si="7"/>
        <v>0</v>
      </c>
      <c r="AL62" s="628"/>
      <c r="AM62" s="634"/>
      <c r="AN62" s="628"/>
      <c r="AO62" s="628"/>
      <c r="AP62" s="525"/>
      <c r="AQ62" s="525"/>
      <c r="AR62" s="525"/>
      <c r="AS62" s="525"/>
      <c r="AT62" s="525"/>
      <c r="AU62" s="525"/>
      <c r="AV62" s="525"/>
      <c r="AW62" s="525"/>
      <c r="AX62" s="528">
        <f t="shared" si="14"/>
        <v>0</v>
      </c>
      <c r="AY62" s="606"/>
      <c r="AZ62" s="525"/>
      <c r="BA62" s="525"/>
      <c r="BB62" s="525"/>
      <c r="BC62" s="525"/>
      <c r="BD62" s="525"/>
      <c r="BE62" s="525"/>
      <c r="BF62" s="525"/>
      <c r="BG62" s="525"/>
      <c r="BH62" s="563"/>
      <c r="BI62" s="525"/>
      <c r="BJ62" s="608"/>
      <c r="BK62" s="528">
        <f t="shared" si="13"/>
        <v>0</v>
      </c>
      <c r="BL62" s="614"/>
      <c r="BM62" s="533"/>
      <c r="BN62" s="535"/>
      <c r="BO62" s="533"/>
      <c r="BP62" s="533"/>
      <c r="BQ62" s="535"/>
      <c r="BR62" s="533"/>
      <c r="BS62" s="533"/>
      <c r="BT62" s="533"/>
      <c r="BU62" s="533"/>
      <c r="BV62" s="533"/>
      <c r="BW62" s="618"/>
      <c r="BX62" s="528">
        <f t="shared" si="9"/>
        <v>0</v>
      </c>
      <c r="BY62" s="525"/>
      <c r="BZ62" s="525"/>
      <c r="CA62" s="525"/>
      <c r="CB62" s="525"/>
      <c r="CC62" s="525"/>
      <c r="CD62" s="525"/>
      <c r="CE62" s="525"/>
      <c r="CF62" s="525"/>
      <c r="CG62" s="525"/>
      <c r="CH62" s="525"/>
      <c r="CI62" s="525"/>
      <c r="CJ62" s="525"/>
      <c r="CK62" s="528">
        <f t="shared" si="6"/>
        <v>0</v>
      </c>
      <c r="CL62" s="526"/>
      <c r="CM62" s="525"/>
      <c r="CN62" s="525"/>
      <c r="CO62" s="525"/>
      <c r="CP62" s="525"/>
      <c r="CQ62" s="525"/>
      <c r="CR62" s="525"/>
      <c r="CS62" s="525"/>
      <c r="CT62" s="525"/>
      <c r="CU62" s="525"/>
      <c r="CV62" s="525"/>
      <c r="CW62" s="525"/>
      <c r="CX62" s="528">
        <f t="shared" si="10"/>
        <v>0</v>
      </c>
      <c r="CY62" s="881"/>
      <c r="CZ62" s="541"/>
      <c r="DA62" s="541"/>
      <c r="DB62" s="541"/>
      <c r="DC62" s="541"/>
      <c r="DD62" s="541"/>
      <c r="DE62" s="541"/>
      <c r="DF62" s="541"/>
      <c r="DG62" s="541"/>
      <c r="DK62" s="528">
        <f t="shared" si="11"/>
        <v>0</v>
      </c>
      <c r="DX62" s="519">
        <f t="shared" si="12"/>
        <v>0</v>
      </c>
    </row>
    <row r="63" spans="2:128" ht="15">
      <c r="B63" s="480" t="s">
        <v>33</v>
      </c>
      <c r="C63" s="538"/>
      <c r="D63" s="538"/>
      <c r="E63" s="538"/>
      <c r="F63" s="538"/>
      <c r="G63" s="538"/>
      <c r="H63" s="538"/>
      <c r="I63" s="538"/>
      <c r="J63" s="538"/>
      <c r="K63" s="538"/>
      <c r="L63" s="538"/>
      <c r="M63" s="538"/>
      <c r="N63" s="538"/>
      <c r="O63" s="514">
        <f t="shared" si="3"/>
        <v>0</v>
      </c>
      <c r="P63" s="623"/>
      <c r="Q63" s="623"/>
      <c r="R63" s="534">
        <f>15000*0.75*1.21</f>
        <v>13612.5</v>
      </c>
      <c r="S63" s="623"/>
      <c r="T63" s="623"/>
      <c r="U63" s="623"/>
      <c r="V63" s="534"/>
      <c r="W63" s="544"/>
      <c r="X63" s="623"/>
      <c r="Y63" s="623"/>
      <c r="Z63" s="525"/>
      <c r="AA63" s="534"/>
      <c r="AB63" s="605">
        <f t="shared" si="4"/>
        <v>13612.5</v>
      </c>
      <c r="AC63" s="613"/>
      <c r="AD63" s="534"/>
      <c r="AE63" s="630"/>
      <c r="AF63" s="534"/>
      <c r="AG63" s="630"/>
      <c r="AH63" s="616"/>
      <c r="AI63" s="534"/>
      <c r="AJ63" s="534"/>
      <c r="AK63" s="607">
        <f t="shared" si="7"/>
        <v>0</v>
      </c>
      <c r="AL63" s="525"/>
      <c r="AM63" s="525"/>
      <c r="AN63" s="525"/>
      <c r="AO63" s="525"/>
      <c r="AP63" s="525"/>
      <c r="AQ63" s="525"/>
      <c r="AR63" s="525"/>
      <c r="AS63" s="525"/>
      <c r="AT63" s="525"/>
      <c r="AU63" s="525"/>
      <c r="AV63" s="525"/>
      <c r="AW63" s="525"/>
      <c r="AX63" s="528">
        <f t="shared" si="14"/>
        <v>0</v>
      </c>
      <c r="AY63" s="525"/>
      <c r="AZ63" s="525"/>
      <c r="BA63" s="525"/>
      <c r="BB63" s="525"/>
      <c r="BC63" s="525"/>
      <c r="BD63" s="525"/>
      <c r="BE63" s="525"/>
      <c r="BF63" s="525"/>
      <c r="BG63" s="525"/>
      <c r="BH63" s="563"/>
      <c r="BI63" s="525"/>
      <c r="BJ63" s="563">
        <f>15000*0.25*0</f>
        <v>0</v>
      </c>
      <c r="BK63" s="528">
        <f>SUM(AY63:BJ63)</f>
        <v>0</v>
      </c>
      <c r="BL63" s="614"/>
      <c r="BM63" s="533"/>
      <c r="BN63" s="535"/>
      <c r="BO63" s="533"/>
      <c r="BP63" s="533"/>
      <c r="BQ63" s="535"/>
      <c r="BR63" s="533"/>
      <c r="BS63" s="533"/>
      <c r="BT63" s="533"/>
      <c r="BU63" s="533"/>
      <c r="BV63" s="533"/>
      <c r="BW63" s="618"/>
      <c r="BX63" s="528">
        <f t="shared" si="9"/>
        <v>0</v>
      </c>
      <c r="BY63" s="525"/>
      <c r="BZ63" s="525"/>
      <c r="CA63" s="525"/>
      <c r="CB63" s="525"/>
      <c r="CC63" s="525"/>
      <c r="CD63" s="525"/>
      <c r="CE63" s="525"/>
      <c r="CF63" s="525"/>
      <c r="CG63" s="525"/>
      <c r="CH63" s="525"/>
      <c r="CI63" s="525"/>
      <c r="CJ63" s="525"/>
      <c r="CK63" s="528">
        <f t="shared" si="6"/>
        <v>0</v>
      </c>
      <c r="CL63" s="526"/>
      <c r="CM63" s="525"/>
      <c r="CN63" s="525"/>
      <c r="CO63" s="525"/>
      <c r="CP63" s="525"/>
      <c r="CQ63" s="525"/>
      <c r="CR63" s="525"/>
      <c r="CS63" s="525"/>
      <c r="CT63" s="525"/>
      <c r="CU63" s="525"/>
      <c r="CV63" s="525"/>
      <c r="CW63" s="525"/>
      <c r="CX63" s="528">
        <f t="shared" si="10"/>
        <v>0</v>
      </c>
      <c r="CY63" s="881"/>
      <c r="CZ63" s="541"/>
      <c r="DA63" s="541"/>
      <c r="DB63" s="541"/>
      <c r="DC63" s="541"/>
      <c r="DD63" s="541"/>
      <c r="DE63" s="541"/>
      <c r="DF63" s="541"/>
      <c r="DG63" s="541"/>
      <c r="DK63" s="528">
        <f t="shared" si="11"/>
        <v>0</v>
      </c>
      <c r="DX63" s="519">
        <f t="shared" si="12"/>
        <v>0</v>
      </c>
    </row>
    <row r="64" spans="2:128" ht="15">
      <c r="B64" s="480" t="s">
        <v>21</v>
      </c>
      <c r="C64" s="538"/>
      <c r="D64" s="538"/>
      <c r="E64" s="538"/>
      <c r="F64" s="538"/>
      <c r="G64" s="512">
        <f>4000*1.21</f>
        <v>4840</v>
      </c>
      <c r="H64" s="538"/>
      <c r="I64" s="538"/>
      <c r="J64" s="538"/>
      <c r="K64" s="538"/>
      <c r="L64" s="538"/>
      <c r="M64" s="538"/>
      <c r="N64" s="538"/>
      <c r="O64" s="514">
        <f t="shared" si="3"/>
        <v>4840</v>
      </c>
      <c r="P64" s="623"/>
      <c r="Q64" s="534">
        <v>7260</v>
      </c>
      <c r="R64" s="623"/>
      <c r="S64" s="623"/>
      <c r="T64" s="623"/>
      <c r="U64" s="623"/>
      <c r="V64" s="534"/>
      <c r="W64" s="544"/>
      <c r="X64" s="623"/>
      <c r="Y64" s="623"/>
      <c r="Z64" s="525"/>
      <c r="AA64" s="534"/>
      <c r="AB64" s="605">
        <f t="shared" si="4"/>
        <v>7260</v>
      </c>
      <c r="AC64" s="613">
        <f>5000</f>
        <v>5000</v>
      </c>
      <c r="AD64" s="544">
        <v>7260</v>
      </c>
      <c r="AE64" s="630"/>
      <c r="AF64" s="534"/>
      <c r="AG64" s="630"/>
      <c r="AH64" s="616"/>
      <c r="AI64" s="630"/>
      <c r="AJ64" s="626"/>
      <c r="AK64" s="607">
        <f t="shared" si="7"/>
        <v>12260</v>
      </c>
      <c r="AL64" s="628"/>
      <c r="AM64" s="634"/>
      <c r="AN64" s="628"/>
      <c r="AO64" s="628"/>
      <c r="AP64" s="525"/>
      <c r="AQ64" s="525"/>
      <c r="AR64" s="525"/>
      <c r="AS64" s="525"/>
      <c r="AT64" s="525"/>
      <c r="AU64" s="525"/>
      <c r="AV64" s="525"/>
      <c r="AW64" s="525"/>
      <c r="AX64" s="528">
        <f t="shared" si="14"/>
        <v>0</v>
      </c>
      <c r="AY64" s="606"/>
      <c r="AZ64" s="525"/>
      <c r="BA64" s="525"/>
      <c r="BB64" s="525"/>
      <c r="BC64" s="525"/>
      <c r="BD64" s="525"/>
      <c r="BE64" s="525"/>
      <c r="BF64" s="525"/>
      <c r="BG64" s="525"/>
      <c r="BH64" s="563"/>
      <c r="BI64" s="525"/>
      <c r="BJ64" s="608"/>
      <c r="BK64" s="528">
        <f t="shared" si="13"/>
        <v>0</v>
      </c>
      <c r="BL64" s="614"/>
      <c r="BM64" s="533"/>
      <c r="BN64" s="535"/>
      <c r="BO64" s="533"/>
      <c r="BP64" s="533"/>
      <c r="BQ64" s="535"/>
      <c r="BR64" s="533"/>
      <c r="BS64" s="533"/>
      <c r="BT64" s="533"/>
      <c r="BU64" s="533"/>
      <c r="BV64" s="533"/>
      <c r="BW64" s="618"/>
      <c r="BX64" s="528">
        <f t="shared" si="9"/>
        <v>0</v>
      </c>
      <c r="BY64" s="525"/>
      <c r="BZ64" s="525"/>
      <c r="CA64" s="525"/>
      <c r="CB64" s="525"/>
      <c r="CC64" s="525"/>
      <c r="CD64" s="525"/>
      <c r="CE64" s="525"/>
      <c r="CF64" s="525"/>
      <c r="CG64" s="525"/>
      <c r="CH64" s="525"/>
      <c r="CI64" s="525"/>
      <c r="CJ64" s="525"/>
      <c r="CK64" s="528">
        <f t="shared" si="6"/>
        <v>0</v>
      </c>
      <c r="CL64" s="526"/>
      <c r="CM64" s="525"/>
      <c r="CN64" s="525"/>
      <c r="CO64" s="525"/>
      <c r="CP64" s="525"/>
      <c r="CQ64" s="525"/>
      <c r="CR64" s="525"/>
      <c r="CS64" s="525"/>
      <c r="CT64" s="525"/>
      <c r="CU64" s="525"/>
      <c r="CV64" s="525"/>
      <c r="CW64" s="525"/>
      <c r="CX64" s="528">
        <f t="shared" si="10"/>
        <v>0</v>
      </c>
      <c r="CY64" s="881"/>
      <c r="CZ64" s="541"/>
      <c r="DA64" s="541"/>
      <c r="DB64" s="541"/>
      <c r="DC64" s="541"/>
      <c r="DD64" s="541"/>
      <c r="DE64" s="541"/>
      <c r="DF64" s="541"/>
      <c r="DG64" s="541"/>
      <c r="DK64" s="528">
        <f t="shared" si="11"/>
        <v>0</v>
      </c>
      <c r="DX64" s="519">
        <f t="shared" si="12"/>
        <v>0</v>
      </c>
    </row>
    <row r="65" spans="2:128" ht="15">
      <c r="B65" s="480" t="s">
        <v>53</v>
      </c>
      <c r="C65" s="538"/>
      <c r="D65" s="538"/>
      <c r="E65" s="538"/>
      <c r="F65" s="538"/>
      <c r="G65" s="538"/>
      <c r="H65" s="538"/>
      <c r="I65" s="538"/>
      <c r="J65" s="538"/>
      <c r="K65" s="538"/>
      <c r="L65" s="538"/>
      <c r="M65" s="538"/>
      <c r="N65" s="538"/>
      <c r="O65" s="514">
        <f t="shared" si="3"/>
        <v>0</v>
      </c>
      <c r="P65" s="623"/>
      <c r="Q65" s="623"/>
      <c r="R65" s="623"/>
      <c r="S65" s="623"/>
      <c r="T65" s="623"/>
      <c r="U65" s="534">
        <v>1512.5</v>
      </c>
      <c r="V65" s="534"/>
      <c r="W65" s="544"/>
      <c r="X65" s="623"/>
      <c r="Y65" s="623"/>
      <c r="Z65" s="525"/>
      <c r="AA65" s="534"/>
      <c r="AB65" s="605">
        <f t="shared" si="4"/>
        <v>1512.5</v>
      </c>
      <c r="AC65" s="613"/>
      <c r="AD65" s="534"/>
      <c r="AE65" s="630"/>
      <c r="AF65" s="534"/>
      <c r="AG65" s="630"/>
      <c r="AH65" s="616"/>
      <c r="AI65" s="630"/>
      <c r="AJ65" s="626"/>
      <c r="AK65" s="607">
        <f t="shared" si="7"/>
        <v>0</v>
      </c>
      <c r="AL65" s="628"/>
      <c r="AM65" s="634"/>
      <c r="AN65" s="628"/>
      <c r="AO65" s="628"/>
      <c r="AP65" s="525"/>
      <c r="AQ65" s="525"/>
      <c r="AR65" s="525"/>
      <c r="AS65" s="525"/>
      <c r="AT65" s="525"/>
      <c r="AU65" s="525"/>
      <c r="AV65" s="525"/>
      <c r="AW65" s="525"/>
      <c r="AX65" s="528">
        <f t="shared" si="14"/>
        <v>0</v>
      </c>
      <c r="AY65" s="606"/>
      <c r="AZ65" s="525"/>
      <c r="BA65" s="525"/>
      <c r="BB65" s="525"/>
      <c r="BC65" s="525"/>
      <c r="BD65" s="525"/>
      <c r="BE65" s="525"/>
      <c r="BF65" s="525"/>
      <c r="BG65" s="525"/>
      <c r="BH65" s="563"/>
      <c r="BI65" s="525"/>
      <c r="BJ65" s="608"/>
      <c r="BK65" s="528">
        <f t="shared" si="13"/>
        <v>0</v>
      </c>
      <c r="BL65" s="614"/>
      <c r="BM65" s="533"/>
      <c r="BN65" s="535"/>
      <c r="BO65" s="533"/>
      <c r="BP65" s="533"/>
      <c r="BQ65" s="535"/>
      <c r="BR65" s="533"/>
      <c r="BS65" s="533"/>
      <c r="BT65" s="533"/>
      <c r="BU65" s="533"/>
      <c r="BV65" s="533"/>
      <c r="BW65" s="618"/>
      <c r="BX65" s="528">
        <f t="shared" si="9"/>
        <v>0</v>
      </c>
      <c r="BY65" s="525"/>
      <c r="BZ65" s="525"/>
      <c r="CA65" s="525"/>
      <c r="CB65" s="525"/>
      <c r="CC65" s="525"/>
      <c r="CD65" s="525"/>
      <c r="CE65" s="525"/>
      <c r="CF65" s="525"/>
      <c r="CG65" s="525"/>
      <c r="CH65" s="525"/>
      <c r="CI65" s="525"/>
      <c r="CJ65" s="525"/>
      <c r="CK65" s="528">
        <f t="shared" si="6"/>
        <v>0</v>
      </c>
      <c r="CL65" s="526"/>
      <c r="CM65" s="525"/>
      <c r="CN65" s="525"/>
      <c r="CO65" s="525"/>
      <c r="CP65" s="525"/>
      <c r="CQ65" s="525"/>
      <c r="CR65" s="525"/>
      <c r="CS65" s="525"/>
      <c r="CT65" s="525"/>
      <c r="CU65" s="525"/>
      <c r="CV65" s="525"/>
      <c r="CW65" s="525"/>
      <c r="CX65" s="528">
        <f t="shared" si="10"/>
        <v>0</v>
      </c>
      <c r="CY65" s="881"/>
      <c r="CZ65" s="541"/>
      <c r="DA65" s="541"/>
      <c r="DB65" s="541"/>
      <c r="DC65" s="541"/>
      <c r="DD65" s="541"/>
      <c r="DE65" s="541"/>
      <c r="DF65" s="541"/>
      <c r="DG65" s="541"/>
      <c r="DK65" s="528">
        <f t="shared" si="11"/>
        <v>0</v>
      </c>
      <c r="DX65" s="519">
        <f t="shared" si="12"/>
        <v>0</v>
      </c>
    </row>
    <row r="66" spans="2:128" ht="15">
      <c r="B66" s="480" t="s">
        <v>165</v>
      </c>
      <c r="C66" s="538"/>
      <c r="D66" s="538"/>
      <c r="E66" s="538"/>
      <c r="F66" s="538"/>
      <c r="G66" s="538"/>
      <c r="H66" s="538"/>
      <c r="I66" s="538"/>
      <c r="J66" s="538"/>
      <c r="K66" s="538"/>
      <c r="L66" s="538"/>
      <c r="M66" s="538"/>
      <c r="N66" s="538"/>
      <c r="O66" s="514">
        <f t="shared" si="3"/>
        <v>0</v>
      </c>
      <c r="P66" s="623"/>
      <c r="Q66" s="623"/>
      <c r="R66" s="623"/>
      <c r="S66" s="623"/>
      <c r="T66" s="623"/>
      <c r="U66" s="534"/>
      <c r="V66" s="534"/>
      <c r="W66" s="544">
        <v>238.55</v>
      </c>
      <c r="X66" s="623"/>
      <c r="Y66" s="623"/>
      <c r="Z66" s="525"/>
      <c r="AA66" s="534"/>
      <c r="AB66" s="605">
        <f t="shared" si="4"/>
        <v>238.55</v>
      </c>
      <c r="AC66" s="609">
        <f>720.83</f>
        <v>720.83</v>
      </c>
      <c r="AD66" s="534"/>
      <c r="AE66" s="630"/>
      <c r="AF66" s="534"/>
      <c r="AG66" s="544">
        <f>215.93</f>
        <v>215.93</v>
      </c>
      <c r="AH66" s="616"/>
      <c r="AI66" s="630"/>
      <c r="AJ66" s="626"/>
      <c r="AK66" s="607">
        <f t="shared" si="7"/>
        <v>936.76</v>
      </c>
      <c r="AL66" s="628"/>
      <c r="AM66" s="634"/>
      <c r="AN66" s="628"/>
      <c r="AO66" s="628"/>
      <c r="AP66" s="525"/>
      <c r="AQ66" s="525"/>
      <c r="AR66" s="525"/>
      <c r="AS66" s="525"/>
      <c r="AT66" s="525"/>
      <c r="AU66" s="525"/>
      <c r="AV66" s="525"/>
      <c r="AW66" s="525"/>
      <c r="AX66" s="528">
        <f t="shared" si="14"/>
        <v>0</v>
      </c>
      <c r="AY66" s="606"/>
      <c r="AZ66" s="525"/>
      <c r="BA66" s="525"/>
      <c r="BB66" s="525"/>
      <c r="BC66" s="525"/>
      <c r="BD66" s="525"/>
      <c r="BE66" s="544">
        <v>650</v>
      </c>
      <c r="BF66" s="525"/>
      <c r="BG66" s="525"/>
      <c r="BH66" s="563"/>
      <c r="BI66" s="525"/>
      <c r="BJ66" s="608"/>
      <c r="BK66" s="528">
        <f t="shared" si="13"/>
        <v>650</v>
      </c>
      <c r="BL66" s="614"/>
      <c r="BM66" s="533"/>
      <c r="BN66" s="535"/>
      <c r="BO66" s="533"/>
      <c r="BP66" s="533"/>
      <c r="BQ66" s="535"/>
      <c r="BR66" s="533"/>
      <c r="BS66" s="533"/>
      <c r="BT66" s="533"/>
      <c r="BU66" s="533"/>
      <c r="BV66" s="533"/>
      <c r="BW66" s="544">
        <v>273.33</v>
      </c>
      <c r="BX66" s="528">
        <f t="shared" si="9"/>
        <v>273.33</v>
      </c>
      <c r="BY66" s="525"/>
      <c r="BZ66" s="525"/>
      <c r="CA66" s="525"/>
      <c r="CB66" s="525"/>
      <c r="CC66" s="525"/>
      <c r="CD66" s="525"/>
      <c r="CE66" s="525"/>
      <c r="CF66" s="525"/>
      <c r="CG66" s="525"/>
      <c r="CH66" s="525"/>
      <c r="CI66" s="525"/>
      <c r="CJ66" s="525"/>
      <c r="CK66" s="528">
        <f t="shared" si="6"/>
        <v>0</v>
      </c>
      <c r="CL66" s="526"/>
      <c r="CM66" s="525"/>
      <c r="CN66" s="525"/>
      <c r="CO66" s="525"/>
      <c r="CP66" s="525"/>
      <c r="CQ66" s="525"/>
      <c r="CR66" s="525"/>
      <c r="CS66" s="525"/>
      <c r="CT66" s="525"/>
      <c r="CU66" s="525"/>
      <c r="CV66" s="525"/>
      <c r="CW66" s="525"/>
      <c r="CX66" s="528">
        <f t="shared" si="10"/>
        <v>0</v>
      </c>
      <c r="CY66" s="881"/>
      <c r="CZ66" s="541"/>
      <c r="DA66" s="541"/>
      <c r="DB66" s="541"/>
      <c r="DC66" s="541"/>
      <c r="DD66" s="541"/>
      <c r="DE66" s="541"/>
      <c r="DF66" s="541"/>
      <c r="DG66" s="541"/>
      <c r="DK66" s="528">
        <f t="shared" si="11"/>
        <v>0</v>
      </c>
      <c r="DX66" s="519">
        <f t="shared" si="12"/>
        <v>0</v>
      </c>
    </row>
    <row r="67" spans="2:128" ht="15">
      <c r="B67" s="480" t="s">
        <v>166</v>
      </c>
      <c r="C67" s="538"/>
      <c r="D67" s="538"/>
      <c r="E67" s="538"/>
      <c r="F67" s="538"/>
      <c r="G67" s="538"/>
      <c r="H67" s="538"/>
      <c r="I67" s="538"/>
      <c r="J67" s="538"/>
      <c r="K67" s="538"/>
      <c r="L67" s="538"/>
      <c r="M67" s="538"/>
      <c r="N67" s="538"/>
      <c r="O67" s="514">
        <f>SUM(C67:N67)</f>
        <v>0</v>
      </c>
      <c r="P67" s="623"/>
      <c r="Q67" s="623"/>
      <c r="R67" s="623"/>
      <c r="S67" s="623"/>
      <c r="T67" s="623"/>
      <c r="U67" s="623"/>
      <c r="V67" s="534"/>
      <c r="W67" s="544"/>
      <c r="X67" s="623"/>
      <c r="Y67" s="623"/>
      <c r="Z67" s="525"/>
      <c r="AA67" s="534"/>
      <c r="AB67" s="605">
        <f>SUM(P67:AA67)</f>
        <v>0</v>
      </c>
      <c r="AC67" s="613"/>
      <c r="AD67" s="534"/>
      <c r="AE67" s="630"/>
      <c r="AF67" s="534"/>
      <c r="AG67" s="630"/>
      <c r="AH67" s="534"/>
      <c r="AI67" s="534"/>
      <c r="AJ67" s="534"/>
      <c r="AK67" s="607">
        <f t="shared" si="7"/>
        <v>0</v>
      </c>
      <c r="AL67" s="544">
        <v>19508</v>
      </c>
      <c r="AM67" s="544">
        <v>2782.5</v>
      </c>
      <c r="AN67" s="628"/>
      <c r="AO67" s="628"/>
      <c r="AP67" s="525"/>
      <c r="AQ67" s="525"/>
      <c r="AR67" s="525"/>
      <c r="AS67" s="525"/>
      <c r="AT67" s="525"/>
      <c r="AU67" s="525"/>
      <c r="AV67" s="525"/>
      <c r="AW67" s="525"/>
      <c r="AX67" s="528">
        <f>SUM(AL67:AW67)</f>
        <v>22290.5</v>
      </c>
      <c r="AY67" s="606"/>
      <c r="AZ67" s="525"/>
      <c r="BA67" s="525"/>
      <c r="BB67" s="525"/>
      <c r="BC67" s="525"/>
      <c r="BD67" s="525"/>
      <c r="BE67" s="525"/>
      <c r="BF67" s="525"/>
      <c r="BG67" s="525"/>
      <c r="BH67" s="563"/>
      <c r="BI67" s="525"/>
      <c r="BJ67" s="608"/>
      <c r="BK67" s="528">
        <f t="shared" si="13"/>
        <v>0</v>
      </c>
      <c r="BL67" s="614"/>
      <c r="BM67" s="533"/>
      <c r="BN67" s="535"/>
      <c r="BO67" s="533"/>
      <c r="BP67" s="533"/>
      <c r="BQ67" s="535"/>
      <c r="BR67" s="533"/>
      <c r="BS67" s="533"/>
      <c r="BT67" s="533"/>
      <c r="BU67" s="533"/>
      <c r="BV67" s="533"/>
      <c r="BW67" s="618"/>
      <c r="BX67" s="528">
        <f t="shared" si="9"/>
        <v>0</v>
      </c>
      <c r="BY67" s="525"/>
      <c r="BZ67" s="525"/>
      <c r="CA67" s="525"/>
      <c r="CB67" s="525"/>
      <c r="CC67" s="525"/>
      <c r="CD67" s="525"/>
      <c r="CE67" s="525"/>
      <c r="CF67" s="525"/>
      <c r="CG67" s="525"/>
      <c r="CH67" s="525"/>
      <c r="CI67" s="525"/>
      <c r="CJ67" s="525"/>
      <c r="CK67" s="528">
        <f t="shared" si="6"/>
        <v>0</v>
      </c>
      <c r="CL67" s="526"/>
      <c r="CM67" s="525"/>
      <c r="CN67" s="525"/>
      <c r="CO67" s="525"/>
      <c r="CP67" s="525"/>
      <c r="CQ67" s="525"/>
      <c r="CR67" s="525"/>
      <c r="CS67" s="525"/>
      <c r="CT67" s="525"/>
      <c r="CU67" s="525"/>
      <c r="CV67" s="525"/>
      <c r="CW67" s="525"/>
      <c r="CX67" s="528">
        <f t="shared" si="10"/>
        <v>0</v>
      </c>
      <c r="CY67" s="881"/>
      <c r="CZ67" s="541"/>
      <c r="DA67" s="541"/>
      <c r="DB67" s="541"/>
      <c r="DC67" s="541"/>
      <c r="DD67" s="541"/>
      <c r="DE67" s="541"/>
      <c r="DF67" s="541"/>
      <c r="DG67" s="541"/>
      <c r="DK67" s="528">
        <f t="shared" si="11"/>
        <v>0</v>
      </c>
      <c r="DX67" s="519">
        <f t="shared" si="12"/>
        <v>0</v>
      </c>
    </row>
    <row r="68" spans="2:128" ht="15">
      <c r="B68" s="480" t="s">
        <v>167</v>
      </c>
      <c r="C68" s="538"/>
      <c r="D68" s="538"/>
      <c r="E68" s="538"/>
      <c r="F68" s="538"/>
      <c r="G68" s="538"/>
      <c r="H68" s="538"/>
      <c r="I68" s="538"/>
      <c r="J68" s="538"/>
      <c r="K68" s="538"/>
      <c r="L68" s="538"/>
      <c r="M68" s="538"/>
      <c r="N68" s="538"/>
      <c r="O68" s="514"/>
      <c r="P68" s="623"/>
      <c r="Q68" s="623"/>
      <c r="R68" s="623"/>
      <c r="S68" s="623"/>
      <c r="T68" s="623"/>
      <c r="U68" s="623"/>
      <c r="V68" s="534"/>
      <c r="W68" s="544"/>
      <c r="X68" s="623"/>
      <c r="Y68" s="623"/>
      <c r="Z68" s="525"/>
      <c r="AA68" s="534"/>
      <c r="AB68" s="605">
        <f>SUM(P68:AA68)</f>
        <v>0</v>
      </c>
      <c r="AC68" s="613"/>
      <c r="AD68" s="534"/>
      <c r="AE68" s="630"/>
      <c r="AF68" s="534"/>
      <c r="AG68" s="630"/>
      <c r="AH68" s="534"/>
      <c r="AI68" s="534"/>
      <c r="AJ68" s="534"/>
      <c r="AK68" s="607">
        <f t="shared" si="7"/>
        <v>0</v>
      </c>
      <c r="AL68" s="544"/>
      <c r="AM68" s="544"/>
      <c r="AN68" s="628"/>
      <c r="AO68" s="627">
        <f>2201.63*1.21</f>
        <v>2663.9722999999999</v>
      </c>
      <c r="AP68" s="525"/>
      <c r="AQ68" s="525"/>
      <c r="AR68" s="525"/>
      <c r="AS68" s="525"/>
      <c r="AT68" s="525"/>
      <c r="AU68" s="525"/>
      <c r="AV68" s="525"/>
      <c r="AW68" s="525"/>
      <c r="AX68" s="528">
        <f>SUM(AL68:AW68)</f>
        <v>2663.9722999999999</v>
      </c>
      <c r="AY68" s="606"/>
      <c r="AZ68" s="525"/>
      <c r="BA68" s="525"/>
      <c r="BB68" s="525"/>
      <c r="BC68" s="525"/>
      <c r="BD68" s="525"/>
      <c r="BE68" s="525"/>
      <c r="BF68" s="525"/>
      <c r="BG68" s="525"/>
      <c r="BH68" s="563"/>
      <c r="BI68" s="525"/>
      <c r="BJ68" s="608"/>
      <c r="BK68" s="528">
        <f t="shared" si="13"/>
        <v>0</v>
      </c>
      <c r="BL68" s="614"/>
      <c r="BM68" s="533"/>
      <c r="BN68" s="535"/>
      <c r="BO68" s="533"/>
      <c r="BP68" s="533"/>
      <c r="BQ68" s="535"/>
      <c r="BR68" s="533"/>
      <c r="BS68" s="533"/>
      <c r="BT68" s="533"/>
      <c r="BU68" s="533"/>
      <c r="BV68" s="533"/>
      <c r="BW68" s="618"/>
      <c r="BX68" s="528">
        <f t="shared" si="9"/>
        <v>0</v>
      </c>
      <c r="BY68" s="525"/>
      <c r="BZ68" s="525"/>
      <c r="CA68" s="525"/>
      <c r="CB68" s="525"/>
      <c r="CC68" s="525"/>
      <c r="CD68" s="525"/>
      <c r="CE68" s="525"/>
      <c r="CF68" s="525"/>
      <c r="CG68" s="525"/>
      <c r="CH68" s="525"/>
      <c r="CI68" s="525"/>
      <c r="CJ68" s="525"/>
      <c r="CK68" s="528">
        <f t="shared" si="6"/>
        <v>0</v>
      </c>
      <c r="CL68" s="526"/>
      <c r="CM68" s="525"/>
      <c r="CN68" s="525"/>
      <c r="CO68" s="525"/>
      <c r="CP68" s="525"/>
      <c r="CQ68" s="525"/>
      <c r="CR68" s="525"/>
      <c r="CS68" s="525"/>
      <c r="CT68" s="525"/>
      <c r="CU68" s="525"/>
      <c r="CV68" s="525"/>
      <c r="CW68" s="525"/>
      <c r="CX68" s="528">
        <f t="shared" si="10"/>
        <v>0</v>
      </c>
      <c r="CY68" s="881"/>
      <c r="CZ68" s="541"/>
      <c r="DA68" s="541"/>
      <c r="DB68" s="541"/>
      <c r="DC68" s="541"/>
      <c r="DD68" s="541"/>
      <c r="DE68" s="541"/>
      <c r="DF68" s="541"/>
      <c r="DG68" s="541"/>
      <c r="DK68" s="528">
        <f t="shared" si="11"/>
        <v>0</v>
      </c>
      <c r="DX68" s="519">
        <f t="shared" si="12"/>
        <v>0</v>
      </c>
    </row>
    <row r="69" spans="2:128" ht="15">
      <c r="B69" s="480" t="s">
        <v>615</v>
      </c>
      <c r="C69" s="538"/>
      <c r="D69" s="538"/>
      <c r="E69" s="538"/>
      <c r="F69" s="538"/>
      <c r="G69" s="538"/>
      <c r="H69" s="538"/>
      <c r="I69" s="538"/>
      <c r="J69" s="538"/>
      <c r="K69" s="538"/>
      <c r="L69" s="538"/>
      <c r="M69" s="538"/>
      <c r="N69" s="538"/>
      <c r="O69" s="514"/>
      <c r="P69" s="623"/>
      <c r="Q69" s="623"/>
      <c r="R69" s="623"/>
      <c r="S69" s="623"/>
      <c r="T69" s="623"/>
      <c r="U69" s="623"/>
      <c r="V69" s="534"/>
      <c r="W69" s="544"/>
      <c r="X69" s="623"/>
      <c r="Y69" s="623"/>
      <c r="Z69" s="525"/>
      <c r="AA69" s="534"/>
      <c r="AB69" s="605"/>
      <c r="AC69" s="613"/>
      <c r="AD69" s="534"/>
      <c r="AE69" s="630"/>
      <c r="AF69" s="534"/>
      <c r="AG69" s="630"/>
      <c r="AH69" s="534"/>
      <c r="AI69" s="534"/>
      <c r="AJ69" s="534"/>
      <c r="AK69" s="607"/>
      <c r="AL69" s="544"/>
      <c r="AM69" s="544"/>
      <c r="AN69" s="628"/>
      <c r="AO69" s="627"/>
      <c r="AP69" s="525"/>
      <c r="AQ69" s="525"/>
      <c r="AR69" s="525"/>
      <c r="AS69" s="525"/>
      <c r="AT69" s="525"/>
      <c r="AU69" s="525"/>
      <c r="AV69" s="525"/>
      <c r="AW69" s="525"/>
      <c r="AX69" s="528"/>
      <c r="AY69" s="606"/>
      <c r="AZ69" s="525"/>
      <c r="BA69" s="525"/>
      <c r="BB69" s="525"/>
      <c r="BC69" s="525"/>
      <c r="BD69" s="525"/>
      <c r="BE69" s="525"/>
      <c r="BF69" s="525"/>
      <c r="BG69" s="525"/>
      <c r="BH69" s="563"/>
      <c r="BI69" s="525"/>
      <c r="BJ69" s="608"/>
      <c r="BK69" s="528"/>
      <c r="BL69" s="614"/>
      <c r="BM69" s="533"/>
      <c r="BN69" s="535"/>
      <c r="BO69" s="533"/>
      <c r="BP69" s="533"/>
      <c r="BQ69" s="535"/>
      <c r="BR69" s="533"/>
      <c r="BS69" s="533"/>
      <c r="BT69" s="533"/>
      <c r="BU69" s="533"/>
      <c r="BV69" s="533"/>
      <c r="BW69" s="618"/>
      <c r="BX69" s="528"/>
      <c r="BY69" s="525"/>
      <c r="BZ69" s="525"/>
      <c r="CA69" s="525"/>
      <c r="CB69" s="525"/>
      <c r="CC69" s="525"/>
      <c r="CD69" s="525"/>
      <c r="CE69" s="525"/>
      <c r="CF69" s="525"/>
      <c r="CG69" s="525"/>
      <c r="CH69" s="525"/>
      <c r="CI69" s="525"/>
      <c r="CJ69" s="525"/>
      <c r="CK69" s="528">
        <f t="shared" si="6"/>
        <v>0</v>
      </c>
      <c r="CL69" s="526"/>
      <c r="CM69" s="525"/>
      <c r="CN69" s="525"/>
      <c r="CO69" s="525"/>
      <c r="CP69" s="525"/>
      <c r="CQ69" s="525"/>
      <c r="CR69" s="525"/>
      <c r="CS69" s="525"/>
      <c r="CT69" s="525"/>
      <c r="CU69" s="534">
        <f>(5980-5)</f>
        <v>5975</v>
      </c>
      <c r="CV69" s="534">
        <f>(10000-5)</f>
        <v>9995</v>
      </c>
      <c r="CW69" s="525"/>
      <c r="CX69" s="528">
        <f t="shared" si="10"/>
        <v>15970</v>
      </c>
      <c r="CY69" s="541"/>
      <c r="CZ69" s="541"/>
      <c r="DA69" s="541"/>
      <c r="DB69" s="541"/>
      <c r="DC69" s="541"/>
      <c r="DD69" s="541"/>
      <c r="DE69" s="541"/>
      <c r="DF69" s="541"/>
      <c r="DG69" s="541"/>
      <c r="DI69" s="527">
        <f>13920-2135</f>
        <v>11785</v>
      </c>
      <c r="DK69" s="528">
        <f>SUM(DI69:DJ69)</f>
        <v>11785</v>
      </c>
      <c r="DX69" s="519">
        <f t="shared" si="12"/>
        <v>0</v>
      </c>
    </row>
    <row r="70" spans="2:128" ht="15">
      <c r="B70" s="560" t="s">
        <v>168</v>
      </c>
      <c r="C70" s="538"/>
      <c r="D70" s="538"/>
      <c r="E70" s="538"/>
      <c r="F70" s="538"/>
      <c r="G70" s="538"/>
      <c r="H70" s="538"/>
      <c r="I70" s="538"/>
      <c r="J70" s="538"/>
      <c r="K70" s="538"/>
      <c r="L70" s="538"/>
      <c r="M70" s="538"/>
      <c r="N70" s="538"/>
      <c r="O70" s="514">
        <f t="shared" si="3"/>
        <v>0</v>
      </c>
      <c r="P70" s="623"/>
      <c r="Q70" s="623"/>
      <c r="R70" s="623"/>
      <c r="S70" s="623"/>
      <c r="T70" s="623"/>
      <c r="U70" s="623"/>
      <c r="V70" s="534"/>
      <c r="W70" s="544"/>
      <c r="X70" s="623"/>
      <c r="Y70" s="623"/>
      <c r="Z70" s="525"/>
      <c r="AA70" s="534"/>
      <c r="AB70" s="605"/>
      <c r="AC70" s="613"/>
      <c r="AD70" s="534"/>
      <c r="AE70" s="630"/>
      <c r="AF70" s="534"/>
      <c r="AG70" s="630"/>
      <c r="AH70" s="616"/>
      <c r="AI70" s="630"/>
      <c r="AJ70" s="626"/>
      <c r="AK70" s="607"/>
      <c r="AL70" s="628"/>
      <c r="AM70" s="634"/>
      <c r="AN70" s="628"/>
      <c r="AO70" s="628"/>
      <c r="AP70" s="525"/>
      <c r="AQ70" s="525"/>
      <c r="AR70" s="525"/>
      <c r="AS70" s="525"/>
      <c r="AT70" s="525"/>
      <c r="AU70" s="525"/>
      <c r="AV70" s="525"/>
      <c r="AW70" s="525"/>
      <c r="AX70" s="528"/>
      <c r="AY70" s="606"/>
      <c r="AZ70" s="525"/>
      <c r="BA70" s="525"/>
      <c r="BB70" s="525"/>
      <c r="BC70" s="525"/>
      <c r="BD70" s="525"/>
      <c r="BE70" s="525"/>
      <c r="BF70" s="525"/>
      <c r="BG70" s="525"/>
      <c r="BH70" s="563"/>
      <c r="BI70" s="525"/>
      <c r="BJ70" s="608"/>
      <c r="BK70" s="528"/>
      <c r="BL70" s="614"/>
      <c r="BM70" s="533"/>
      <c r="BN70" s="535"/>
      <c r="BO70" s="533"/>
      <c r="BP70" s="533"/>
      <c r="BQ70" s="535"/>
      <c r="BR70" s="533"/>
      <c r="BS70" s="533"/>
      <c r="BT70" s="533"/>
      <c r="BU70" s="533"/>
      <c r="BV70" s="533"/>
      <c r="BW70" s="618"/>
      <c r="BX70" s="528">
        <f t="shared" si="9"/>
        <v>0</v>
      </c>
      <c r="BY70" s="525"/>
      <c r="BZ70" s="525"/>
      <c r="CA70" s="525"/>
      <c r="CB70" s="525"/>
      <c r="CC70" s="525"/>
      <c r="CD70" s="525"/>
      <c r="CE70" s="525"/>
      <c r="CF70" s="525"/>
      <c r="CG70" s="525"/>
      <c r="CH70" s="525"/>
      <c r="CI70" s="525"/>
      <c r="CJ70" s="525"/>
      <c r="CK70" s="528">
        <f t="shared" si="6"/>
        <v>0</v>
      </c>
      <c r="CL70" s="526"/>
      <c r="CM70" s="525"/>
      <c r="CN70" s="525"/>
      <c r="CO70" s="525"/>
      <c r="CP70" s="525"/>
      <c r="CQ70" s="525"/>
      <c r="CR70" s="525"/>
      <c r="CS70" s="525"/>
      <c r="CT70" s="525"/>
      <c r="CU70" s="525"/>
      <c r="CV70" s="525"/>
      <c r="CW70" s="525"/>
      <c r="CX70" s="528">
        <f t="shared" si="10"/>
        <v>0</v>
      </c>
      <c r="CY70" s="881"/>
      <c r="CZ70" s="541"/>
      <c r="DA70" s="541"/>
      <c r="DB70" s="541"/>
      <c r="DC70" s="541"/>
      <c r="DD70" s="541"/>
      <c r="DE70" s="541"/>
      <c r="DF70" s="541"/>
      <c r="DG70" s="541"/>
      <c r="DK70" s="528">
        <f t="shared" si="11"/>
        <v>0</v>
      </c>
      <c r="DX70" s="519">
        <f t="shared" si="12"/>
        <v>0</v>
      </c>
    </row>
    <row r="71" spans="2:128" ht="15">
      <c r="B71" s="589" t="s">
        <v>30</v>
      </c>
      <c r="C71" s="538"/>
      <c r="D71" s="538"/>
      <c r="E71" s="538"/>
      <c r="F71" s="538"/>
      <c r="G71" s="538"/>
      <c r="H71" s="538"/>
      <c r="I71" s="538"/>
      <c r="J71" s="538"/>
      <c r="K71" s="538"/>
      <c r="L71" s="538"/>
      <c r="M71" s="538"/>
      <c r="N71" s="538"/>
      <c r="O71" s="514">
        <f t="shared" si="3"/>
        <v>0</v>
      </c>
      <c r="P71" s="623"/>
      <c r="Q71" s="623"/>
      <c r="R71" s="623"/>
      <c r="S71" s="623"/>
      <c r="T71" s="623"/>
      <c r="U71" s="623"/>
      <c r="V71" s="534">
        <f>1174.58</f>
        <v>1174.58</v>
      </c>
      <c r="W71" s="544"/>
      <c r="X71" s="623"/>
      <c r="Y71" s="623"/>
      <c r="Z71" s="525"/>
      <c r="AA71" s="534"/>
      <c r="AB71" s="605">
        <f t="shared" si="4"/>
        <v>1174.58</v>
      </c>
      <c r="AC71" s="606"/>
      <c r="AD71" s="525"/>
      <c r="AE71" s="630"/>
      <c r="AF71" s="525"/>
      <c r="AG71" s="634"/>
      <c r="AH71" s="617"/>
      <c r="AI71" s="634"/>
      <c r="AJ71" s="628"/>
      <c r="AK71" s="607">
        <f t="shared" si="7"/>
        <v>0</v>
      </c>
      <c r="AL71" s="628"/>
      <c r="AM71" s="634"/>
      <c r="AN71" s="628"/>
      <c r="AO71" s="628"/>
      <c r="AP71" s="525"/>
      <c r="AQ71" s="525"/>
      <c r="AR71" s="525"/>
      <c r="AS71" s="525"/>
      <c r="AT71" s="525"/>
      <c r="AU71" s="525"/>
      <c r="AV71" s="525"/>
      <c r="AW71" s="525"/>
      <c r="AX71" s="528">
        <f t="shared" si="14"/>
        <v>0</v>
      </c>
      <c r="AY71" s="606"/>
      <c r="AZ71" s="525"/>
      <c r="BA71" s="525"/>
      <c r="BB71" s="525"/>
      <c r="BC71" s="525"/>
      <c r="BD71" s="525"/>
      <c r="BE71" s="525"/>
      <c r="BF71" s="525"/>
      <c r="BG71" s="525"/>
      <c r="BH71" s="563"/>
      <c r="BI71" s="525"/>
      <c r="BJ71" s="608"/>
      <c r="BK71" s="528">
        <f t="shared" si="13"/>
        <v>0</v>
      </c>
      <c r="BL71" s="614"/>
      <c r="BM71" s="533"/>
      <c r="BN71" s="535"/>
      <c r="BO71" s="533"/>
      <c r="BP71" s="533"/>
      <c r="BQ71" s="535"/>
      <c r="BR71" s="533"/>
      <c r="BS71" s="533"/>
      <c r="BT71" s="533"/>
      <c r="BU71" s="533"/>
      <c r="BV71" s="533"/>
      <c r="BW71" s="618"/>
      <c r="BX71" s="528">
        <f t="shared" si="9"/>
        <v>0</v>
      </c>
      <c r="BY71" s="525"/>
      <c r="BZ71" s="525"/>
      <c r="CA71" s="525"/>
      <c r="CB71" s="525"/>
      <c r="CC71" s="525"/>
      <c r="CD71" s="525"/>
      <c r="CE71" s="525"/>
      <c r="CF71" s="525"/>
      <c r="CG71" s="525"/>
      <c r="CH71" s="525"/>
      <c r="CI71" s="525"/>
      <c r="CJ71" s="525"/>
      <c r="CK71" s="528">
        <f t="shared" si="6"/>
        <v>0</v>
      </c>
      <c r="CL71" s="526"/>
      <c r="CM71" s="525"/>
      <c r="CN71" s="525"/>
      <c r="CO71" s="525"/>
      <c r="CP71" s="525"/>
      <c r="CQ71" s="525"/>
      <c r="CR71" s="525"/>
      <c r="CS71" s="525"/>
      <c r="CT71" s="525"/>
      <c r="CU71" s="525"/>
      <c r="CV71" s="525"/>
      <c r="CW71" s="525"/>
      <c r="CX71" s="528">
        <f t="shared" si="10"/>
        <v>0</v>
      </c>
      <c r="CY71" s="881"/>
      <c r="CZ71" s="541"/>
      <c r="DA71" s="541"/>
      <c r="DB71" s="541"/>
      <c r="DC71" s="541"/>
      <c r="DD71" s="541"/>
      <c r="DE71" s="541"/>
      <c r="DF71" s="541"/>
      <c r="DG71" s="541"/>
      <c r="DK71" s="528">
        <f t="shared" si="11"/>
        <v>0</v>
      </c>
      <c r="DX71" s="519">
        <f t="shared" si="12"/>
        <v>0</v>
      </c>
    </row>
    <row r="72" spans="2:128" ht="15">
      <c r="B72" s="480" t="s">
        <v>169</v>
      </c>
      <c r="C72" s="538"/>
      <c r="D72" s="538"/>
      <c r="E72" s="538"/>
      <c r="F72" s="538"/>
      <c r="G72" s="538"/>
      <c r="H72" s="538"/>
      <c r="I72" s="538"/>
      <c r="J72" s="538"/>
      <c r="K72" s="538"/>
      <c r="L72" s="538"/>
      <c r="M72" s="538"/>
      <c r="N72" s="538"/>
      <c r="O72" s="514">
        <f t="shared" si="3"/>
        <v>0</v>
      </c>
      <c r="P72" s="623"/>
      <c r="Q72" s="623"/>
      <c r="R72" s="623"/>
      <c r="S72" s="623"/>
      <c r="T72" s="623"/>
      <c r="U72" s="623"/>
      <c r="V72" s="534">
        <f>1203.1+4975.49</f>
        <v>6178.59</v>
      </c>
      <c r="W72" s="544">
        <f>2294.62+5739.08</f>
        <v>8033.7</v>
      </c>
      <c r="X72" s="623"/>
      <c r="Y72" s="623"/>
      <c r="Z72" s="525"/>
      <c r="AA72" s="534"/>
      <c r="AB72" s="605">
        <f t="shared" si="4"/>
        <v>14212.29</v>
      </c>
      <c r="AC72" s="606"/>
      <c r="AD72" s="525"/>
      <c r="AE72" s="630"/>
      <c r="AF72" s="525"/>
      <c r="AG72" s="634"/>
      <c r="AH72" s="617"/>
      <c r="AI72" s="634"/>
      <c r="AJ72" s="628"/>
      <c r="AK72" s="607">
        <f t="shared" si="7"/>
        <v>0</v>
      </c>
      <c r="AL72" s="628"/>
      <c r="AM72" s="634"/>
      <c r="AN72" s="628"/>
      <c r="AO72" s="628"/>
      <c r="AP72" s="525"/>
      <c r="AQ72" s="525"/>
      <c r="AR72" s="525"/>
      <c r="AS72" s="525"/>
      <c r="AT72" s="525"/>
      <c r="AU72" s="525"/>
      <c r="AV72" s="525"/>
      <c r="AW72" s="525"/>
      <c r="AX72" s="528">
        <f t="shared" si="14"/>
        <v>0</v>
      </c>
      <c r="AY72" s="606"/>
      <c r="AZ72" s="525"/>
      <c r="BA72" s="525"/>
      <c r="BB72" s="525"/>
      <c r="BC72" s="525"/>
      <c r="BD72" s="525"/>
      <c r="BE72" s="525"/>
      <c r="BF72" s="525"/>
      <c r="BG72" s="525"/>
      <c r="BH72" s="563"/>
      <c r="BI72" s="525"/>
      <c r="BJ72" s="608"/>
      <c r="BK72" s="528">
        <f t="shared" si="13"/>
        <v>0</v>
      </c>
      <c r="BL72" s="614"/>
      <c r="BM72" s="533"/>
      <c r="BN72" s="535"/>
      <c r="BO72" s="533"/>
      <c r="BP72" s="533"/>
      <c r="BQ72" s="535"/>
      <c r="BR72" s="533"/>
      <c r="BS72" s="533"/>
      <c r="BT72" s="533"/>
      <c r="BU72" s="533"/>
      <c r="BV72" s="533"/>
      <c r="BW72" s="618"/>
      <c r="BX72" s="528">
        <f t="shared" si="9"/>
        <v>0</v>
      </c>
      <c r="BY72" s="525"/>
      <c r="BZ72" s="525"/>
      <c r="CA72" s="525"/>
      <c r="CB72" s="525"/>
      <c r="CC72" s="525"/>
      <c r="CD72" s="525"/>
      <c r="CE72" s="525"/>
      <c r="CF72" s="525"/>
      <c r="CG72" s="525"/>
      <c r="CH72" s="525"/>
      <c r="CI72" s="525"/>
      <c r="CJ72" s="525"/>
      <c r="CK72" s="528">
        <f t="shared" si="6"/>
        <v>0</v>
      </c>
      <c r="CL72" s="526"/>
      <c r="CM72" s="525"/>
      <c r="CN72" s="525"/>
      <c r="CO72" s="525"/>
      <c r="CP72" s="525"/>
      <c r="CQ72" s="525"/>
      <c r="CR72" s="525"/>
      <c r="CS72" s="525"/>
      <c r="CT72" s="525"/>
      <c r="CU72" s="525"/>
      <c r="CV72" s="525"/>
      <c r="CW72" s="525"/>
      <c r="CX72" s="528">
        <f t="shared" si="10"/>
        <v>0</v>
      </c>
      <c r="CY72" s="881"/>
      <c r="CZ72" s="541"/>
      <c r="DA72" s="541"/>
      <c r="DB72" s="541"/>
      <c r="DC72" s="541"/>
      <c r="DD72" s="541"/>
      <c r="DE72" s="541"/>
      <c r="DF72" s="541"/>
      <c r="DG72" s="541"/>
      <c r="DK72" s="528">
        <f t="shared" si="11"/>
        <v>0</v>
      </c>
      <c r="DX72" s="519">
        <f t="shared" si="12"/>
        <v>0</v>
      </c>
    </row>
    <row r="73" spans="2:128" ht="15">
      <c r="B73" s="480" t="s">
        <v>170</v>
      </c>
      <c r="C73" s="538"/>
      <c r="D73" s="538"/>
      <c r="E73" s="538"/>
      <c r="F73" s="538"/>
      <c r="G73" s="538"/>
      <c r="H73" s="538"/>
      <c r="I73" s="538"/>
      <c r="J73" s="538"/>
      <c r="K73" s="538"/>
      <c r="L73" s="538"/>
      <c r="M73" s="538"/>
      <c r="N73" s="538"/>
      <c r="O73" s="514">
        <f t="shared" si="3"/>
        <v>0</v>
      </c>
      <c r="P73" s="623"/>
      <c r="Q73" s="623"/>
      <c r="R73" s="623"/>
      <c r="S73" s="623"/>
      <c r="T73" s="544">
        <v>5893.52</v>
      </c>
      <c r="U73" s="544"/>
      <c r="V73" s="534"/>
      <c r="W73" s="544">
        <v>5442.38</v>
      </c>
      <c r="X73" s="623"/>
      <c r="Y73" s="623"/>
      <c r="Z73" s="525"/>
      <c r="AA73" s="534"/>
      <c r="AB73" s="605">
        <f t="shared" si="4"/>
        <v>11335.900000000001</v>
      </c>
      <c r="AC73" s="606"/>
      <c r="AD73" s="525"/>
      <c r="AE73" s="630"/>
      <c r="AF73" s="525"/>
      <c r="AG73" s="634"/>
      <c r="AH73" s="617"/>
      <c r="AI73" s="634"/>
      <c r="AJ73" s="628"/>
      <c r="AK73" s="607">
        <f t="shared" si="7"/>
        <v>0</v>
      </c>
      <c r="AL73" s="628"/>
      <c r="AM73" s="634"/>
      <c r="AN73" s="628"/>
      <c r="AO73" s="628"/>
      <c r="AP73" s="525"/>
      <c r="AQ73" s="525"/>
      <c r="AR73" s="525"/>
      <c r="AS73" s="525"/>
      <c r="AT73" s="525"/>
      <c r="AU73" s="525"/>
      <c r="AV73" s="525"/>
      <c r="AW73" s="525"/>
      <c r="AX73" s="528">
        <f t="shared" si="14"/>
        <v>0</v>
      </c>
      <c r="AY73" s="606"/>
      <c r="AZ73" s="525"/>
      <c r="BA73" s="525"/>
      <c r="BB73" s="525"/>
      <c r="BC73" s="525"/>
      <c r="BD73" s="525"/>
      <c r="BE73" s="525"/>
      <c r="BF73" s="525"/>
      <c r="BG73" s="525"/>
      <c r="BH73" s="563"/>
      <c r="BI73" s="525"/>
      <c r="BJ73" s="608"/>
      <c r="BK73" s="528">
        <f t="shared" si="13"/>
        <v>0</v>
      </c>
      <c r="BL73" s="614"/>
      <c r="BM73" s="533"/>
      <c r="BN73" s="535"/>
      <c r="BO73" s="533"/>
      <c r="BP73" s="533"/>
      <c r="BQ73" s="535"/>
      <c r="BR73" s="533"/>
      <c r="BS73" s="533"/>
      <c r="BT73" s="533"/>
      <c r="BU73" s="533"/>
      <c r="BV73" s="533"/>
      <c r="BW73" s="618"/>
      <c r="BX73" s="528">
        <f t="shared" si="9"/>
        <v>0</v>
      </c>
      <c r="BY73" s="525"/>
      <c r="BZ73" s="525"/>
      <c r="CA73" s="525"/>
      <c r="CB73" s="525"/>
      <c r="CC73" s="525"/>
      <c r="CD73" s="525"/>
      <c r="CE73" s="525"/>
      <c r="CF73" s="525"/>
      <c r="CG73" s="525"/>
      <c r="CH73" s="525"/>
      <c r="CI73" s="525"/>
      <c r="CJ73" s="525"/>
      <c r="CK73" s="528">
        <f t="shared" si="6"/>
        <v>0</v>
      </c>
      <c r="CL73" s="526"/>
      <c r="CM73" s="525"/>
      <c r="CN73" s="525"/>
      <c r="CO73" s="525"/>
      <c r="CP73" s="525"/>
      <c r="CQ73" s="525"/>
      <c r="CR73" s="525"/>
      <c r="CS73" s="525"/>
      <c r="CT73" s="525"/>
      <c r="CU73" s="525"/>
      <c r="CV73" s="525"/>
      <c r="CW73" s="525"/>
      <c r="CX73" s="528">
        <f t="shared" si="10"/>
        <v>0</v>
      </c>
      <c r="CY73" s="881"/>
      <c r="CZ73" s="541"/>
      <c r="DA73" s="541"/>
      <c r="DB73" s="541"/>
      <c r="DC73" s="541"/>
      <c r="DD73" s="541"/>
      <c r="DE73" s="541"/>
      <c r="DF73" s="541"/>
      <c r="DG73" s="541"/>
      <c r="DK73" s="528">
        <f t="shared" si="11"/>
        <v>0</v>
      </c>
      <c r="DX73" s="519">
        <f t="shared" si="12"/>
        <v>0</v>
      </c>
    </row>
    <row r="74" spans="2:128" ht="15">
      <c r="B74" s="480" t="s">
        <v>171</v>
      </c>
      <c r="C74" s="538"/>
      <c r="D74" s="538"/>
      <c r="E74" s="538"/>
      <c r="F74" s="538"/>
      <c r="G74" s="538"/>
      <c r="H74" s="538"/>
      <c r="I74" s="538"/>
      <c r="J74" s="538"/>
      <c r="K74" s="538"/>
      <c r="L74" s="538"/>
      <c r="M74" s="538"/>
      <c r="N74" s="538"/>
      <c r="O74" s="514">
        <f t="shared" si="3"/>
        <v>0</v>
      </c>
      <c r="P74" s="623"/>
      <c r="Q74" s="623"/>
      <c r="R74" s="623"/>
      <c r="S74" s="623"/>
      <c r="T74" s="623"/>
      <c r="U74" s="623"/>
      <c r="V74" s="534"/>
      <c r="W74" s="544"/>
      <c r="X74" s="623"/>
      <c r="Y74" s="623"/>
      <c r="Z74" s="525"/>
      <c r="AA74" s="534">
        <f>12803.93-25.61</f>
        <v>12778.32</v>
      </c>
      <c r="AB74" s="605">
        <f t="shared" si="4"/>
        <v>12778.32</v>
      </c>
      <c r="AC74" s="606"/>
      <c r="AD74" s="525"/>
      <c r="AE74" s="630"/>
      <c r="AF74" s="525"/>
      <c r="AG74" s="634"/>
      <c r="AH74" s="628">
        <f>7000*2.5/1.1*0</f>
        <v>0</v>
      </c>
      <c r="AI74" s="628">
        <f>7000*2.5/1.1*0</f>
        <v>0</v>
      </c>
      <c r="AJ74" s="628">
        <f>7000*2.5/1.1*0</f>
        <v>0</v>
      </c>
      <c r="AK74" s="607">
        <f t="shared" si="7"/>
        <v>0</v>
      </c>
      <c r="AL74" s="628"/>
      <c r="AM74" s="634"/>
      <c r="AN74" s="525"/>
      <c r="AO74" s="628"/>
      <c r="AP74" s="525"/>
      <c r="AQ74" s="525"/>
      <c r="AR74" s="637"/>
      <c r="AS74" s="627">
        <f>15000/1.2007</f>
        <v>12492.712584325809</v>
      </c>
      <c r="AT74" s="525"/>
      <c r="AU74" s="525"/>
      <c r="AV74" s="525"/>
      <c r="AW74" s="525"/>
      <c r="AX74" s="528">
        <f t="shared" ref="AX74:AX80" si="22">SUM(AL74:AW74)</f>
        <v>12492.712584325809</v>
      </c>
      <c r="AY74" s="638"/>
      <c r="AZ74" s="525"/>
      <c r="BA74" s="639"/>
      <c r="BB74" s="525"/>
      <c r="BC74" s="525"/>
      <c r="BD74" s="525"/>
      <c r="BE74" s="525"/>
      <c r="BF74" s="525"/>
      <c r="BG74" s="525"/>
      <c r="BH74" s="563"/>
      <c r="BI74" s="525"/>
      <c r="BJ74" s="608"/>
      <c r="BK74" s="528">
        <f t="shared" si="13"/>
        <v>0</v>
      </c>
      <c r="BL74" s="614">
        <f>15000*2/1.1*0</f>
        <v>0</v>
      </c>
      <c r="BM74" s="533"/>
      <c r="BN74" s="535"/>
      <c r="BO74" s="533"/>
      <c r="BP74" s="533"/>
      <c r="BQ74" s="535"/>
      <c r="BR74" s="533"/>
      <c r="BS74" s="533"/>
      <c r="BT74" s="533"/>
      <c r="BU74" s="533"/>
      <c r="BV74" s="533"/>
      <c r="BW74" s="618"/>
      <c r="BX74" s="528">
        <f t="shared" si="9"/>
        <v>0</v>
      </c>
      <c r="BY74" s="525"/>
      <c r="BZ74" s="525"/>
      <c r="CA74" s="525"/>
      <c r="CB74" s="525"/>
      <c r="CC74" s="525"/>
      <c r="CD74" s="525"/>
      <c r="CE74" s="525"/>
      <c r="CF74" s="525"/>
      <c r="CG74" s="525"/>
      <c r="CH74" s="525"/>
      <c r="CI74" s="525"/>
      <c r="CJ74" s="525"/>
      <c r="CK74" s="528">
        <f t="shared" si="6"/>
        <v>0</v>
      </c>
      <c r="CL74" s="526"/>
      <c r="CM74" s="525"/>
      <c r="CN74" s="525"/>
      <c r="CO74" s="525"/>
      <c r="CP74" s="525"/>
      <c r="CQ74" s="525"/>
      <c r="CR74" s="525"/>
      <c r="CS74" s="525"/>
      <c r="CT74" s="525"/>
      <c r="CU74" s="525"/>
      <c r="CV74" s="525"/>
      <c r="CW74" s="525"/>
      <c r="CX74" s="528">
        <f t="shared" si="10"/>
        <v>0</v>
      </c>
      <c r="CY74" s="881"/>
      <c r="CZ74" s="541"/>
      <c r="DA74" s="541"/>
      <c r="DB74" s="541"/>
      <c r="DC74" s="541"/>
      <c r="DD74" s="541"/>
      <c r="DE74" s="541"/>
      <c r="DF74" s="541"/>
      <c r="DG74" s="541"/>
      <c r="DK74" s="528">
        <f t="shared" si="11"/>
        <v>0</v>
      </c>
      <c r="DX74" s="519">
        <f t="shared" si="12"/>
        <v>0</v>
      </c>
    </row>
    <row r="75" spans="2:128" ht="15">
      <c r="B75" s="480" t="s">
        <v>142</v>
      </c>
      <c r="C75" s="538"/>
      <c r="D75" s="538"/>
      <c r="E75" s="538"/>
      <c r="F75" s="538"/>
      <c r="G75" s="538"/>
      <c r="H75" s="538"/>
      <c r="I75" s="538"/>
      <c r="J75" s="538"/>
      <c r="K75" s="538"/>
      <c r="L75" s="538"/>
      <c r="M75" s="538"/>
      <c r="N75" s="538"/>
      <c r="O75" s="514">
        <f t="shared" si="3"/>
        <v>0</v>
      </c>
      <c r="P75" s="623"/>
      <c r="Q75" s="623"/>
      <c r="R75" s="623"/>
      <c r="S75" s="623"/>
      <c r="T75" s="623"/>
      <c r="U75" s="623"/>
      <c r="V75" s="534"/>
      <c r="W75" s="544"/>
      <c r="X75" s="544">
        <v>21889.39</v>
      </c>
      <c r="Y75" s="623"/>
      <c r="Z75" s="534">
        <f>12963.73-25.93</f>
        <v>12937.8</v>
      </c>
      <c r="AA75" s="534"/>
      <c r="AB75" s="605">
        <f t="shared" si="4"/>
        <v>34827.19</v>
      </c>
      <c r="AC75" s="606"/>
      <c r="AD75" s="525"/>
      <c r="AE75" s="630"/>
      <c r="AF75" s="525"/>
      <c r="AG75" s="634"/>
      <c r="AH75" s="628"/>
      <c r="AI75" s="628"/>
      <c r="AJ75" s="628"/>
      <c r="AK75" s="607">
        <f t="shared" si="7"/>
        <v>0</v>
      </c>
      <c r="AL75" s="525"/>
      <c r="AM75" s="640">
        <f>7522*2/1.177</f>
        <v>12781.648258283773</v>
      </c>
      <c r="AN75" s="628"/>
      <c r="AO75" s="628"/>
      <c r="AP75" s="525"/>
      <c r="AQ75" s="525"/>
      <c r="AR75" s="525"/>
      <c r="AS75" s="525"/>
      <c r="AT75" s="525"/>
      <c r="AU75" s="525">
        <f>45126*0</f>
        <v>0</v>
      </c>
      <c r="AV75" s="525"/>
      <c r="AW75" s="525"/>
      <c r="AX75" s="528">
        <f t="shared" si="22"/>
        <v>12781.648258283773</v>
      </c>
      <c r="AY75" s="606"/>
      <c r="AZ75" s="534">
        <f>9804.98*2/1.1645</f>
        <v>16839.811077715756</v>
      </c>
      <c r="BA75" s="525"/>
      <c r="BB75" s="627"/>
      <c r="BC75" s="525"/>
      <c r="BD75" s="525"/>
      <c r="BE75" s="525"/>
      <c r="BF75" s="525"/>
      <c r="BG75" s="525"/>
      <c r="BH75" s="563"/>
      <c r="BI75" s="525"/>
      <c r="BJ75" s="608"/>
      <c r="BK75" s="528">
        <f t="shared" si="13"/>
        <v>16839.811077715756</v>
      </c>
      <c r="BL75" s="614"/>
      <c r="BM75" s="533"/>
      <c r="BN75" s="535"/>
      <c r="BO75" s="533"/>
      <c r="BP75" s="533"/>
      <c r="BQ75" s="535"/>
      <c r="BR75" s="533"/>
      <c r="BS75" s="533"/>
      <c r="BT75" s="533"/>
      <c r="BU75" s="533"/>
      <c r="BV75" s="533"/>
      <c r="BW75" s="618"/>
      <c r="BX75" s="528">
        <f t="shared" si="9"/>
        <v>0</v>
      </c>
      <c r="BY75" s="525"/>
      <c r="BZ75" s="525"/>
      <c r="CA75" s="525"/>
      <c r="CB75" s="525"/>
      <c r="CC75" s="525"/>
      <c r="CD75" s="525"/>
      <c r="CE75" s="525"/>
      <c r="CF75" s="525"/>
      <c r="CG75" s="525"/>
      <c r="CH75" s="525"/>
      <c r="CI75" s="525"/>
      <c r="CJ75" s="525"/>
      <c r="CK75" s="528">
        <f t="shared" si="6"/>
        <v>0</v>
      </c>
      <c r="CL75" s="526"/>
      <c r="CM75" s="541"/>
      <c r="CN75" s="525"/>
      <c r="CO75" s="525"/>
      <c r="CP75" s="525"/>
      <c r="CQ75" s="525"/>
      <c r="CR75" s="525"/>
      <c r="CS75" s="525"/>
      <c r="CT75" s="525"/>
      <c r="CU75" s="525"/>
      <c r="CV75" s="525"/>
      <c r="CW75" s="525"/>
      <c r="CX75" s="528">
        <f t="shared" si="10"/>
        <v>0</v>
      </c>
      <c r="CY75" s="881"/>
      <c r="CZ75" s="541"/>
      <c r="DA75" s="541"/>
      <c r="DB75" s="541"/>
      <c r="DC75" s="541"/>
      <c r="DD75" s="541"/>
      <c r="DE75" s="541"/>
      <c r="DF75" s="541"/>
      <c r="DG75" s="541"/>
      <c r="DK75" s="528">
        <f t="shared" si="11"/>
        <v>0</v>
      </c>
      <c r="DX75" s="519">
        <f t="shared" si="12"/>
        <v>0</v>
      </c>
    </row>
    <row r="76" spans="2:128" ht="15">
      <c r="B76" s="480" t="s">
        <v>172</v>
      </c>
      <c r="C76" s="538"/>
      <c r="D76" s="538"/>
      <c r="E76" s="538"/>
      <c r="F76" s="538"/>
      <c r="G76" s="538"/>
      <c r="H76" s="538"/>
      <c r="I76" s="538"/>
      <c r="J76" s="538"/>
      <c r="K76" s="538"/>
      <c r="L76" s="538"/>
      <c r="M76" s="538"/>
      <c r="N76" s="538"/>
      <c r="O76" s="514">
        <f t="shared" si="3"/>
        <v>0</v>
      </c>
      <c r="P76" s="623"/>
      <c r="Q76" s="623"/>
      <c r="R76" s="623"/>
      <c r="S76" s="623"/>
      <c r="T76" s="623"/>
      <c r="U76" s="623"/>
      <c r="V76" s="534"/>
      <c r="W76" s="544"/>
      <c r="X76" s="544"/>
      <c r="Y76" s="623"/>
      <c r="Z76" s="534"/>
      <c r="AA76" s="534"/>
      <c r="AB76" s="605">
        <v>0</v>
      </c>
      <c r="AC76" s="606"/>
      <c r="AD76" s="525"/>
      <c r="AE76" s="630"/>
      <c r="AF76" s="525"/>
      <c r="AG76" s="634"/>
      <c r="AH76" s="628"/>
      <c r="AI76" s="525"/>
      <c r="AJ76" s="525"/>
      <c r="AK76" s="607">
        <f t="shared" si="7"/>
        <v>0</v>
      </c>
      <c r="AL76" s="641">
        <f>5659/1.1787</f>
        <v>4801.0520064477814</v>
      </c>
      <c r="AM76" s="525"/>
      <c r="AN76" s="525"/>
      <c r="AO76" s="627">
        <f>8500*0.75*0.9/1.2267-1</f>
        <v>4676.1826852531185</v>
      </c>
      <c r="AP76" s="525"/>
      <c r="AQ76" s="525"/>
      <c r="AR76" s="525"/>
      <c r="AS76" s="525"/>
      <c r="AT76" s="627">
        <f>(2625*0.9)/1.2201</f>
        <v>1936.31669535284</v>
      </c>
      <c r="AU76" s="525">
        <f>+AU75*0.15</f>
        <v>0</v>
      </c>
      <c r="AV76" s="525"/>
      <c r="AW76" s="525"/>
      <c r="AX76" s="528">
        <f t="shared" si="22"/>
        <v>11413.55138705374</v>
      </c>
      <c r="AY76" s="606"/>
      <c r="AZ76" s="525"/>
      <c r="BA76" s="525"/>
      <c r="BB76" s="534">
        <f>(9804.98*0.75-735.37)/1.1291</f>
        <v>5861.6287308475776</v>
      </c>
      <c r="BC76" s="525"/>
      <c r="BD76" s="525"/>
      <c r="BE76" s="642">
        <f>(637.5+262.5)/1.225073</f>
        <v>734.65009840229925</v>
      </c>
      <c r="BF76" s="637"/>
      <c r="BG76" s="525"/>
      <c r="BH76" s="563"/>
      <c r="BI76" s="525"/>
      <c r="BJ76" s="608"/>
      <c r="BK76" s="528">
        <f t="shared" si="13"/>
        <v>6596.2788292498772</v>
      </c>
      <c r="BL76" s="614"/>
      <c r="BM76" s="533"/>
      <c r="BN76" s="535"/>
      <c r="BO76" s="525"/>
      <c r="BP76" s="525"/>
      <c r="BQ76" s="526"/>
      <c r="BR76" s="627">
        <f>735.37/1.128664+(20000-2000)/1.0745</f>
        <v>17403.517892122465</v>
      </c>
      <c r="BS76" s="563"/>
      <c r="BT76" s="534"/>
      <c r="BU76" s="525"/>
      <c r="BV76" s="533"/>
      <c r="BW76" s="618"/>
      <c r="BX76" s="528">
        <f t="shared" si="9"/>
        <v>17403.517892122465</v>
      </c>
      <c r="BY76" s="525"/>
      <c r="BZ76" s="525"/>
      <c r="CA76" s="525"/>
      <c r="CB76" s="525"/>
      <c r="CC76" s="525"/>
      <c r="CD76" s="525"/>
      <c r="CE76" s="525"/>
      <c r="CF76" s="525"/>
      <c r="CG76" s="525"/>
      <c r="CH76" s="525"/>
      <c r="CI76" s="627">
        <f>(20000-18000)/0.929454</f>
        <v>2151.8009498049391</v>
      </c>
      <c r="CJ76" s="637"/>
      <c r="CK76" s="528">
        <f>SUM(BY76:CJ76)</f>
        <v>2151.8009498049391</v>
      </c>
      <c r="CL76" s="534">
        <f>40000/1.1196</f>
        <v>35727.045373347624</v>
      </c>
      <c r="CM76" s="642">
        <f>20000/1-20000/1+20000/1-20000/1</f>
        <v>0</v>
      </c>
      <c r="CN76" s="637"/>
      <c r="CO76" s="525"/>
      <c r="CP76" s="525"/>
      <c r="CQ76" s="525"/>
      <c r="CR76" s="525"/>
      <c r="CS76" s="525"/>
      <c r="CT76" s="525"/>
      <c r="CU76" s="541"/>
      <c r="CV76" s="541"/>
      <c r="CW76" s="533"/>
      <c r="CX76" s="528">
        <f>SUM(CL76:CW76)</f>
        <v>35727.045373347624</v>
      </c>
      <c r="CY76" s="541"/>
      <c r="CZ76" s="533"/>
      <c r="DA76" s="541"/>
      <c r="DB76" s="541"/>
      <c r="DC76" s="541"/>
      <c r="DD76" s="541"/>
      <c r="DE76" s="541"/>
      <c r="DF76" s="541"/>
      <c r="DG76" s="541"/>
      <c r="DH76" s="572">
        <f>20000/1.15</f>
        <v>17391.304347826088</v>
      </c>
      <c r="DI76" s="536">
        <v>20000</v>
      </c>
      <c r="DK76" s="528">
        <f>SUM(CZ76:DJ76)</f>
        <v>37391.304347826088</v>
      </c>
      <c r="DV76" s="536">
        <v>20000</v>
      </c>
      <c r="DX76" s="519">
        <f t="shared" si="12"/>
        <v>20000</v>
      </c>
    </row>
    <row r="77" spans="2:128" ht="15">
      <c r="B77" s="480" t="s">
        <v>173</v>
      </c>
      <c r="C77" s="538"/>
      <c r="D77" s="538"/>
      <c r="E77" s="538"/>
      <c r="F77" s="538"/>
      <c r="G77" s="538"/>
      <c r="H77" s="538"/>
      <c r="I77" s="538"/>
      <c r="J77" s="538"/>
      <c r="K77" s="538"/>
      <c r="L77" s="538"/>
      <c r="M77" s="538"/>
      <c r="N77" s="538"/>
      <c r="O77" s="514">
        <f t="shared" si="3"/>
        <v>0</v>
      </c>
      <c r="P77" s="623"/>
      <c r="Q77" s="623"/>
      <c r="R77" s="623"/>
      <c r="S77" s="623"/>
      <c r="T77" s="623"/>
      <c r="U77" s="623"/>
      <c r="V77" s="534"/>
      <c r="W77" s="544"/>
      <c r="X77" s="544"/>
      <c r="Y77" s="623"/>
      <c r="Z77" s="534"/>
      <c r="AA77" s="534"/>
      <c r="AB77" s="605">
        <v>0</v>
      </c>
      <c r="AC77" s="606"/>
      <c r="AD77" s="525"/>
      <c r="AE77" s="630"/>
      <c r="AF77" s="525"/>
      <c r="AG77" s="634"/>
      <c r="AH77" s="628"/>
      <c r="AI77" s="628"/>
      <c r="AJ77" s="525"/>
      <c r="AK77" s="607">
        <f t="shared" si="7"/>
        <v>0</v>
      </c>
      <c r="AL77" s="525"/>
      <c r="AM77" s="640">
        <f>7521.147*1.5/1.173</f>
        <v>9617.8350383631714</v>
      </c>
      <c r="AN77" s="628"/>
      <c r="AO77" s="628"/>
      <c r="AP77" s="525"/>
      <c r="AQ77" s="525"/>
      <c r="AR77" s="525"/>
      <c r="AS77" s="525"/>
      <c r="AT77" s="525"/>
      <c r="AU77" s="525"/>
      <c r="AV77" s="525"/>
      <c r="AW77" s="525"/>
      <c r="AX77" s="528">
        <f t="shared" si="22"/>
        <v>9617.8350383631714</v>
      </c>
      <c r="AY77" s="606"/>
      <c r="AZ77" s="525"/>
      <c r="BA77" s="525"/>
      <c r="BB77" s="525"/>
      <c r="BC77" s="525"/>
      <c r="BD77" s="525"/>
      <c r="BE77" s="525"/>
      <c r="BF77" s="525"/>
      <c r="BG77" s="525"/>
      <c r="BH77" s="563"/>
      <c r="BI77" s="525"/>
      <c r="BJ77" s="608"/>
      <c r="BK77" s="528">
        <f t="shared" si="13"/>
        <v>0</v>
      </c>
      <c r="BL77" s="614"/>
      <c r="BM77" s="533"/>
      <c r="BN77" s="535"/>
      <c r="BO77" s="533"/>
      <c r="BP77" s="533"/>
      <c r="BQ77" s="535"/>
      <c r="BR77" s="533"/>
      <c r="BS77" s="533"/>
      <c r="BT77" s="533"/>
      <c r="BU77" s="533"/>
      <c r="BV77" s="533"/>
      <c r="BW77" s="618"/>
      <c r="BX77" s="528">
        <f t="shared" si="9"/>
        <v>0</v>
      </c>
      <c r="BY77" s="525"/>
      <c r="BZ77" s="525"/>
      <c r="CA77" s="525"/>
      <c r="CB77" s="525"/>
      <c r="CC77" s="525"/>
      <c r="CD77" s="525"/>
      <c r="CE77" s="525"/>
      <c r="CF77" s="525"/>
      <c r="CG77" s="525"/>
      <c r="CH77" s="525"/>
      <c r="CI77" s="525"/>
      <c r="CJ77" s="525"/>
      <c r="CK77" s="528">
        <f t="shared" si="6"/>
        <v>0</v>
      </c>
      <c r="CL77" s="526"/>
      <c r="CM77" s="525"/>
      <c r="CN77" s="525"/>
      <c r="CO77" s="525"/>
      <c r="CP77" s="525"/>
      <c r="CQ77" s="525"/>
      <c r="CR77" s="525"/>
      <c r="CS77" s="525"/>
      <c r="CT77" s="525"/>
      <c r="CU77" s="525"/>
      <c r="CV77" s="525"/>
      <c r="CW77" s="525"/>
      <c r="CX77" s="528">
        <f t="shared" si="10"/>
        <v>0</v>
      </c>
      <c r="CY77" s="881"/>
      <c r="CZ77" s="541"/>
      <c r="DA77" s="541"/>
      <c r="DB77" s="541"/>
      <c r="DC77" s="541"/>
      <c r="DD77" s="541"/>
      <c r="DE77" s="541"/>
      <c r="DF77" s="541"/>
      <c r="DG77" s="541"/>
      <c r="DK77" s="528">
        <f t="shared" si="11"/>
        <v>0</v>
      </c>
      <c r="DX77" s="519">
        <f t="shared" si="12"/>
        <v>0</v>
      </c>
    </row>
    <row r="78" spans="2:128" ht="15">
      <c r="B78" s="480" t="s">
        <v>174</v>
      </c>
      <c r="C78" s="538"/>
      <c r="D78" s="538"/>
      <c r="E78" s="538"/>
      <c r="F78" s="538"/>
      <c r="G78" s="538"/>
      <c r="H78" s="538"/>
      <c r="I78" s="538"/>
      <c r="J78" s="538"/>
      <c r="K78" s="538"/>
      <c r="L78" s="538"/>
      <c r="M78" s="538"/>
      <c r="N78" s="538"/>
      <c r="O78" s="514">
        <f t="shared" si="3"/>
        <v>0</v>
      </c>
      <c r="P78" s="623"/>
      <c r="Q78" s="623"/>
      <c r="R78" s="623"/>
      <c r="S78" s="623"/>
      <c r="T78" s="623"/>
      <c r="U78" s="623"/>
      <c r="V78" s="534"/>
      <c r="W78" s="544"/>
      <c r="X78" s="544"/>
      <c r="Y78" s="623"/>
      <c r="Z78" s="534"/>
      <c r="AA78" s="534"/>
      <c r="AB78" s="605">
        <v>0</v>
      </c>
      <c r="AC78" s="606"/>
      <c r="AD78" s="525"/>
      <c r="AE78" s="630"/>
      <c r="AF78" s="525"/>
      <c r="AG78" s="634"/>
      <c r="AH78" s="628"/>
      <c r="AI78" s="628"/>
      <c r="AJ78" s="525"/>
      <c r="AK78" s="607">
        <f t="shared" si="7"/>
        <v>0</v>
      </c>
      <c r="AL78" s="525"/>
      <c r="AM78" s="627">
        <f>6768.95+5460</f>
        <v>12228.95</v>
      </c>
      <c r="AN78" s="628"/>
      <c r="AO78" s="628"/>
      <c r="AP78" s="525"/>
      <c r="AQ78" s="525"/>
      <c r="AR78" s="525"/>
      <c r="AS78" s="525"/>
      <c r="AT78" s="525"/>
      <c r="AU78" s="525"/>
      <c r="AV78" s="525"/>
      <c r="AW78" s="525"/>
      <c r="AX78" s="528">
        <f t="shared" si="22"/>
        <v>12228.95</v>
      </c>
      <c r="AY78" s="606"/>
      <c r="AZ78" s="525"/>
      <c r="BA78" s="525"/>
      <c r="BB78" s="525"/>
      <c r="BC78" s="525"/>
      <c r="BD78" s="525"/>
      <c r="BE78" s="525"/>
      <c r="BF78" s="525"/>
      <c r="BG78" s="534">
        <f>4083.177*1.05</f>
        <v>4287.3358500000004</v>
      </c>
      <c r="BH78" s="544">
        <f>6000*6</f>
        <v>36000</v>
      </c>
      <c r="BI78" s="525"/>
      <c r="BJ78" s="643">
        <v>0</v>
      </c>
      <c r="BK78" s="528">
        <f>SUM(AY78:BJ78)</f>
        <v>40287.335850000003</v>
      </c>
      <c r="BL78" s="614"/>
      <c r="BM78" s="533"/>
      <c r="BN78" s="535"/>
      <c r="BO78" s="533"/>
      <c r="BP78" s="533"/>
      <c r="BQ78" s="535"/>
      <c r="BR78" s="533"/>
      <c r="BS78" s="533"/>
      <c r="BT78" s="533"/>
      <c r="BU78" s="533"/>
      <c r="BV78" s="533"/>
      <c r="BW78" s="618"/>
      <c r="BX78" s="528">
        <f t="shared" si="9"/>
        <v>0</v>
      </c>
      <c r="BY78" s="525"/>
      <c r="BZ78" s="525"/>
      <c r="CA78" s="525"/>
      <c r="CB78" s="525"/>
      <c r="CC78" s="525"/>
      <c r="CD78" s="525"/>
      <c r="CE78" s="525"/>
      <c r="CF78" s="525"/>
      <c r="CG78" s="525"/>
      <c r="CH78" s="525"/>
      <c r="CI78" s="525"/>
      <c r="CJ78" s="525"/>
      <c r="CK78" s="528">
        <f t="shared" si="6"/>
        <v>0</v>
      </c>
      <c r="CL78" s="526"/>
      <c r="CM78" s="525"/>
      <c r="CN78" s="525"/>
      <c r="CO78" s="525"/>
      <c r="CP78" s="525"/>
      <c r="CQ78" s="525"/>
      <c r="CR78" s="525"/>
      <c r="CS78" s="525"/>
      <c r="CT78" s="525"/>
      <c r="CU78" s="525"/>
      <c r="CV78" s="525"/>
      <c r="CW78" s="525"/>
      <c r="CX78" s="528">
        <f t="shared" si="10"/>
        <v>0</v>
      </c>
      <c r="CY78" s="881"/>
      <c r="CZ78" s="541"/>
      <c r="DA78" s="541"/>
      <c r="DB78" s="541"/>
      <c r="DC78" s="541"/>
      <c r="DD78" s="541"/>
      <c r="DE78" s="541"/>
      <c r="DF78" s="541"/>
      <c r="DG78" s="541"/>
      <c r="DK78" s="528">
        <f t="shared" si="11"/>
        <v>0</v>
      </c>
      <c r="DX78" s="519">
        <f t="shared" si="12"/>
        <v>0</v>
      </c>
    </row>
    <row r="79" spans="2:128" ht="15">
      <c r="B79" s="480" t="s">
        <v>13</v>
      </c>
      <c r="C79" s="538"/>
      <c r="D79" s="538"/>
      <c r="E79" s="538"/>
      <c r="F79" s="538"/>
      <c r="G79" s="538"/>
      <c r="H79" s="538"/>
      <c r="I79" s="538"/>
      <c r="J79" s="538"/>
      <c r="K79" s="538"/>
      <c r="L79" s="538"/>
      <c r="M79" s="538"/>
      <c r="N79" s="538"/>
      <c r="O79" s="514"/>
      <c r="P79" s="623"/>
      <c r="Q79" s="623"/>
      <c r="R79" s="623"/>
      <c r="S79" s="623"/>
      <c r="T79" s="623"/>
      <c r="U79" s="623"/>
      <c r="V79" s="534"/>
      <c r="W79" s="544"/>
      <c r="X79" s="544"/>
      <c r="Y79" s="623"/>
      <c r="Z79" s="534"/>
      <c r="AA79" s="534"/>
      <c r="AB79" s="605">
        <f t="shared" si="4"/>
        <v>0</v>
      </c>
      <c r="AC79" s="606"/>
      <c r="AD79" s="525"/>
      <c r="AE79" s="630"/>
      <c r="AF79" s="525"/>
      <c r="AG79" s="634"/>
      <c r="AH79" s="628"/>
      <c r="AI79" s="628"/>
      <c r="AJ79" s="525"/>
      <c r="AK79" s="607">
        <f t="shared" si="7"/>
        <v>0</v>
      </c>
      <c r="AL79" s="525"/>
      <c r="AM79" s="525"/>
      <c r="AN79" s="525"/>
      <c r="AO79" s="525"/>
      <c r="AP79" s="525"/>
      <c r="AQ79" s="642">
        <f>2859*1</f>
        <v>2859</v>
      </c>
      <c r="AR79" s="525"/>
      <c r="AS79" s="525"/>
      <c r="AT79" s="525"/>
      <c r="AU79" s="525"/>
      <c r="AV79" s="525"/>
      <c r="AW79" s="525"/>
      <c r="AX79" s="528">
        <f t="shared" si="22"/>
        <v>2859</v>
      </c>
      <c r="AY79" s="606"/>
      <c r="AZ79" s="525"/>
      <c r="BA79" s="525"/>
      <c r="BB79" s="525"/>
      <c r="BC79" s="525"/>
      <c r="BD79" s="525"/>
      <c r="BE79" s="525"/>
      <c r="BF79" s="525"/>
      <c r="BG79" s="525"/>
      <c r="BH79" s="525"/>
      <c r="BI79" s="525"/>
      <c r="BJ79" s="608"/>
      <c r="BK79" s="528">
        <f t="shared" si="13"/>
        <v>0</v>
      </c>
      <c r="BL79" s="614"/>
      <c r="BM79" s="533"/>
      <c r="BN79" s="535"/>
      <c r="BO79" s="533"/>
      <c r="BP79" s="533"/>
      <c r="BQ79" s="535"/>
      <c r="BR79" s="533"/>
      <c r="BS79" s="533"/>
      <c r="BT79" s="533"/>
      <c r="BU79" s="533"/>
      <c r="BV79" s="533"/>
      <c r="BW79" s="618"/>
      <c r="BX79" s="528">
        <f t="shared" si="9"/>
        <v>0</v>
      </c>
      <c r="BY79" s="525"/>
      <c r="BZ79" s="525"/>
      <c r="CA79" s="525"/>
      <c r="CB79" s="525"/>
      <c r="CC79" s="525"/>
      <c r="CD79" s="525"/>
      <c r="CE79" s="525"/>
      <c r="CF79" s="525"/>
      <c r="CG79" s="525"/>
      <c r="CH79" s="525"/>
      <c r="CI79" s="525"/>
      <c r="CJ79" s="525"/>
      <c r="CK79" s="528">
        <f t="shared" si="6"/>
        <v>0</v>
      </c>
      <c r="CL79" s="526"/>
      <c r="CM79" s="525"/>
      <c r="CN79" s="525"/>
      <c r="CO79" s="525"/>
      <c r="CP79" s="525"/>
      <c r="CQ79" s="525"/>
      <c r="CR79" s="525"/>
      <c r="CS79" s="525"/>
      <c r="CT79" s="525"/>
      <c r="CU79" s="525"/>
      <c r="CV79" s="525"/>
      <c r="CW79" s="525"/>
      <c r="CX79" s="528">
        <f t="shared" si="10"/>
        <v>0</v>
      </c>
      <c r="CY79" s="881"/>
      <c r="CZ79" s="541"/>
      <c r="DA79" s="541"/>
      <c r="DB79" s="541"/>
      <c r="DC79" s="541"/>
      <c r="DD79" s="541"/>
      <c r="DE79" s="541"/>
      <c r="DF79" s="541"/>
      <c r="DG79" s="541"/>
      <c r="DK79" s="528">
        <f t="shared" si="11"/>
        <v>0</v>
      </c>
      <c r="DX79" s="519">
        <f t="shared" si="12"/>
        <v>0</v>
      </c>
    </row>
    <row r="80" spans="2:128" ht="15">
      <c r="B80" s="480" t="s">
        <v>175</v>
      </c>
      <c r="C80" s="538"/>
      <c r="D80" s="538"/>
      <c r="E80" s="538"/>
      <c r="F80" s="538"/>
      <c r="G80" s="538"/>
      <c r="H80" s="538"/>
      <c r="I80" s="538"/>
      <c r="J80" s="538"/>
      <c r="K80" s="538"/>
      <c r="L80" s="538"/>
      <c r="M80" s="538"/>
      <c r="N80" s="538"/>
      <c r="O80" s="514"/>
      <c r="P80" s="623"/>
      <c r="Q80" s="623"/>
      <c r="R80" s="623"/>
      <c r="S80" s="623"/>
      <c r="T80" s="623"/>
      <c r="U80" s="623"/>
      <c r="V80" s="534"/>
      <c r="W80" s="544"/>
      <c r="X80" s="544"/>
      <c r="Y80" s="623"/>
      <c r="Z80" s="534"/>
      <c r="AA80" s="534"/>
      <c r="AB80" s="605"/>
      <c r="AC80" s="606"/>
      <c r="AD80" s="525"/>
      <c r="AE80" s="630"/>
      <c r="AF80" s="525"/>
      <c r="AG80" s="634"/>
      <c r="AH80" s="628"/>
      <c r="AI80" s="628"/>
      <c r="AJ80" s="525"/>
      <c r="AK80" s="607"/>
      <c r="AL80" s="525"/>
      <c r="AM80" s="525"/>
      <c r="AN80" s="525"/>
      <c r="AO80" s="525"/>
      <c r="AP80" s="525"/>
      <c r="AQ80" s="642"/>
      <c r="AR80" s="525"/>
      <c r="AS80" s="525"/>
      <c r="AT80" s="525"/>
      <c r="AU80" s="525"/>
      <c r="AV80" s="525"/>
      <c r="AW80" s="525"/>
      <c r="AX80" s="528">
        <f t="shared" si="22"/>
        <v>0</v>
      </c>
      <c r="AY80" s="606"/>
      <c r="AZ80" s="525"/>
      <c r="BA80" s="525"/>
      <c r="BB80" s="525"/>
      <c r="BC80" s="525"/>
      <c r="BD80" s="525"/>
      <c r="BE80" s="525"/>
      <c r="BF80" s="525"/>
      <c r="BG80" s="525"/>
      <c r="BH80" s="544">
        <f>(6000*2.5+8400*10+4083*13.5)/1.0743</f>
        <v>143461.323652611</v>
      </c>
      <c r="BI80" s="525"/>
      <c r="BJ80" s="608"/>
      <c r="BK80" s="528">
        <f>SUM(AY80:BJ80)</f>
        <v>143461.323652611</v>
      </c>
      <c r="BL80" s="533">
        <v>0</v>
      </c>
      <c r="BM80" s="533"/>
      <c r="BN80" s="535"/>
      <c r="BO80" s="525"/>
      <c r="BP80" s="544">
        <f>43400/1.0696</f>
        <v>40575.916230366485</v>
      </c>
      <c r="BQ80" s="526"/>
      <c r="BR80" s="533"/>
      <c r="BS80" s="533"/>
      <c r="BT80" s="533"/>
      <c r="BU80" s="533"/>
      <c r="BV80" s="533"/>
      <c r="BW80" s="618"/>
      <c r="BX80" s="528">
        <f t="shared" si="9"/>
        <v>40575.916230366485</v>
      </c>
      <c r="BY80" s="533"/>
      <c r="BZ80" s="533"/>
      <c r="CA80" s="525"/>
      <c r="CB80" s="525"/>
      <c r="CC80" s="525"/>
      <c r="CD80" s="525"/>
      <c r="CE80" s="525"/>
      <c r="CF80" s="525"/>
      <c r="CG80" s="525"/>
      <c r="CH80" s="525"/>
      <c r="CI80" s="525"/>
      <c r="CJ80" s="525"/>
      <c r="CK80" s="528">
        <f t="shared" si="6"/>
        <v>0</v>
      </c>
      <c r="CL80" s="526"/>
      <c r="CM80" s="525"/>
      <c r="CN80" s="525"/>
      <c r="CO80" s="525"/>
      <c r="CP80" s="525"/>
      <c r="CQ80" s="525"/>
      <c r="CR80" s="525"/>
      <c r="CS80" s="525"/>
      <c r="CT80" s="525"/>
      <c r="CU80" s="525"/>
      <c r="CV80" s="525"/>
      <c r="CW80" s="525"/>
      <c r="CX80" s="528">
        <f t="shared" si="10"/>
        <v>0</v>
      </c>
      <c r="CY80" s="881"/>
      <c r="CZ80" s="541"/>
      <c r="DA80" s="541"/>
      <c r="DB80" s="541"/>
      <c r="DC80" s="541"/>
      <c r="DD80" s="541"/>
      <c r="DE80" s="541"/>
      <c r="DF80" s="541"/>
      <c r="DG80" s="541"/>
      <c r="DK80" s="528">
        <f t="shared" si="11"/>
        <v>0</v>
      </c>
      <c r="DX80" s="519">
        <f t="shared" si="12"/>
        <v>0</v>
      </c>
    </row>
    <row r="81" spans="1:140" ht="15">
      <c r="B81" s="480" t="s">
        <v>162</v>
      </c>
      <c r="C81" s="538"/>
      <c r="D81" s="538"/>
      <c r="E81" s="538"/>
      <c r="F81" s="538"/>
      <c r="G81" s="538"/>
      <c r="H81" s="538"/>
      <c r="I81" s="538"/>
      <c r="J81" s="538"/>
      <c r="K81" s="538"/>
      <c r="L81" s="538"/>
      <c r="M81" s="538"/>
      <c r="N81" s="538"/>
      <c r="O81" s="514"/>
      <c r="P81" s="623"/>
      <c r="Q81" s="623"/>
      <c r="R81" s="623"/>
      <c r="S81" s="623"/>
      <c r="T81" s="623"/>
      <c r="U81" s="623"/>
      <c r="V81" s="534"/>
      <c r="W81" s="544"/>
      <c r="X81" s="544"/>
      <c r="Y81" s="623"/>
      <c r="Z81" s="534"/>
      <c r="AA81" s="534"/>
      <c r="AB81" s="605"/>
      <c r="AC81" s="606"/>
      <c r="AD81" s="525"/>
      <c r="AE81" s="630"/>
      <c r="AF81" s="525"/>
      <c r="AG81" s="634"/>
      <c r="AH81" s="628"/>
      <c r="AI81" s="628"/>
      <c r="AJ81" s="525"/>
      <c r="AK81" s="607"/>
      <c r="AL81" s="525"/>
      <c r="AM81" s="525"/>
      <c r="AN81" s="525"/>
      <c r="AO81" s="525"/>
      <c r="AP81" s="525"/>
      <c r="AQ81" s="642"/>
      <c r="AR81" s="525"/>
      <c r="AS81" s="525"/>
      <c r="AT81" s="525"/>
      <c r="AU81" s="525"/>
      <c r="AV81" s="525"/>
      <c r="AW81" s="525"/>
      <c r="AX81" s="528"/>
      <c r="AY81" s="606"/>
      <c r="AZ81" s="525"/>
      <c r="BA81" s="525"/>
      <c r="BB81" s="525"/>
      <c r="BC81" s="525"/>
      <c r="BD81" s="525"/>
      <c r="BE81" s="525"/>
      <c r="BF81" s="525"/>
      <c r="BG81" s="525"/>
      <c r="BH81" s="544"/>
      <c r="BI81" s="525"/>
      <c r="BJ81" s="608"/>
      <c r="BK81" s="528">
        <f>SUM(AY81:BJ81)</f>
        <v>0</v>
      </c>
      <c r="BL81" s="533"/>
      <c r="BM81" s="533"/>
      <c r="BN81" s="535"/>
      <c r="BO81" s="525"/>
      <c r="BP81" s="525"/>
      <c r="BQ81" s="526"/>
      <c r="BR81" s="525"/>
      <c r="BS81" s="544">
        <f>20440/1.1042</f>
        <v>18511.139286361165</v>
      </c>
      <c r="BT81" s="525"/>
      <c r="BU81" s="533"/>
      <c r="BV81" s="533"/>
      <c r="BW81" s="618"/>
      <c r="BX81" s="528">
        <f t="shared" si="9"/>
        <v>18511.139286361165</v>
      </c>
      <c r="BY81" s="525"/>
      <c r="BZ81" s="525"/>
      <c r="CA81" s="525"/>
      <c r="CB81" s="525"/>
      <c r="CC81" s="525"/>
      <c r="CD81" s="525"/>
      <c r="CE81" s="525"/>
      <c r="CF81" s="525"/>
      <c r="CG81" s="525"/>
      <c r="CH81" s="525"/>
      <c r="CI81" s="525"/>
      <c r="CJ81" s="525"/>
      <c r="CK81" s="528">
        <f t="shared" si="6"/>
        <v>0</v>
      </c>
      <c r="CL81" s="526"/>
      <c r="CM81" s="525"/>
      <c r="CN81" s="526"/>
      <c r="CO81" s="525"/>
      <c r="CP81" s="525"/>
      <c r="CQ81" s="525"/>
      <c r="CR81" s="525"/>
      <c r="CS81" s="525"/>
      <c r="CT81" s="525"/>
      <c r="CU81" s="525"/>
      <c r="CV81" s="525"/>
      <c r="CW81" s="525"/>
      <c r="CX81" s="528">
        <f t="shared" si="10"/>
        <v>0</v>
      </c>
      <c r="CY81" s="881"/>
      <c r="CZ81" s="541"/>
      <c r="DA81" s="541"/>
      <c r="DB81" s="541"/>
      <c r="DC81" s="541"/>
      <c r="DD81" s="541"/>
      <c r="DE81" s="541"/>
      <c r="DF81" s="541"/>
      <c r="DG81" s="541"/>
      <c r="DK81" s="528">
        <f t="shared" si="11"/>
        <v>0</v>
      </c>
      <c r="DX81" s="519">
        <f t="shared" si="12"/>
        <v>0</v>
      </c>
    </row>
    <row r="82" spans="1:140" ht="15">
      <c r="B82" s="480" t="s">
        <v>354</v>
      </c>
      <c r="C82" s="538"/>
      <c r="D82" s="538"/>
      <c r="E82" s="538"/>
      <c r="F82" s="538"/>
      <c r="G82" s="538"/>
      <c r="H82" s="538"/>
      <c r="I82" s="538"/>
      <c r="J82" s="538"/>
      <c r="K82" s="538"/>
      <c r="L82" s="538"/>
      <c r="M82" s="538"/>
      <c r="N82" s="538"/>
      <c r="O82" s="514"/>
      <c r="P82" s="623"/>
      <c r="Q82" s="623"/>
      <c r="R82" s="623"/>
      <c r="S82" s="623"/>
      <c r="T82" s="623"/>
      <c r="U82" s="623"/>
      <c r="V82" s="534"/>
      <c r="W82" s="544"/>
      <c r="X82" s="544"/>
      <c r="Y82" s="623"/>
      <c r="Z82" s="534"/>
      <c r="AA82" s="534"/>
      <c r="AB82" s="605"/>
      <c r="AC82" s="606"/>
      <c r="AD82" s="525"/>
      <c r="AE82" s="630"/>
      <c r="AF82" s="525"/>
      <c r="AG82" s="634"/>
      <c r="AH82" s="628"/>
      <c r="AI82" s="628"/>
      <c r="AJ82" s="525"/>
      <c r="AK82" s="607"/>
      <c r="AL82" s="525"/>
      <c r="AM82" s="525"/>
      <c r="AN82" s="525"/>
      <c r="AO82" s="525"/>
      <c r="AP82" s="525"/>
      <c r="AQ82" s="642"/>
      <c r="AR82" s="525"/>
      <c r="AS82" s="525"/>
      <c r="AT82" s="525"/>
      <c r="AU82" s="525"/>
      <c r="AV82" s="525"/>
      <c r="AW82" s="525"/>
      <c r="AX82" s="528"/>
      <c r="AY82" s="606"/>
      <c r="AZ82" s="525"/>
      <c r="BA82" s="525"/>
      <c r="BB82" s="525"/>
      <c r="BC82" s="525"/>
      <c r="BD82" s="525"/>
      <c r="BE82" s="525"/>
      <c r="BF82" s="525"/>
      <c r="BG82" s="525"/>
      <c r="BH82" s="544"/>
      <c r="BI82" s="525"/>
      <c r="BJ82" s="608"/>
      <c r="BK82" s="528"/>
      <c r="BL82" s="533"/>
      <c r="BM82" s="533"/>
      <c r="BN82" s="535"/>
      <c r="BO82" s="525"/>
      <c r="BP82" s="525"/>
      <c r="BQ82" s="526"/>
      <c r="BR82" s="525"/>
      <c r="BS82" s="544"/>
      <c r="BT82" s="525"/>
      <c r="BU82" s="533"/>
      <c r="BV82" s="533"/>
      <c r="BW82" s="618"/>
      <c r="BX82" s="528"/>
      <c r="BY82" s="525"/>
      <c r="BZ82" s="525"/>
      <c r="CA82" s="525"/>
      <c r="CB82" s="525"/>
      <c r="CC82" s="525"/>
      <c r="CD82" s="525"/>
      <c r="CE82" s="525"/>
      <c r="CF82" s="525"/>
      <c r="CG82" s="525"/>
      <c r="CH82" s="525"/>
      <c r="CI82" s="525"/>
      <c r="CJ82" s="525"/>
      <c r="CK82" s="528">
        <f t="shared" si="6"/>
        <v>0</v>
      </c>
      <c r="CL82" s="526"/>
      <c r="CM82" s="525"/>
      <c r="CN82" s="526"/>
      <c r="CO82" s="525"/>
      <c r="CP82" s="534">
        <f>9960.518+9952.501</f>
        <v>19913.019</v>
      </c>
      <c r="CQ82" s="525"/>
      <c r="CR82" s="525"/>
      <c r="CS82" s="525"/>
      <c r="CT82" s="525"/>
      <c r="CU82" s="525"/>
      <c r="CV82" s="525"/>
      <c r="CW82" s="525"/>
      <c r="CX82" s="528">
        <f t="shared" si="10"/>
        <v>19913.019</v>
      </c>
      <c r="CY82" s="881"/>
      <c r="CZ82" s="541"/>
      <c r="DA82" s="541"/>
      <c r="DB82" s="541"/>
      <c r="DC82" s="541"/>
      <c r="DD82" s="541"/>
      <c r="DE82" s="541"/>
      <c r="DF82" s="541"/>
      <c r="DG82" s="541"/>
      <c r="DK82" s="528">
        <f t="shared" si="11"/>
        <v>0</v>
      </c>
      <c r="DX82" s="519"/>
    </row>
    <row r="83" spans="1:140" ht="15">
      <c r="B83" s="560" t="s">
        <v>176</v>
      </c>
      <c r="C83" s="538"/>
      <c r="D83" s="538"/>
      <c r="E83" s="538"/>
      <c r="F83" s="538"/>
      <c r="G83" s="538"/>
      <c r="H83" s="538"/>
      <c r="I83" s="538"/>
      <c r="J83" s="538"/>
      <c r="K83" s="538"/>
      <c r="L83" s="538"/>
      <c r="M83" s="538"/>
      <c r="N83" s="538"/>
      <c r="O83" s="514">
        <f t="shared" si="3"/>
        <v>0</v>
      </c>
      <c r="P83" s="623"/>
      <c r="Q83" s="623"/>
      <c r="R83" s="623"/>
      <c r="S83" s="623"/>
      <c r="T83" s="623"/>
      <c r="U83" s="623"/>
      <c r="V83" s="534"/>
      <c r="W83" s="544"/>
      <c r="X83" s="623"/>
      <c r="Y83" s="623"/>
      <c r="Z83" s="525"/>
      <c r="AA83" s="534"/>
      <c r="AB83" s="605"/>
      <c r="AC83" s="606"/>
      <c r="AD83" s="525"/>
      <c r="AE83" s="630"/>
      <c r="AF83" s="525"/>
      <c r="AG83" s="634"/>
      <c r="AH83" s="617"/>
      <c r="AI83" s="634"/>
      <c r="AJ83" s="628"/>
      <c r="AK83" s="607"/>
      <c r="AL83" s="628"/>
      <c r="AM83" s="628"/>
      <c r="AN83" s="628"/>
      <c r="AO83" s="628"/>
      <c r="AP83" s="525"/>
      <c r="AQ83" s="525"/>
      <c r="AR83" s="525"/>
      <c r="AS83" s="525"/>
      <c r="AT83" s="525"/>
      <c r="AU83" s="525"/>
      <c r="AV83" s="525"/>
      <c r="AW83" s="525"/>
      <c r="AX83" s="528"/>
      <c r="AY83" s="606"/>
      <c r="AZ83" s="525"/>
      <c r="BA83" s="525"/>
      <c r="BB83" s="525"/>
      <c r="BC83" s="525"/>
      <c r="BD83" s="525"/>
      <c r="BE83" s="525"/>
      <c r="BF83" s="525"/>
      <c r="BG83" s="525"/>
      <c r="BH83" s="525"/>
      <c r="BI83" s="525"/>
      <c r="BJ83" s="608"/>
      <c r="BK83" s="528"/>
      <c r="BL83" s="614"/>
      <c r="BM83" s="533"/>
      <c r="BN83" s="535"/>
      <c r="BO83" s="533"/>
      <c r="BP83" s="533"/>
      <c r="BQ83" s="535"/>
      <c r="BR83" s="533"/>
      <c r="BS83" s="533"/>
      <c r="BT83" s="533"/>
      <c r="BU83" s="533"/>
      <c r="BV83" s="533"/>
      <c r="BW83" s="618"/>
      <c r="BX83" s="528">
        <f t="shared" si="9"/>
        <v>0</v>
      </c>
      <c r="BY83" s="525"/>
      <c r="BZ83" s="525"/>
      <c r="CA83" s="525"/>
      <c r="CB83" s="525"/>
      <c r="CC83" s="525"/>
      <c r="CD83" s="525"/>
      <c r="CE83" s="525"/>
      <c r="CF83" s="525"/>
      <c r="CG83" s="525"/>
      <c r="CH83" s="525"/>
      <c r="CI83" s="525"/>
      <c r="CJ83" s="525"/>
      <c r="CK83" s="528">
        <f t="shared" ref="CK83" si="23">SUM(BY83:CJ83)</f>
        <v>0</v>
      </c>
      <c r="CL83" s="526"/>
      <c r="CM83" s="525"/>
      <c r="CN83" s="526"/>
      <c r="CO83" s="525"/>
      <c r="CP83" s="525"/>
      <c r="CQ83" s="525"/>
      <c r="CR83" s="525"/>
      <c r="CS83" s="525"/>
      <c r="CT83" s="525"/>
      <c r="CU83" s="525"/>
      <c r="CV83" s="525"/>
      <c r="CW83" s="525"/>
      <c r="CX83" s="528">
        <f t="shared" si="10"/>
        <v>0</v>
      </c>
      <c r="CY83" s="881"/>
      <c r="CZ83" s="541"/>
      <c r="DA83" s="541"/>
      <c r="DB83" s="541"/>
      <c r="DC83" s="541"/>
      <c r="DD83" s="541"/>
      <c r="DE83" s="541"/>
      <c r="DF83" s="541"/>
      <c r="DG83" s="541"/>
      <c r="DK83" s="528">
        <f t="shared" si="11"/>
        <v>0</v>
      </c>
      <c r="DX83" s="519">
        <f t="shared" si="12"/>
        <v>0</v>
      </c>
    </row>
    <row r="84" spans="1:140" ht="15">
      <c r="B84" s="480" t="s">
        <v>177</v>
      </c>
      <c r="C84" s="538"/>
      <c r="D84" s="538"/>
      <c r="E84" s="538"/>
      <c r="F84" s="538"/>
      <c r="G84" s="538"/>
      <c r="H84" s="538"/>
      <c r="I84" s="538"/>
      <c r="J84" s="538"/>
      <c r="K84" s="538"/>
      <c r="L84" s="538"/>
      <c r="M84" s="538"/>
      <c r="N84" s="538"/>
      <c r="O84" s="514">
        <f t="shared" si="3"/>
        <v>0</v>
      </c>
      <c r="P84" s="623"/>
      <c r="Q84" s="623"/>
      <c r="R84" s="623"/>
      <c r="S84" s="623"/>
      <c r="T84" s="623"/>
      <c r="U84" s="623"/>
      <c r="V84" s="534"/>
      <c r="W84" s="544"/>
      <c r="X84" s="623"/>
      <c r="Y84" s="623"/>
      <c r="Z84" s="525"/>
      <c r="AA84" s="534"/>
      <c r="AB84" s="605">
        <f t="shared" si="4"/>
        <v>0</v>
      </c>
      <c r="AC84" s="606"/>
      <c r="AD84" s="525"/>
      <c r="AE84" s="630"/>
      <c r="AF84" s="525"/>
      <c r="AG84" s="630">
        <f>21420/1.1136</f>
        <v>19234.913793103449</v>
      </c>
      <c r="AH84" s="544">
        <f>-2625/1.1174-75/1.121+(1050+19593+14994)/1.121</f>
        <v>29374.257687217378</v>
      </c>
      <c r="AI84" s="634"/>
      <c r="AJ84" s="628"/>
      <c r="AK84" s="607">
        <f t="shared" si="7"/>
        <v>48609.171480320831</v>
      </c>
      <c r="AL84" s="628"/>
      <c r="AM84" s="634"/>
      <c r="AN84" s="628"/>
      <c r="AO84" s="628"/>
      <c r="AP84" s="525"/>
      <c r="AQ84" s="525"/>
      <c r="AR84" s="525"/>
      <c r="AS84" s="525"/>
      <c r="AT84" s="534">
        <f>92575/1.2081</f>
        <v>76628.590348481084</v>
      </c>
      <c r="AU84" s="534">
        <v>-20000</v>
      </c>
      <c r="AV84" s="534">
        <f>41591-20500</f>
        <v>21091</v>
      </c>
      <c r="AW84" s="534">
        <v>216</v>
      </c>
      <c r="AX84" s="528">
        <f>SUM(AL84:AW84)</f>
        <v>77935.590348481084</v>
      </c>
      <c r="AY84" s="613">
        <f>52200+33560-17360/1.1629</f>
        <v>70831.803250494457</v>
      </c>
      <c r="AZ84" s="533"/>
      <c r="BA84" s="525"/>
      <c r="BB84" s="534">
        <f>701700-93925</f>
        <v>607775</v>
      </c>
      <c r="BC84" s="525"/>
      <c r="BD84" s="525"/>
      <c r="BE84" s="525"/>
      <c r="BF84" s="525"/>
      <c r="BG84" s="534">
        <f>637500-16642.5/1.1328</f>
        <v>622808.52754237293</v>
      </c>
      <c r="BH84" s="525"/>
      <c r="BI84" s="525"/>
      <c r="BJ84" s="534">
        <f>38752/1.0195</f>
        <v>38010.789602746445</v>
      </c>
      <c r="BK84" s="528">
        <f>SUM(AY84:BJ84)</f>
        <v>1339426.1203956138</v>
      </c>
      <c r="BL84" s="614"/>
      <c r="BM84" s="534">
        <f>-19792.08/1.0927</f>
        <v>-18113.004484304933</v>
      </c>
      <c r="BN84" s="644">
        <f>-5952.24/1.0927+26992/1.0366-159215-270000-270000</f>
        <v>-678623.30381885881</v>
      </c>
      <c r="BO84" s="534">
        <f>24375/1.0538</f>
        <v>23130.575061681531</v>
      </c>
      <c r="BP84" s="533"/>
      <c r="BQ84" s="535"/>
      <c r="BR84" s="644">
        <f>5040/1.0586-4480/1.0596</f>
        <v>532.99453105046905</v>
      </c>
      <c r="BS84" s="533"/>
      <c r="BT84" s="533"/>
      <c r="BU84" s="533"/>
      <c r="BV84" s="644">
        <f>-1087.2/1.0821</f>
        <v>-1004.7130579428888</v>
      </c>
      <c r="BW84" s="618"/>
      <c r="BX84" s="528">
        <f t="shared" si="9"/>
        <v>-674077.45176837465</v>
      </c>
      <c r="BY84" s="525"/>
      <c r="BZ84" s="525"/>
      <c r="CA84" s="534">
        <f>600/1.0683-11550/1.0813</f>
        <v>-10119.946989869628</v>
      </c>
      <c r="CB84" s="525"/>
      <c r="CC84" s="534">
        <f>-14114.44+19406.74-60952.97+31291.39+11589.4+11589.4</f>
        <v>-1190.4799999999996</v>
      </c>
      <c r="CD84" s="525"/>
      <c r="CE84" s="525"/>
      <c r="CF84" s="525"/>
      <c r="CG84" s="644">
        <f>15047.5+36500</f>
        <v>51547.5</v>
      </c>
      <c r="CH84" s="534">
        <f>16964</f>
        <v>16964</v>
      </c>
      <c r="CI84" s="534">
        <f>2534.87+1745.67-268.01+9478.2</f>
        <v>13490.73</v>
      </c>
      <c r="CJ84" s="534">
        <f>36325.71+31824.48+53085.37</f>
        <v>121235.56</v>
      </c>
      <c r="CK84" s="528">
        <f t="shared" ref="CK84:CK87" si="24">SUM(BY84:CJ84)</f>
        <v>191927.36301013036</v>
      </c>
      <c r="CL84" s="526"/>
      <c r="CM84" s="525"/>
      <c r="CN84" s="615">
        <f>(11500+11500+11500)-2100/1.0951+10336.49</f>
        <v>42918.856907131769</v>
      </c>
      <c r="CO84" s="525"/>
      <c r="CP84" s="615">
        <f>9699.9/1.0426+10950/1.0304-(24150+24150+24150)/1.0637</f>
        <v>-48180.800582910655</v>
      </c>
      <c r="CQ84" s="544">
        <f>107700/1.0304</f>
        <v>104522.51552795031</v>
      </c>
      <c r="CR84" s="525"/>
      <c r="CS84" s="525"/>
      <c r="CT84" s="619"/>
      <c r="CU84" s="534">
        <v>-117000</v>
      </c>
      <c r="CV84" s="525"/>
      <c r="CW84" s="534">
        <v>-14250</v>
      </c>
      <c r="CX84" s="528">
        <f t="shared" ref="CX84" si="25">SUM(CL84:CW84)</f>
        <v>-31989.428147828585</v>
      </c>
      <c r="CY84" s="544">
        <v>-37094</v>
      </c>
      <c r="CZ84" s="544">
        <v>-8824</v>
      </c>
      <c r="DA84" s="541"/>
      <c r="DB84" s="541"/>
      <c r="DC84" s="541"/>
      <c r="DD84" s="615">
        <v>4432.2</v>
      </c>
      <c r="DE84" s="534">
        <v>17460</v>
      </c>
      <c r="DF84" s="534">
        <v>41335.199999999997</v>
      </c>
      <c r="DG84" s="534">
        <v>83415</v>
      </c>
      <c r="DH84" s="552">
        <v>40000</v>
      </c>
      <c r="DK84" s="528">
        <f t="shared" ref="DK84:DK86" si="26">SUM(CY84:DJ84)</f>
        <v>140724.4</v>
      </c>
      <c r="DX84" s="519">
        <f t="shared" ref="DX84:DX87" si="27">SUM(DL84:DW84)</f>
        <v>0</v>
      </c>
    </row>
    <row r="85" spans="1:140" ht="15">
      <c r="B85" s="480" t="s">
        <v>680</v>
      </c>
      <c r="C85" s="538"/>
      <c r="D85" s="538"/>
      <c r="E85" s="538"/>
      <c r="F85" s="538"/>
      <c r="G85" s="538"/>
      <c r="H85" s="538"/>
      <c r="I85" s="538"/>
      <c r="J85" s="538"/>
      <c r="K85" s="538"/>
      <c r="L85" s="538"/>
      <c r="M85" s="538"/>
      <c r="N85" s="538"/>
      <c r="O85" s="514"/>
      <c r="P85" s="623"/>
      <c r="Q85" s="623"/>
      <c r="R85" s="623"/>
      <c r="S85" s="623"/>
      <c r="T85" s="623"/>
      <c r="U85" s="623"/>
      <c r="V85" s="534"/>
      <c r="W85" s="544"/>
      <c r="X85" s="623"/>
      <c r="Y85" s="623"/>
      <c r="Z85" s="525"/>
      <c r="AA85" s="534"/>
      <c r="AB85" s="605"/>
      <c r="AC85" s="606"/>
      <c r="AD85" s="525"/>
      <c r="AE85" s="630"/>
      <c r="AF85" s="525"/>
      <c r="AG85" s="630"/>
      <c r="AH85" s="544"/>
      <c r="AI85" s="634"/>
      <c r="AJ85" s="628"/>
      <c r="AK85" s="607"/>
      <c r="AL85" s="628"/>
      <c r="AM85" s="634"/>
      <c r="AN85" s="628"/>
      <c r="AO85" s="628"/>
      <c r="AP85" s="525"/>
      <c r="AQ85" s="525"/>
      <c r="AR85" s="525"/>
      <c r="AS85" s="525"/>
      <c r="AT85" s="534"/>
      <c r="AU85" s="534"/>
      <c r="AV85" s="534"/>
      <c r="AW85" s="534"/>
      <c r="AX85" s="528"/>
      <c r="AY85" s="613"/>
      <c r="AZ85" s="533"/>
      <c r="BA85" s="525"/>
      <c r="BB85" s="534"/>
      <c r="BC85" s="525"/>
      <c r="BD85" s="525"/>
      <c r="BE85" s="525"/>
      <c r="BF85" s="525"/>
      <c r="BG85" s="534"/>
      <c r="BH85" s="525"/>
      <c r="BI85" s="525"/>
      <c r="BJ85" s="534"/>
      <c r="BK85" s="528"/>
      <c r="BL85" s="614"/>
      <c r="BM85" s="534"/>
      <c r="BN85" s="644"/>
      <c r="BO85" s="534"/>
      <c r="BP85" s="533"/>
      <c r="BQ85" s="535"/>
      <c r="BR85" s="644"/>
      <c r="BS85" s="533"/>
      <c r="BT85" s="533"/>
      <c r="BU85" s="533"/>
      <c r="BV85" s="644"/>
      <c r="BW85" s="618"/>
      <c r="BX85" s="528"/>
      <c r="BY85" s="525"/>
      <c r="BZ85" s="525"/>
      <c r="CA85" s="534"/>
      <c r="CB85" s="525"/>
      <c r="CC85" s="534"/>
      <c r="CD85" s="525"/>
      <c r="CE85" s="525"/>
      <c r="CF85" s="525"/>
      <c r="CG85" s="644"/>
      <c r="CH85" s="534"/>
      <c r="CI85" s="534"/>
      <c r="CJ85" s="534"/>
      <c r="CK85" s="528"/>
      <c r="CL85" s="526"/>
      <c r="CM85" s="525"/>
      <c r="CN85" s="615"/>
      <c r="CO85" s="525"/>
      <c r="CP85" s="615"/>
      <c r="CQ85" s="544"/>
      <c r="CR85" s="525"/>
      <c r="CS85" s="525"/>
      <c r="CT85" s="619"/>
      <c r="CU85" s="534"/>
      <c r="CV85" s="525"/>
      <c r="CW85" s="534"/>
      <c r="CX85" s="528"/>
      <c r="CY85" s="544"/>
      <c r="CZ85" s="544"/>
      <c r="DA85" s="541"/>
      <c r="DB85" s="541"/>
      <c r="DC85" s="541"/>
      <c r="DD85" s="615"/>
      <c r="DE85" s="534"/>
      <c r="DF85" s="534"/>
      <c r="DG85" s="534">
        <v>132025</v>
      </c>
      <c r="DH85" s="782">
        <v>112487</v>
      </c>
      <c r="DI85" s="536">
        <v>46545.48</v>
      </c>
      <c r="DK85" s="528">
        <f t="shared" si="26"/>
        <v>291057.48</v>
      </c>
      <c r="DX85" s="519"/>
    </row>
    <row r="86" spans="1:140" ht="15">
      <c r="B86" s="480" t="s">
        <v>178</v>
      </c>
      <c r="C86" s="512"/>
      <c r="D86" s="538"/>
      <c r="E86" s="538"/>
      <c r="F86" s="538"/>
      <c r="G86" s="538"/>
      <c r="H86" s="538"/>
      <c r="I86" s="538"/>
      <c r="J86" s="538"/>
      <c r="K86" s="538"/>
      <c r="L86" s="538"/>
      <c r="M86" s="538"/>
      <c r="N86" s="538"/>
      <c r="O86" s="514">
        <f t="shared" si="3"/>
        <v>0</v>
      </c>
      <c r="P86" s="623"/>
      <c r="Q86" s="623"/>
      <c r="R86" s="623"/>
      <c r="S86" s="623"/>
      <c r="T86" s="623"/>
      <c r="U86" s="623"/>
      <c r="V86" s="534"/>
      <c r="W86" s="544"/>
      <c r="X86" s="623"/>
      <c r="Y86" s="623"/>
      <c r="Z86" s="525"/>
      <c r="AA86" s="534"/>
      <c r="AB86" s="605">
        <f t="shared" si="4"/>
        <v>0</v>
      </c>
      <c r="AC86" s="606"/>
      <c r="AD86" s="525"/>
      <c r="AE86" s="630"/>
      <c r="AF86" s="544"/>
      <c r="AG86" s="634"/>
      <c r="AH86" s="617"/>
      <c r="AI86" s="634"/>
      <c r="AJ86" s="628"/>
      <c r="AK86" s="607">
        <f t="shared" si="7"/>
        <v>0</v>
      </c>
      <c r="AL86" s="628"/>
      <c r="AM86" s="634"/>
      <c r="AN86" s="628"/>
      <c r="AO86" s="628"/>
      <c r="AP86" s="525"/>
      <c r="AQ86" s="525"/>
      <c r="AR86" s="525"/>
      <c r="AS86" s="525"/>
      <c r="AT86" s="525"/>
      <c r="AU86" s="525"/>
      <c r="AV86" s="525"/>
      <c r="AW86" s="525"/>
      <c r="AX86" s="528">
        <f t="shared" si="14"/>
        <v>0</v>
      </c>
      <c r="AY86" s="606"/>
      <c r="AZ86" s="525"/>
      <c r="BA86" s="525"/>
      <c r="BB86" s="525"/>
      <c r="BC86" s="525"/>
      <c r="BD86" s="525"/>
      <c r="BE86" s="525"/>
      <c r="BF86" s="525"/>
      <c r="BG86" s="525"/>
      <c r="BH86" s="525"/>
      <c r="BI86" s="525"/>
      <c r="BJ86" s="608"/>
      <c r="BK86" s="528">
        <f t="shared" si="13"/>
        <v>0</v>
      </c>
      <c r="BL86" s="606"/>
      <c r="BM86" s="525"/>
      <c r="BN86" s="526"/>
      <c r="BO86" s="525"/>
      <c r="BP86" s="525"/>
      <c r="BQ86" s="526"/>
      <c r="BR86" s="525"/>
      <c r="BS86" s="525"/>
      <c r="BT86" s="525"/>
      <c r="BU86" s="525"/>
      <c r="BV86" s="525"/>
      <c r="BW86" s="608"/>
      <c r="BX86" s="528">
        <f t="shared" si="9"/>
        <v>0</v>
      </c>
      <c r="BY86" s="525"/>
      <c r="BZ86" s="525"/>
      <c r="CA86" s="525"/>
      <c r="CB86" s="525"/>
      <c r="CC86" s="525"/>
      <c r="CD86" s="525"/>
      <c r="CE86" s="525"/>
      <c r="CF86" s="525"/>
      <c r="CG86" s="525"/>
      <c r="CH86" s="525"/>
      <c r="CI86" s="525"/>
      <c r="CJ86" s="525"/>
      <c r="CK86" s="528">
        <f t="shared" si="24"/>
        <v>0</v>
      </c>
      <c r="CL86" s="526"/>
      <c r="CM86" s="525"/>
      <c r="CN86" s="526"/>
      <c r="CO86" s="525"/>
      <c r="CP86" s="525"/>
      <c r="CQ86" s="525"/>
      <c r="CR86" s="525"/>
      <c r="CS86" s="525"/>
      <c r="CT86" s="525"/>
      <c r="CU86" s="525"/>
      <c r="CV86" s="525"/>
      <c r="CW86" s="525"/>
      <c r="CX86" s="528">
        <f t="shared" ref="CX86:CX87" si="28">SUM(CL86:CW86)</f>
        <v>0</v>
      </c>
      <c r="CY86" s="881"/>
      <c r="CZ86" s="541"/>
      <c r="DA86" s="541"/>
      <c r="DB86" s="541"/>
      <c r="DC86" s="541"/>
      <c r="DD86" s="541"/>
      <c r="DE86" s="541"/>
      <c r="DF86" s="541"/>
      <c r="DG86" s="541"/>
      <c r="DK86" s="528">
        <f t="shared" si="26"/>
        <v>0</v>
      </c>
      <c r="DX86" s="519">
        <f t="shared" si="27"/>
        <v>0</v>
      </c>
    </row>
    <row r="87" spans="1:140" ht="15">
      <c r="B87" s="560" t="s">
        <v>179</v>
      </c>
      <c r="C87" s="538">
        <v>1000</v>
      </c>
      <c r="D87" s="538"/>
      <c r="E87" s="538"/>
      <c r="F87" s="538"/>
      <c r="G87" s="538"/>
      <c r="H87" s="538"/>
      <c r="I87" s="538"/>
      <c r="J87" s="538"/>
      <c r="K87" s="538"/>
      <c r="L87" s="538"/>
      <c r="M87" s="538"/>
      <c r="N87" s="538"/>
      <c r="O87" s="580"/>
      <c r="P87" s="623"/>
      <c r="Q87" s="623"/>
      <c r="R87" s="623"/>
      <c r="S87" s="623"/>
      <c r="T87" s="623"/>
      <c r="U87" s="623"/>
      <c r="V87" s="534"/>
      <c r="W87" s="525"/>
      <c r="X87" s="624"/>
      <c r="Y87" s="624"/>
      <c r="Z87" s="624"/>
      <c r="AA87" s="624"/>
      <c r="AB87" s="645">
        <f t="shared" si="4"/>
        <v>0</v>
      </c>
      <c r="AC87" s="525"/>
      <c r="AD87" s="628"/>
      <c r="AE87" s="628"/>
      <c r="AF87" s="544"/>
      <c r="AG87" s="525"/>
      <c r="AH87" s="628"/>
      <c r="AI87" s="628"/>
      <c r="AJ87" s="628"/>
      <c r="AK87" s="645">
        <f t="shared" si="7"/>
        <v>0</v>
      </c>
      <c r="AL87" s="628"/>
      <c r="AM87" s="628"/>
      <c r="AN87" s="628"/>
      <c r="AO87" s="628"/>
      <c r="AP87" s="525"/>
      <c r="AQ87" s="525"/>
      <c r="AR87" s="525"/>
      <c r="AS87" s="525"/>
      <c r="AT87" s="525"/>
      <c r="AU87" s="525"/>
      <c r="AV87" s="525"/>
      <c r="AW87" s="525"/>
      <c r="AX87" s="527"/>
      <c r="AY87" s="525"/>
      <c r="AZ87" s="525"/>
      <c r="BA87" s="525"/>
      <c r="BB87" s="525"/>
      <c r="BC87" s="525"/>
      <c r="BD87" s="525"/>
      <c r="BE87" s="525"/>
      <c r="BF87" s="525"/>
      <c r="BG87" s="525"/>
      <c r="BH87" s="525"/>
      <c r="BI87" s="525"/>
      <c r="BJ87" s="525"/>
      <c r="BK87" s="527">
        <f>SUM(AY87:BJ87)</f>
        <v>0</v>
      </c>
      <c r="BL87" s="525"/>
      <c r="BM87" s="525"/>
      <c r="BN87" s="526"/>
      <c r="BO87" s="525"/>
      <c r="BP87" s="525"/>
      <c r="BQ87" s="526"/>
      <c r="BR87" s="525"/>
      <c r="BS87" s="525"/>
      <c r="BT87" s="525"/>
      <c r="BU87" s="525"/>
      <c r="BV87" s="525"/>
      <c r="BW87" s="525"/>
      <c r="BX87" s="527">
        <f t="shared" si="9"/>
        <v>0</v>
      </c>
      <c r="BY87" s="525"/>
      <c r="BZ87" s="525"/>
      <c r="CA87" s="525"/>
      <c r="CB87" s="525"/>
      <c r="CC87" s="525"/>
      <c r="CD87" s="525"/>
      <c r="CE87" s="525"/>
      <c r="CF87" s="525"/>
      <c r="CG87" s="525"/>
      <c r="CH87" s="525"/>
      <c r="CI87" s="525"/>
      <c r="CJ87" s="525"/>
      <c r="CK87" s="527">
        <f t="shared" si="24"/>
        <v>0</v>
      </c>
      <c r="CL87" s="526"/>
      <c r="CM87" s="525"/>
      <c r="CN87" s="526"/>
      <c r="CO87" s="525"/>
      <c r="CP87" s="525"/>
      <c r="CQ87" s="525"/>
      <c r="CR87" s="525"/>
      <c r="CS87" s="525"/>
      <c r="CT87" s="525"/>
      <c r="CU87" s="525"/>
      <c r="CV87" s="525"/>
      <c r="CW87" s="525"/>
      <c r="CX87" s="528">
        <f t="shared" si="28"/>
        <v>0</v>
      </c>
      <c r="CY87" s="881"/>
      <c r="CZ87" s="541"/>
      <c r="DA87" s="541"/>
      <c r="DB87" s="541"/>
      <c r="DC87" s="541"/>
      <c r="DD87" s="541"/>
      <c r="DE87" s="541"/>
      <c r="DF87" s="541"/>
      <c r="DG87" s="541"/>
      <c r="DK87" s="527">
        <f t="shared" ref="DK87" si="29">SUM(CY87:DJ87)</f>
        <v>0</v>
      </c>
      <c r="DX87" s="582">
        <f t="shared" si="27"/>
        <v>0</v>
      </c>
    </row>
    <row r="88" spans="1:140" s="481" customFormat="1">
      <c r="A88" s="480"/>
      <c r="B88" s="480"/>
      <c r="C88" s="480"/>
      <c r="D88" s="480"/>
      <c r="E88" s="480"/>
      <c r="F88" s="480"/>
      <c r="G88" s="480"/>
      <c r="H88" s="480"/>
      <c r="I88" s="480"/>
      <c r="J88" s="480"/>
      <c r="K88" s="480"/>
      <c r="L88" s="480"/>
      <c r="M88" s="480"/>
      <c r="N88" s="480"/>
      <c r="O88" s="480"/>
      <c r="P88" s="480"/>
      <c r="Q88" s="480"/>
      <c r="R88" s="480"/>
      <c r="S88" s="480"/>
      <c r="T88" s="480"/>
      <c r="U88" s="480"/>
      <c r="V88" s="480"/>
      <c r="W88" s="480"/>
      <c r="X88" s="480"/>
      <c r="Y88" s="480"/>
      <c r="Z88" s="480"/>
      <c r="AA88" s="480"/>
      <c r="AD88" s="480"/>
      <c r="AE88" s="480"/>
      <c r="AF88" s="480"/>
      <c r="AG88" s="480"/>
      <c r="AH88" s="480"/>
      <c r="AI88" s="480"/>
      <c r="AJ88" s="480"/>
      <c r="AK88" s="480"/>
      <c r="AL88" s="480"/>
      <c r="AM88" s="480"/>
      <c r="AN88" s="480"/>
      <c r="AO88" s="480"/>
      <c r="AP88" s="480"/>
      <c r="AQ88" s="480"/>
      <c r="AR88" s="480"/>
      <c r="AS88" s="480"/>
      <c r="AT88" s="480"/>
      <c r="AU88" s="480"/>
      <c r="AV88" s="480"/>
      <c r="AW88" s="480"/>
      <c r="AX88" s="480"/>
      <c r="AY88" s="480"/>
      <c r="AZ88" s="480"/>
      <c r="BA88" s="480"/>
      <c r="BB88" s="480"/>
      <c r="BC88" s="480"/>
      <c r="BD88" s="480"/>
      <c r="BE88" s="480"/>
      <c r="BF88" s="480"/>
      <c r="BG88" s="480"/>
      <c r="BH88" s="480"/>
      <c r="BI88" s="480"/>
      <c r="BJ88" s="480"/>
      <c r="BK88" s="480"/>
      <c r="BL88" s="480"/>
      <c r="BM88" s="480"/>
      <c r="BN88" s="480"/>
      <c r="BO88" s="480"/>
      <c r="BP88" s="480"/>
      <c r="BQ88" s="480"/>
      <c r="BR88" s="480"/>
      <c r="BS88" s="480"/>
      <c r="BT88" s="480"/>
      <c r="BU88" s="480"/>
      <c r="BV88" s="480"/>
      <c r="BW88" s="480"/>
      <c r="BX88" s="480"/>
      <c r="BY88" s="480"/>
      <c r="BZ88" s="480"/>
      <c r="CA88" s="480"/>
      <c r="CB88" s="480"/>
      <c r="CC88" s="480"/>
      <c r="CD88" s="480"/>
      <c r="CE88" s="480"/>
      <c r="CF88" s="480"/>
      <c r="CG88" s="480"/>
      <c r="CH88" s="480"/>
      <c r="CI88" s="480"/>
      <c r="CJ88" s="480"/>
      <c r="CK88" s="482"/>
      <c r="CL88" s="480"/>
      <c r="CM88" s="480"/>
      <c r="CN88" s="480"/>
      <c r="CO88" s="480"/>
      <c r="CP88" s="480"/>
      <c r="CQ88" s="480"/>
      <c r="CR88" s="480"/>
      <c r="CS88" s="480"/>
      <c r="CT88" s="480"/>
      <c r="CU88" s="480"/>
      <c r="CV88" s="480"/>
      <c r="CW88" s="480"/>
      <c r="CX88" s="482"/>
      <c r="CY88" s="480"/>
      <c r="CZ88" s="480"/>
      <c r="DA88" s="480"/>
      <c r="DB88" s="480"/>
      <c r="DC88" s="480"/>
      <c r="DD88" s="480"/>
      <c r="DE88" s="541"/>
      <c r="DF88" s="541"/>
      <c r="DG88" s="541"/>
      <c r="DH88" s="480"/>
      <c r="DI88" s="480"/>
      <c r="DJ88" s="480"/>
      <c r="DK88" s="482"/>
      <c r="DL88" s="480"/>
      <c r="DM88" s="480"/>
      <c r="DN88" s="480"/>
      <c r="DO88" s="480"/>
      <c r="DP88" s="480"/>
      <c r="DQ88" s="480"/>
      <c r="DR88" s="480"/>
      <c r="DS88" s="480"/>
      <c r="DT88" s="480"/>
      <c r="DU88" s="480"/>
      <c r="DV88" s="480"/>
      <c r="DW88" s="480"/>
      <c r="DX88" s="482"/>
      <c r="DY88" s="480"/>
      <c r="DZ88" s="480"/>
      <c r="EA88" s="480"/>
      <c r="EB88" s="480"/>
      <c r="EC88" s="480"/>
      <c r="ED88" s="480"/>
      <c r="EE88" s="480"/>
      <c r="EF88" s="480"/>
      <c r="EG88" s="480"/>
      <c r="EH88" s="480"/>
      <c r="EI88" s="480"/>
      <c r="EJ88" s="480"/>
    </row>
    <row r="89" spans="1:140" s="481" customFormat="1">
      <c r="A89" s="480"/>
      <c r="B89" s="480"/>
      <c r="C89" s="480"/>
      <c r="D89" s="480"/>
      <c r="E89" s="480"/>
      <c r="F89" s="480"/>
      <c r="G89" s="480"/>
      <c r="H89" s="480"/>
      <c r="I89" s="480"/>
      <c r="J89" s="480"/>
      <c r="K89" s="480"/>
      <c r="L89" s="480"/>
      <c r="M89" s="480"/>
      <c r="N89" s="480"/>
      <c r="O89" s="480"/>
      <c r="P89" s="480"/>
      <c r="Q89" s="480"/>
      <c r="R89" s="480"/>
      <c r="S89" s="480"/>
      <c r="T89" s="480"/>
      <c r="U89" s="480"/>
      <c r="V89" s="480"/>
      <c r="W89" s="480"/>
      <c r="X89" s="480"/>
      <c r="Y89" s="480"/>
      <c r="Z89" s="480"/>
      <c r="AA89" s="480"/>
      <c r="AD89" s="480"/>
      <c r="AE89" s="480"/>
      <c r="AF89" s="480"/>
      <c r="AG89" s="480"/>
      <c r="AH89" s="480"/>
      <c r="AI89" s="480"/>
      <c r="AJ89" s="480"/>
      <c r="AK89" s="480"/>
      <c r="AL89" s="480"/>
      <c r="AM89" s="480"/>
      <c r="AN89" s="480"/>
      <c r="AO89" s="480"/>
      <c r="AP89" s="480"/>
      <c r="AQ89" s="480"/>
      <c r="AR89" s="480"/>
      <c r="AS89" s="480"/>
      <c r="AT89" s="480"/>
      <c r="AU89" s="480"/>
      <c r="AV89" s="480"/>
      <c r="AW89" s="480"/>
      <c r="AX89" s="480"/>
      <c r="AY89" s="480"/>
      <c r="AZ89" s="480"/>
      <c r="BA89" s="480"/>
      <c r="BB89" s="480"/>
      <c r="BC89" s="480"/>
      <c r="BD89" s="480"/>
      <c r="BE89" s="480"/>
      <c r="BF89" s="480"/>
      <c r="BG89" s="480"/>
      <c r="BH89" s="480"/>
      <c r="BI89" s="480"/>
      <c r="BJ89" s="480"/>
      <c r="BK89" s="480"/>
      <c r="BL89" s="480"/>
      <c r="BM89" s="480"/>
      <c r="BN89" s="480"/>
      <c r="BO89" s="480"/>
      <c r="BP89" s="480"/>
      <c r="BQ89" s="480"/>
      <c r="BR89" s="480"/>
      <c r="BS89" s="480"/>
      <c r="BT89" s="480"/>
      <c r="BU89" s="480"/>
      <c r="BV89" s="480"/>
      <c r="BW89" s="480"/>
      <c r="BX89" s="480"/>
      <c r="BY89" s="480"/>
      <c r="BZ89" s="480"/>
      <c r="CA89" s="480"/>
      <c r="CB89" s="480"/>
      <c r="CC89" s="480"/>
      <c r="CD89" s="480"/>
      <c r="CE89" s="480"/>
      <c r="CF89" s="480"/>
      <c r="CG89" s="480"/>
      <c r="CH89" s="480"/>
      <c r="CI89" s="480"/>
      <c r="CJ89" s="480"/>
      <c r="CK89" s="482"/>
      <c r="CL89" s="480"/>
      <c r="CM89" s="480"/>
      <c r="CN89" s="480"/>
      <c r="CO89" s="480"/>
      <c r="CP89" s="480"/>
      <c r="CQ89" s="480"/>
      <c r="CR89" s="480"/>
      <c r="CS89" s="480"/>
      <c r="CT89" s="480"/>
      <c r="CU89" s="480"/>
      <c r="CV89" s="480"/>
      <c r="CW89" s="480"/>
      <c r="CX89" s="482"/>
      <c r="CY89" s="480"/>
      <c r="CZ89" s="480"/>
      <c r="DA89" s="480"/>
      <c r="DB89" s="480"/>
      <c r="DC89" s="480"/>
      <c r="DD89" s="480"/>
      <c r="DE89" s="541"/>
      <c r="DF89" s="541"/>
      <c r="DG89" s="541"/>
      <c r="DH89" s="480"/>
      <c r="DI89" s="480"/>
      <c r="DJ89" s="480"/>
      <c r="DK89" s="482"/>
      <c r="DL89" s="480"/>
      <c r="DM89" s="480"/>
      <c r="DN89" s="480"/>
      <c r="DO89" s="480"/>
      <c r="DP89" s="480"/>
      <c r="DQ89" s="480"/>
      <c r="DR89" s="480"/>
      <c r="DS89" s="480"/>
      <c r="DT89" s="480"/>
      <c r="DU89" s="480"/>
      <c r="DV89" s="480"/>
      <c r="DW89" s="480"/>
      <c r="DX89" s="482"/>
      <c r="DY89" s="480"/>
      <c r="DZ89" s="480"/>
      <c r="EA89" s="480"/>
      <c r="EB89" s="480"/>
      <c r="EC89" s="480"/>
      <c r="ED89" s="480"/>
      <c r="EE89" s="480"/>
      <c r="EF89" s="480"/>
      <c r="EG89" s="480"/>
      <c r="EH89" s="480"/>
      <c r="EI89" s="480"/>
      <c r="EJ89" s="480"/>
    </row>
    <row r="90" spans="1:140" s="481" customFormat="1">
      <c r="A90" s="480"/>
      <c r="B90" s="480"/>
      <c r="C90" s="480"/>
      <c r="D90" s="480"/>
      <c r="E90" s="480"/>
      <c r="F90" s="480"/>
      <c r="G90" s="480"/>
      <c r="H90" s="480"/>
      <c r="I90" s="480"/>
      <c r="J90" s="480"/>
      <c r="K90" s="480"/>
      <c r="L90" s="480"/>
      <c r="M90" s="480"/>
      <c r="N90" s="480"/>
      <c r="O90" s="480"/>
      <c r="P90" s="480"/>
      <c r="Q90" s="480"/>
      <c r="R90" s="480"/>
      <c r="S90" s="480"/>
      <c r="T90" s="480"/>
      <c r="U90" s="480"/>
      <c r="V90" s="480"/>
      <c r="W90" s="480"/>
      <c r="X90" s="480"/>
      <c r="Y90" s="480"/>
      <c r="Z90" s="480"/>
      <c r="AA90" s="480"/>
      <c r="AD90" s="480"/>
      <c r="AE90" s="480"/>
      <c r="AF90" s="480"/>
      <c r="AG90" s="480"/>
      <c r="AH90" s="480"/>
      <c r="AI90" s="480"/>
      <c r="AJ90" s="480"/>
      <c r="AK90" s="480"/>
      <c r="AL90" s="480"/>
      <c r="AM90" s="480"/>
      <c r="AN90" s="480"/>
      <c r="AO90" s="480"/>
      <c r="AP90" s="480"/>
      <c r="AQ90" s="480"/>
      <c r="AR90" s="480"/>
      <c r="AS90" s="480"/>
      <c r="AT90" s="480"/>
      <c r="AU90" s="480"/>
      <c r="AV90" s="480"/>
      <c r="AW90" s="480"/>
      <c r="AX90" s="480"/>
      <c r="AY90" s="480"/>
      <c r="AZ90" s="480"/>
      <c r="BA90" s="480"/>
      <c r="BB90" s="480"/>
      <c r="BC90" s="480"/>
      <c r="BD90" s="480"/>
      <c r="BE90" s="480"/>
      <c r="BF90" s="480"/>
      <c r="BG90" s="480"/>
      <c r="BH90" s="480"/>
      <c r="BI90" s="480"/>
      <c r="BJ90" s="480"/>
      <c r="BK90" s="480"/>
      <c r="BL90" s="480"/>
      <c r="BM90" s="480"/>
      <c r="BN90" s="480"/>
      <c r="BO90" s="480"/>
      <c r="BP90" s="480"/>
      <c r="BQ90" s="480"/>
      <c r="BR90" s="480"/>
      <c r="BS90" s="480"/>
      <c r="BT90" s="480"/>
      <c r="BU90" s="480"/>
      <c r="BV90" s="480"/>
      <c r="BW90" s="480"/>
      <c r="BX90" s="480"/>
      <c r="BY90" s="480"/>
      <c r="BZ90" s="480"/>
      <c r="CA90" s="480"/>
      <c r="CB90" s="480"/>
      <c r="CC90" s="480"/>
      <c r="CD90" s="480"/>
      <c r="CE90" s="480"/>
      <c r="CF90" s="480"/>
      <c r="CG90" s="480"/>
      <c r="CH90" s="480"/>
      <c r="CI90" s="480"/>
      <c r="CJ90" s="480"/>
      <c r="CK90" s="482"/>
      <c r="CL90" s="480"/>
      <c r="CM90" s="480"/>
      <c r="CN90" s="480"/>
      <c r="CO90" s="480"/>
      <c r="CP90" s="480"/>
      <c r="CQ90" s="480"/>
      <c r="CR90" s="480"/>
      <c r="CS90" s="480"/>
      <c r="CT90" s="480"/>
      <c r="CU90" s="480"/>
      <c r="CV90" s="480"/>
      <c r="CW90" s="480"/>
      <c r="CX90" s="482"/>
      <c r="CY90" s="480"/>
      <c r="CZ90" s="480"/>
      <c r="DA90" s="480"/>
      <c r="DB90" s="480"/>
      <c r="DC90" s="480"/>
      <c r="DD90" s="480"/>
      <c r="DE90" s="480"/>
      <c r="DF90" s="480"/>
      <c r="DG90" s="480"/>
      <c r="DH90" s="480"/>
      <c r="DI90" s="480"/>
      <c r="DJ90" s="480"/>
      <c r="DK90" s="482"/>
      <c r="DL90" s="480"/>
      <c r="DM90" s="480"/>
      <c r="DN90" s="480"/>
      <c r="DO90" s="480"/>
      <c r="DP90" s="480"/>
      <c r="DQ90" s="480"/>
      <c r="DR90" s="480"/>
      <c r="DS90" s="480"/>
      <c r="DT90" s="480"/>
      <c r="DU90" s="480"/>
      <c r="DV90" s="480"/>
      <c r="DW90" s="480"/>
      <c r="DX90" s="482"/>
      <c r="DY90" s="480"/>
      <c r="DZ90" s="480"/>
      <c r="EA90" s="480"/>
      <c r="EB90" s="480"/>
      <c r="EC90" s="480"/>
      <c r="ED90" s="480"/>
      <c r="EE90" s="480"/>
      <c r="EF90" s="480"/>
      <c r="EG90" s="480"/>
      <c r="EH90" s="480"/>
      <c r="EI90" s="480"/>
      <c r="EJ90" s="480"/>
    </row>
    <row r="91" spans="1:140" s="481" customFormat="1">
      <c r="A91" s="480"/>
      <c r="B91" s="480"/>
      <c r="C91" s="480"/>
      <c r="D91" s="480"/>
      <c r="E91" s="480"/>
      <c r="F91" s="480"/>
      <c r="G91" s="480"/>
      <c r="H91" s="480"/>
      <c r="I91" s="480"/>
      <c r="J91" s="480"/>
      <c r="K91" s="480"/>
      <c r="L91" s="480"/>
      <c r="M91" s="480"/>
      <c r="N91" s="480"/>
      <c r="O91" s="480"/>
      <c r="P91" s="480"/>
      <c r="Q91" s="480"/>
      <c r="R91" s="480"/>
      <c r="S91" s="480"/>
      <c r="T91" s="480"/>
      <c r="U91" s="480"/>
      <c r="V91" s="480"/>
      <c r="W91" s="480"/>
      <c r="X91" s="480"/>
      <c r="Y91" s="480"/>
      <c r="Z91" s="480"/>
      <c r="AA91" s="480"/>
      <c r="AD91" s="480"/>
      <c r="AE91" s="480"/>
      <c r="AF91" s="480"/>
      <c r="AG91" s="480"/>
      <c r="AH91" s="480"/>
      <c r="AI91" s="480"/>
      <c r="AJ91" s="480"/>
      <c r="AK91" s="480"/>
      <c r="AL91" s="480"/>
      <c r="AM91" s="480"/>
      <c r="AN91" s="480"/>
      <c r="AO91" s="480"/>
      <c r="AP91" s="480"/>
      <c r="AQ91" s="480"/>
      <c r="AR91" s="480"/>
      <c r="AS91" s="480"/>
      <c r="AT91" s="480"/>
      <c r="AU91" s="480"/>
      <c r="AV91" s="480"/>
      <c r="AW91" s="480"/>
      <c r="AX91" s="480"/>
      <c r="AY91" s="480"/>
      <c r="AZ91" s="480"/>
      <c r="BA91" s="480"/>
      <c r="BB91" s="480"/>
      <c r="BC91" s="480"/>
      <c r="BD91" s="480"/>
      <c r="BE91" s="480"/>
      <c r="BF91" s="480"/>
      <c r="BG91" s="480"/>
      <c r="BH91" s="480"/>
      <c r="BI91" s="480"/>
      <c r="BJ91" s="480"/>
      <c r="BK91" s="480"/>
      <c r="BL91" s="480"/>
      <c r="BM91" s="480"/>
      <c r="BN91" s="480"/>
      <c r="BO91" s="480"/>
      <c r="BP91" s="480"/>
      <c r="BQ91" s="480"/>
      <c r="BR91" s="480"/>
      <c r="BS91" s="480"/>
      <c r="BT91" s="480"/>
      <c r="BU91" s="480"/>
      <c r="BV91" s="480"/>
      <c r="BW91" s="480"/>
      <c r="BX91" s="480"/>
      <c r="BY91" s="480"/>
      <c r="BZ91" s="480"/>
      <c r="CA91" s="480"/>
      <c r="CB91" s="480"/>
      <c r="CC91" s="480"/>
      <c r="CD91" s="480"/>
      <c r="CE91" s="480"/>
      <c r="CF91" s="480"/>
      <c r="CG91" s="480"/>
      <c r="CH91" s="480"/>
      <c r="CI91" s="480"/>
      <c r="CJ91" s="480"/>
      <c r="CK91" s="482"/>
      <c r="CL91" s="480"/>
      <c r="CM91" s="480"/>
      <c r="CN91" s="480"/>
      <c r="CO91" s="480"/>
      <c r="CP91" s="480"/>
      <c r="CQ91" s="480"/>
      <c r="CR91" s="480"/>
      <c r="CS91" s="480"/>
      <c r="CT91" s="480"/>
      <c r="CU91" s="480"/>
      <c r="CV91" s="480"/>
      <c r="CW91" s="480"/>
      <c r="CX91" s="482"/>
      <c r="CY91" s="480"/>
      <c r="CZ91" s="480"/>
      <c r="DA91" s="480"/>
      <c r="DB91" s="480"/>
      <c r="DC91" s="480"/>
      <c r="DD91" s="480"/>
      <c r="DE91" s="480"/>
      <c r="DF91" s="480"/>
      <c r="DG91" s="480"/>
      <c r="DH91" s="480"/>
      <c r="DI91" s="480"/>
      <c r="DJ91" s="480"/>
      <c r="DK91" s="482"/>
      <c r="DL91" s="480"/>
      <c r="DM91" s="480"/>
      <c r="DN91" s="480"/>
      <c r="DO91" s="480"/>
      <c r="DP91" s="480"/>
      <c r="DQ91" s="480"/>
      <c r="DR91" s="480"/>
      <c r="DS91" s="480"/>
      <c r="DT91" s="480"/>
      <c r="DU91" s="480"/>
      <c r="DV91" s="480"/>
      <c r="DW91" s="480"/>
      <c r="DX91" s="482"/>
      <c r="DY91" s="480"/>
      <c r="DZ91" s="480"/>
      <c r="EA91" s="480"/>
      <c r="EB91" s="480"/>
      <c r="EC91" s="480"/>
      <c r="ED91" s="480"/>
      <c r="EE91" s="480"/>
      <c r="EF91" s="480"/>
      <c r="EG91" s="480"/>
      <c r="EH91" s="480"/>
      <c r="EI91" s="480"/>
      <c r="EJ91" s="480"/>
    </row>
    <row r="92" spans="1:140" s="481" customFormat="1">
      <c r="A92" s="480"/>
      <c r="B92" s="480"/>
      <c r="C92" s="480"/>
      <c r="D92" s="480"/>
      <c r="E92" s="480"/>
      <c r="F92" s="480"/>
      <c r="G92" s="480"/>
      <c r="H92" s="480"/>
      <c r="I92" s="480"/>
      <c r="J92" s="480"/>
      <c r="K92" s="480"/>
      <c r="L92" s="480"/>
      <c r="M92" s="480"/>
      <c r="N92" s="480"/>
      <c r="O92" s="480"/>
      <c r="P92" s="480"/>
      <c r="Q92" s="480"/>
      <c r="R92" s="480"/>
      <c r="S92" s="480"/>
      <c r="T92" s="480"/>
      <c r="U92" s="480"/>
      <c r="V92" s="480"/>
      <c r="W92" s="480"/>
      <c r="X92" s="480"/>
      <c r="Y92" s="480"/>
      <c r="Z92" s="480"/>
      <c r="AA92" s="480"/>
      <c r="AD92" s="480"/>
      <c r="AE92" s="480"/>
      <c r="AF92" s="480"/>
      <c r="AG92" s="480"/>
      <c r="AH92" s="480"/>
      <c r="AI92" s="480"/>
      <c r="AJ92" s="480"/>
      <c r="AK92" s="480"/>
      <c r="AL92" s="480"/>
      <c r="AM92" s="480"/>
      <c r="AN92" s="480"/>
      <c r="AO92" s="480"/>
      <c r="AP92" s="480"/>
      <c r="AQ92" s="480"/>
      <c r="AR92" s="480"/>
      <c r="AS92" s="480"/>
      <c r="AT92" s="480"/>
      <c r="AU92" s="480"/>
      <c r="AV92" s="480"/>
      <c r="AW92" s="480"/>
      <c r="AX92" s="480"/>
      <c r="AY92" s="480"/>
      <c r="AZ92" s="480"/>
      <c r="BA92" s="480"/>
      <c r="BB92" s="480"/>
      <c r="BC92" s="480"/>
      <c r="BD92" s="480"/>
      <c r="BE92" s="480"/>
      <c r="BF92" s="480"/>
      <c r="BG92" s="480"/>
      <c r="BH92" s="480"/>
      <c r="BI92" s="480"/>
      <c r="BJ92" s="480"/>
      <c r="BK92" s="480"/>
      <c r="BL92" s="480"/>
      <c r="BM92" s="480"/>
      <c r="BN92" s="480"/>
      <c r="BO92" s="480"/>
      <c r="BP92" s="480"/>
      <c r="BQ92" s="480"/>
      <c r="BR92" s="480"/>
      <c r="BS92" s="480"/>
      <c r="BT92" s="480"/>
      <c r="BU92" s="480"/>
      <c r="BV92" s="480"/>
      <c r="BW92" s="480"/>
      <c r="BX92" s="480"/>
      <c r="BY92" s="480"/>
      <c r="BZ92" s="480"/>
      <c r="CA92" s="480"/>
      <c r="CB92" s="480"/>
      <c r="CC92" s="480"/>
      <c r="CD92" s="480"/>
      <c r="CE92" s="480"/>
      <c r="CF92" s="480"/>
      <c r="CG92" s="480"/>
      <c r="CH92" s="480"/>
      <c r="CI92" s="480"/>
      <c r="CJ92" s="480"/>
      <c r="CK92" s="482"/>
      <c r="CL92" s="480"/>
      <c r="CM92" s="480"/>
      <c r="CN92" s="480"/>
      <c r="CO92" s="480"/>
      <c r="CP92" s="480"/>
      <c r="CQ92" s="480"/>
      <c r="CR92" s="480"/>
      <c r="CS92" s="480"/>
      <c r="CT92" s="480"/>
      <c r="CU92" s="480"/>
      <c r="CV92" s="480"/>
      <c r="CW92" s="480"/>
      <c r="CX92" s="482"/>
      <c r="CY92" s="480"/>
      <c r="CZ92" s="480"/>
      <c r="DA92" s="480"/>
      <c r="DB92" s="480"/>
      <c r="DC92" s="480"/>
      <c r="DD92" s="480"/>
      <c r="DE92" s="480"/>
      <c r="DF92" s="480"/>
      <c r="DG92" s="480"/>
      <c r="DH92" s="480"/>
      <c r="DI92" s="480"/>
      <c r="DJ92" s="480"/>
      <c r="DK92" s="482"/>
      <c r="DL92" s="480"/>
      <c r="DM92" s="480"/>
      <c r="DN92" s="480"/>
      <c r="DO92" s="480"/>
      <c r="DP92" s="480"/>
      <c r="DQ92" s="480"/>
      <c r="DR92" s="480"/>
      <c r="DS92" s="480"/>
      <c r="DT92" s="480"/>
      <c r="DU92" s="480"/>
      <c r="DV92" s="480"/>
      <c r="DW92" s="480"/>
      <c r="DX92" s="482"/>
      <c r="DY92" s="480"/>
      <c r="DZ92" s="480"/>
      <c r="EA92" s="480"/>
      <c r="EB92" s="480"/>
      <c r="EC92" s="480"/>
      <c r="ED92" s="480"/>
      <c r="EE92" s="480"/>
      <c r="EF92" s="480"/>
      <c r="EG92" s="480"/>
      <c r="EH92" s="480"/>
      <c r="EI92" s="480"/>
      <c r="EJ92" s="480"/>
    </row>
    <row r="93" spans="1:140" s="481" customFormat="1">
      <c r="A93" s="480"/>
      <c r="B93" s="480"/>
      <c r="C93" s="480"/>
      <c r="D93" s="480"/>
      <c r="E93" s="480"/>
      <c r="F93" s="480"/>
      <c r="G93" s="480"/>
      <c r="H93" s="480"/>
      <c r="I93" s="480"/>
      <c r="J93" s="480"/>
      <c r="K93" s="480"/>
      <c r="L93" s="480"/>
      <c r="M93" s="480"/>
      <c r="N93" s="480"/>
      <c r="O93" s="480"/>
      <c r="P93" s="480"/>
      <c r="Q93" s="480"/>
      <c r="R93" s="480"/>
      <c r="S93" s="480"/>
      <c r="T93" s="480"/>
      <c r="U93" s="480"/>
      <c r="V93" s="480"/>
      <c r="W93" s="480"/>
      <c r="X93" s="480"/>
      <c r="Y93" s="480"/>
      <c r="Z93" s="480"/>
      <c r="AA93" s="480"/>
      <c r="AD93" s="480"/>
      <c r="AE93" s="480"/>
      <c r="AF93" s="480"/>
      <c r="AG93" s="480"/>
      <c r="AH93" s="480"/>
      <c r="AI93" s="480"/>
      <c r="AJ93" s="480"/>
      <c r="AK93" s="480"/>
      <c r="AL93" s="480"/>
      <c r="AM93" s="480"/>
      <c r="AN93" s="480"/>
      <c r="AO93" s="480"/>
      <c r="AP93" s="480"/>
      <c r="AQ93" s="480"/>
      <c r="AR93" s="480"/>
      <c r="AS93" s="480"/>
      <c r="AT93" s="480"/>
      <c r="AU93" s="480"/>
      <c r="AV93" s="480"/>
      <c r="AW93" s="480"/>
      <c r="AX93" s="480"/>
      <c r="AY93" s="480"/>
      <c r="AZ93" s="480"/>
      <c r="BA93" s="480"/>
      <c r="BB93" s="480"/>
      <c r="BC93" s="480"/>
      <c r="BD93" s="480"/>
      <c r="BE93" s="480"/>
      <c r="BF93" s="480"/>
      <c r="BG93" s="480"/>
      <c r="BH93" s="480"/>
      <c r="BI93" s="480"/>
      <c r="BJ93" s="480"/>
      <c r="BK93" s="480"/>
      <c r="BL93" s="480"/>
      <c r="BM93" s="480"/>
      <c r="BN93" s="480"/>
      <c r="BO93" s="480"/>
      <c r="BP93" s="480"/>
      <c r="BQ93" s="480"/>
      <c r="BR93" s="480"/>
      <c r="BS93" s="480"/>
      <c r="BT93" s="480"/>
      <c r="BU93" s="480"/>
      <c r="BV93" s="480"/>
      <c r="BW93" s="480"/>
      <c r="BX93" s="480"/>
      <c r="BY93" s="480"/>
      <c r="BZ93" s="480"/>
      <c r="CA93" s="480"/>
      <c r="CB93" s="480"/>
      <c r="CC93" s="480"/>
      <c r="CD93" s="480"/>
      <c r="CE93" s="480"/>
      <c r="CF93" s="480"/>
      <c r="CG93" s="480"/>
      <c r="CH93" s="480"/>
      <c r="CI93" s="480"/>
      <c r="CJ93" s="480"/>
      <c r="CK93" s="482"/>
      <c r="CL93" s="480"/>
      <c r="CM93" s="480"/>
      <c r="CN93" s="480"/>
      <c r="CO93" s="480"/>
      <c r="CP93" s="480"/>
      <c r="CQ93" s="480"/>
      <c r="CR93" s="480"/>
      <c r="CS93" s="480"/>
      <c r="CT93" s="480"/>
      <c r="CU93" s="480"/>
      <c r="CV93" s="480"/>
      <c r="CW93" s="480"/>
      <c r="CX93" s="482"/>
      <c r="CY93" s="480"/>
      <c r="CZ93" s="480"/>
      <c r="DA93" s="480"/>
      <c r="DB93" s="480"/>
      <c r="DC93" s="480"/>
      <c r="DD93" s="480"/>
      <c r="DE93" s="480"/>
      <c r="DF93" s="480"/>
      <c r="DG93" s="480"/>
      <c r="DH93" s="480"/>
      <c r="DI93" s="480"/>
      <c r="DJ93" s="480"/>
      <c r="DK93" s="482"/>
      <c r="DL93" s="480"/>
      <c r="DM93" s="480"/>
      <c r="DN93" s="480"/>
      <c r="DO93" s="480"/>
      <c r="DP93" s="480"/>
      <c r="DQ93" s="480"/>
      <c r="DR93" s="480"/>
      <c r="DS93" s="480"/>
      <c r="DT93" s="480"/>
      <c r="DU93" s="480"/>
      <c r="DV93" s="480"/>
      <c r="DW93" s="480"/>
      <c r="DX93" s="482"/>
      <c r="DY93" s="480"/>
      <c r="DZ93" s="480"/>
      <c r="EA93" s="480"/>
      <c r="EB93" s="480"/>
      <c r="EC93" s="480"/>
      <c r="ED93" s="480"/>
      <c r="EE93" s="480"/>
      <c r="EF93" s="480"/>
      <c r="EG93" s="480"/>
      <c r="EH93" s="480"/>
      <c r="EI93" s="480"/>
      <c r="EJ93" s="480"/>
    </row>
    <row r="94" spans="1:140" s="481" customFormat="1">
      <c r="A94" s="480"/>
      <c r="B94" s="480"/>
      <c r="C94" s="480"/>
      <c r="D94" s="480"/>
      <c r="E94" s="480"/>
      <c r="F94" s="480"/>
      <c r="G94" s="480"/>
      <c r="H94" s="480"/>
      <c r="I94" s="480"/>
      <c r="J94" s="480"/>
      <c r="K94" s="480"/>
      <c r="L94" s="480"/>
      <c r="M94" s="480"/>
      <c r="N94" s="480"/>
      <c r="O94" s="480"/>
      <c r="P94" s="480"/>
      <c r="Q94" s="480"/>
      <c r="R94" s="480"/>
      <c r="S94" s="480"/>
      <c r="T94" s="480"/>
      <c r="U94" s="480"/>
      <c r="V94" s="480"/>
      <c r="W94" s="480"/>
      <c r="X94" s="480"/>
      <c r="Y94" s="480"/>
      <c r="Z94" s="480"/>
      <c r="AA94" s="480"/>
      <c r="AD94" s="480"/>
      <c r="AE94" s="480"/>
      <c r="AF94" s="480"/>
      <c r="AG94" s="480"/>
      <c r="AH94" s="480"/>
      <c r="AI94" s="480"/>
      <c r="AJ94" s="480"/>
      <c r="AK94" s="480"/>
      <c r="AL94" s="480"/>
      <c r="AM94" s="480"/>
      <c r="AN94" s="480"/>
      <c r="AO94" s="480"/>
      <c r="AP94" s="480"/>
      <c r="AQ94" s="480"/>
      <c r="AR94" s="480"/>
      <c r="AS94" s="480"/>
      <c r="AT94" s="480"/>
      <c r="AU94" s="480"/>
      <c r="AV94" s="480"/>
      <c r="AW94" s="480"/>
      <c r="AX94" s="480"/>
      <c r="AY94" s="480"/>
      <c r="AZ94" s="480"/>
      <c r="BA94" s="480"/>
      <c r="BB94" s="480"/>
      <c r="BC94" s="480"/>
      <c r="BD94" s="480"/>
      <c r="BE94" s="480"/>
      <c r="BF94" s="480"/>
      <c r="BG94" s="480"/>
      <c r="BH94" s="480"/>
      <c r="BI94" s="480"/>
      <c r="BJ94" s="480"/>
      <c r="BK94" s="480"/>
      <c r="BL94" s="480"/>
      <c r="BM94" s="480"/>
      <c r="BN94" s="480"/>
      <c r="BO94" s="480"/>
      <c r="BP94" s="480"/>
      <c r="BQ94" s="480"/>
      <c r="BR94" s="480"/>
      <c r="BS94" s="480"/>
      <c r="BT94" s="480"/>
      <c r="BU94" s="480"/>
      <c r="BV94" s="480"/>
      <c r="BW94" s="480"/>
      <c r="BX94" s="480"/>
      <c r="BY94" s="480"/>
      <c r="BZ94" s="480"/>
      <c r="CA94" s="480"/>
      <c r="CB94" s="480"/>
      <c r="CC94" s="480"/>
      <c r="CD94" s="480"/>
      <c r="CE94" s="480"/>
      <c r="CF94" s="480"/>
      <c r="CG94" s="480"/>
      <c r="CH94" s="480"/>
      <c r="CI94" s="480"/>
      <c r="CJ94" s="480"/>
      <c r="CK94" s="482"/>
      <c r="CL94" s="480"/>
      <c r="CM94" s="480"/>
      <c r="CN94" s="480"/>
      <c r="CO94" s="480"/>
      <c r="CP94" s="480"/>
      <c r="CQ94" s="480"/>
      <c r="CR94" s="480"/>
      <c r="CS94" s="480"/>
      <c r="CT94" s="480"/>
      <c r="CU94" s="480"/>
      <c r="CV94" s="480"/>
      <c r="CW94" s="480"/>
      <c r="CX94" s="482"/>
      <c r="CY94" s="480"/>
      <c r="CZ94" s="480"/>
      <c r="DA94" s="480"/>
      <c r="DB94" s="480"/>
      <c r="DC94" s="480"/>
      <c r="DD94" s="480"/>
      <c r="DE94" s="480"/>
      <c r="DF94" s="480"/>
      <c r="DG94" s="480"/>
      <c r="DH94" s="480"/>
      <c r="DI94" s="480"/>
      <c r="DJ94" s="480"/>
      <c r="DK94" s="482"/>
      <c r="DL94" s="480"/>
      <c r="DM94" s="480"/>
      <c r="DN94" s="480"/>
      <c r="DO94" s="480"/>
      <c r="DP94" s="480"/>
      <c r="DQ94" s="480"/>
      <c r="DR94" s="480"/>
      <c r="DS94" s="480"/>
      <c r="DT94" s="480"/>
      <c r="DU94" s="480"/>
      <c r="DV94" s="480"/>
      <c r="DW94" s="480"/>
      <c r="DX94" s="482"/>
      <c r="DY94" s="480"/>
      <c r="DZ94" s="480"/>
      <c r="EA94" s="480"/>
      <c r="EB94" s="480"/>
      <c r="EC94" s="480"/>
      <c r="ED94" s="480"/>
      <c r="EE94" s="480"/>
      <c r="EF94" s="480"/>
      <c r="EG94" s="480"/>
      <c r="EH94" s="480"/>
      <c r="EI94" s="480"/>
      <c r="EJ94" s="480"/>
    </row>
    <row r="95" spans="1:140" s="481" customFormat="1">
      <c r="A95" s="480"/>
      <c r="B95" s="480"/>
      <c r="C95" s="480"/>
      <c r="D95" s="480"/>
      <c r="E95" s="480"/>
      <c r="F95" s="480"/>
      <c r="G95" s="480"/>
      <c r="H95" s="480"/>
      <c r="I95" s="480"/>
      <c r="J95" s="480"/>
      <c r="K95" s="480"/>
      <c r="L95" s="480"/>
      <c r="M95" s="480"/>
      <c r="N95" s="480"/>
      <c r="O95" s="480"/>
      <c r="P95" s="480"/>
      <c r="Q95" s="480"/>
      <c r="R95" s="480"/>
      <c r="S95" s="480"/>
      <c r="T95" s="480"/>
      <c r="U95" s="480"/>
      <c r="V95" s="480"/>
      <c r="W95" s="480"/>
      <c r="X95" s="480"/>
      <c r="Y95" s="480"/>
      <c r="Z95" s="480"/>
      <c r="AA95" s="480"/>
      <c r="AD95" s="480"/>
      <c r="AE95" s="480"/>
      <c r="AF95" s="480"/>
      <c r="AG95" s="480"/>
      <c r="AH95" s="480"/>
      <c r="AI95" s="480"/>
      <c r="AJ95" s="480"/>
      <c r="AK95" s="480"/>
      <c r="AL95" s="480"/>
      <c r="AM95" s="480"/>
      <c r="AN95" s="480"/>
      <c r="AO95" s="480"/>
      <c r="AP95" s="480"/>
      <c r="AQ95" s="480"/>
      <c r="AR95" s="480"/>
      <c r="AS95" s="480"/>
      <c r="AT95" s="480"/>
      <c r="AU95" s="480"/>
      <c r="AV95" s="480"/>
      <c r="AW95" s="480"/>
      <c r="AX95" s="480"/>
      <c r="AY95" s="480"/>
      <c r="AZ95" s="480"/>
      <c r="BA95" s="480"/>
      <c r="BB95" s="480"/>
      <c r="BC95" s="480"/>
      <c r="BD95" s="480"/>
      <c r="BE95" s="480"/>
      <c r="BF95" s="480"/>
      <c r="BG95" s="480"/>
      <c r="BH95" s="480"/>
      <c r="BI95" s="480"/>
      <c r="BJ95" s="480"/>
      <c r="BK95" s="480"/>
      <c r="BL95" s="480"/>
      <c r="BM95" s="480"/>
      <c r="BN95" s="480"/>
      <c r="BO95" s="480"/>
      <c r="BP95" s="480"/>
      <c r="BQ95" s="480"/>
      <c r="BR95" s="480"/>
      <c r="BS95" s="480"/>
      <c r="BT95" s="480"/>
      <c r="BU95" s="480"/>
      <c r="BV95" s="480"/>
      <c r="BW95" s="480"/>
      <c r="BX95" s="480"/>
      <c r="BY95" s="480"/>
      <c r="BZ95" s="480"/>
      <c r="CA95" s="480"/>
      <c r="CB95" s="480"/>
      <c r="CC95" s="480"/>
      <c r="CD95" s="480"/>
      <c r="CE95" s="480"/>
      <c r="CF95" s="480"/>
      <c r="CG95" s="480"/>
      <c r="CH95" s="480"/>
      <c r="CI95" s="480"/>
      <c r="CJ95" s="480"/>
      <c r="CK95" s="482"/>
      <c r="CL95" s="480"/>
      <c r="CM95" s="480"/>
      <c r="CN95" s="480"/>
      <c r="CO95" s="480"/>
      <c r="CP95" s="480"/>
      <c r="CQ95" s="480"/>
      <c r="CR95" s="480"/>
      <c r="CS95" s="480"/>
      <c r="CT95" s="480"/>
      <c r="CU95" s="480"/>
      <c r="CV95" s="480"/>
      <c r="CW95" s="480"/>
      <c r="CX95" s="482"/>
      <c r="CY95" s="480"/>
      <c r="CZ95" s="480"/>
      <c r="DA95" s="480"/>
      <c r="DB95" s="480"/>
      <c r="DC95" s="480"/>
      <c r="DD95" s="480"/>
      <c r="DE95" s="480"/>
      <c r="DF95" s="480"/>
      <c r="DG95" s="480"/>
      <c r="DH95" s="480"/>
      <c r="DI95" s="480"/>
      <c r="DJ95" s="480"/>
      <c r="DK95" s="482"/>
      <c r="DL95" s="480"/>
      <c r="DM95" s="480"/>
      <c r="DN95" s="480"/>
      <c r="DO95" s="480"/>
      <c r="DP95" s="480"/>
      <c r="DQ95" s="480"/>
      <c r="DR95" s="480"/>
      <c r="DS95" s="480"/>
      <c r="DT95" s="480"/>
      <c r="DU95" s="480"/>
      <c r="DV95" s="480"/>
      <c r="DW95" s="480"/>
      <c r="DX95" s="482"/>
      <c r="DY95" s="480"/>
      <c r="DZ95" s="480"/>
      <c r="EA95" s="480"/>
      <c r="EB95" s="480"/>
      <c r="EC95" s="480"/>
      <c r="ED95" s="480"/>
      <c r="EE95" s="480"/>
      <c r="EF95" s="480"/>
      <c r="EG95" s="480"/>
      <c r="EH95" s="480"/>
      <c r="EI95" s="480"/>
      <c r="EJ95" s="480"/>
    </row>
    <row r="96" spans="1:140" s="481" customFormat="1">
      <c r="A96" s="480"/>
      <c r="B96" s="480"/>
      <c r="C96" s="480"/>
      <c r="D96" s="480"/>
      <c r="E96" s="480"/>
      <c r="F96" s="480"/>
      <c r="G96" s="480"/>
      <c r="H96" s="480"/>
      <c r="I96" s="480"/>
      <c r="J96" s="480"/>
      <c r="K96" s="480"/>
      <c r="L96" s="480"/>
      <c r="M96" s="480"/>
      <c r="N96" s="480"/>
      <c r="O96" s="480"/>
      <c r="P96" s="480"/>
      <c r="Q96" s="480"/>
      <c r="R96" s="480"/>
      <c r="S96" s="480"/>
      <c r="T96" s="480"/>
      <c r="U96" s="480"/>
      <c r="V96" s="480"/>
      <c r="W96" s="480"/>
      <c r="X96" s="480"/>
      <c r="Y96" s="480"/>
      <c r="Z96" s="480"/>
      <c r="AA96" s="480"/>
      <c r="AD96" s="480"/>
      <c r="AE96" s="480"/>
      <c r="AF96" s="480"/>
      <c r="AG96" s="480"/>
      <c r="AH96" s="480"/>
      <c r="AI96" s="480"/>
      <c r="AJ96" s="480"/>
      <c r="AK96" s="480"/>
      <c r="AL96" s="480"/>
      <c r="AM96" s="480"/>
      <c r="AN96" s="480"/>
      <c r="AO96" s="480"/>
      <c r="AP96" s="480"/>
      <c r="AQ96" s="480"/>
      <c r="AR96" s="480"/>
      <c r="AS96" s="480"/>
      <c r="AT96" s="480"/>
      <c r="AU96" s="480"/>
      <c r="AV96" s="480"/>
      <c r="AW96" s="480"/>
      <c r="AX96" s="480"/>
      <c r="AY96" s="480"/>
      <c r="AZ96" s="480"/>
      <c r="BA96" s="480"/>
      <c r="BB96" s="480"/>
      <c r="BC96" s="480"/>
      <c r="BD96" s="480"/>
      <c r="BE96" s="480"/>
      <c r="BF96" s="480"/>
      <c r="BG96" s="480"/>
      <c r="BH96" s="480"/>
      <c r="BI96" s="480"/>
      <c r="BJ96" s="480"/>
      <c r="BK96" s="480"/>
      <c r="BL96" s="480"/>
      <c r="BM96" s="480"/>
      <c r="BN96" s="480"/>
      <c r="BO96" s="480"/>
      <c r="BP96" s="480"/>
      <c r="BQ96" s="480"/>
      <c r="BR96" s="480"/>
      <c r="BS96" s="480"/>
      <c r="BT96" s="480"/>
      <c r="BU96" s="480"/>
      <c r="BV96" s="480"/>
      <c r="BW96" s="480"/>
      <c r="BX96" s="480"/>
      <c r="BY96" s="480"/>
      <c r="BZ96" s="480"/>
      <c r="CA96" s="480"/>
      <c r="CB96" s="480"/>
      <c r="CC96" s="480"/>
      <c r="CD96" s="480"/>
      <c r="CE96" s="480"/>
      <c r="CF96" s="480"/>
      <c r="CG96" s="480"/>
      <c r="CH96" s="480"/>
      <c r="CI96" s="480"/>
      <c r="CJ96" s="480"/>
      <c r="CK96" s="482"/>
      <c r="CL96" s="480"/>
      <c r="CM96" s="480"/>
      <c r="CN96" s="480"/>
      <c r="CO96" s="480"/>
      <c r="CP96" s="480"/>
      <c r="CQ96" s="480"/>
      <c r="CR96" s="480"/>
      <c r="CS96" s="480"/>
      <c r="CT96" s="480"/>
      <c r="CU96" s="480"/>
      <c r="CV96" s="480"/>
      <c r="CW96" s="480"/>
      <c r="CX96" s="482"/>
      <c r="CY96" s="480"/>
      <c r="CZ96" s="480"/>
      <c r="DA96" s="480"/>
      <c r="DB96" s="480"/>
      <c r="DC96" s="480"/>
      <c r="DD96" s="480"/>
      <c r="DE96" s="480"/>
      <c r="DF96" s="480"/>
      <c r="DG96" s="480"/>
      <c r="DH96" s="480"/>
      <c r="DI96" s="480"/>
      <c r="DJ96" s="480"/>
      <c r="DK96" s="482"/>
      <c r="DL96" s="480"/>
      <c r="DM96" s="480"/>
      <c r="DN96" s="480"/>
      <c r="DO96" s="480"/>
      <c r="DP96" s="480"/>
      <c r="DQ96" s="480"/>
      <c r="DR96" s="480"/>
      <c r="DS96" s="480"/>
      <c r="DT96" s="480"/>
      <c r="DU96" s="480"/>
      <c r="DV96" s="480"/>
      <c r="DW96" s="480"/>
      <c r="DX96" s="482"/>
      <c r="DY96" s="480"/>
      <c r="DZ96" s="480"/>
      <c r="EA96" s="480"/>
      <c r="EB96" s="480"/>
      <c r="EC96" s="480"/>
      <c r="ED96" s="480"/>
      <c r="EE96" s="480"/>
      <c r="EF96" s="480"/>
      <c r="EG96" s="480"/>
      <c r="EH96" s="480"/>
      <c r="EI96" s="480"/>
      <c r="EJ96" s="480"/>
    </row>
    <row r="97" spans="1:140" s="481" customFormat="1">
      <c r="A97" s="480"/>
      <c r="B97" s="480"/>
      <c r="C97" s="480"/>
      <c r="D97" s="480"/>
      <c r="E97" s="480"/>
      <c r="F97" s="480"/>
      <c r="G97" s="480"/>
      <c r="H97" s="480"/>
      <c r="I97" s="480"/>
      <c r="J97" s="480"/>
      <c r="K97" s="480"/>
      <c r="L97" s="480"/>
      <c r="M97" s="480"/>
      <c r="N97" s="480"/>
      <c r="O97" s="480"/>
      <c r="P97" s="480"/>
      <c r="Q97" s="480"/>
      <c r="R97" s="480"/>
      <c r="S97" s="480"/>
      <c r="T97" s="480"/>
      <c r="U97" s="480"/>
      <c r="V97" s="480"/>
      <c r="W97" s="480"/>
      <c r="X97" s="480"/>
      <c r="Y97" s="480"/>
      <c r="Z97" s="480"/>
      <c r="AA97" s="480"/>
      <c r="AD97" s="480"/>
      <c r="AE97" s="480"/>
      <c r="AF97" s="480"/>
      <c r="AG97" s="480"/>
      <c r="AH97" s="480"/>
      <c r="AI97" s="480"/>
      <c r="AJ97" s="480"/>
      <c r="AK97" s="480"/>
      <c r="AL97" s="480"/>
      <c r="AM97" s="480"/>
      <c r="AN97" s="480"/>
      <c r="AO97" s="480"/>
      <c r="AP97" s="480"/>
      <c r="AQ97" s="480"/>
      <c r="AR97" s="480"/>
      <c r="AS97" s="480"/>
      <c r="AT97" s="480"/>
      <c r="AU97" s="480"/>
      <c r="AV97" s="480"/>
      <c r="AW97" s="480"/>
      <c r="AX97" s="480"/>
      <c r="AY97" s="480"/>
      <c r="AZ97" s="480"/>
      <c r="BA97" s="480"/>
      <c r="BB97" s="480"/>
      <c r="BC97" s="480"/>
      <c r="BD97" s="480"/>
      <c r="BE97" s="480"/>
      <c r="BF97" s="480"/>
      <c r="BG97" s="480"/>
      <c r="BH97" s="480"/>
      <c r="BI97" s="480"/>
      <c r="BJ97" s="480"/>
      <c r="BK97" s="480"/>
      <c r="BL97" s="480"/>
      <c r="BM97" s="480"/>
      <c r="BN97" s="480"/>
      <c r="BO97" s="480"/>
      <c r="BP97" s="480"/>
      <c r="BQ97" s="480"/>
      <c r="BR97" s="480"/>
      <c r="BS97" s="480"/>
      <c r="BT97" s="480"/>
      <c r="BU97" s="480"/>
      <c r="BV97" s="480"/>
      <c r="BW97" s="480"/>
      <c r="BX97" s="480"/>
      <c r="BY97" s="480"/>
      <c r="BZ97" s="480"/>
      <c r="CA97" s="480"/>
      <c r="CB97" s="480"/>
      <c r="CC97" s="480"/>
      <c r="CD97" s="480"/>
      <c r="CE97" s="480"/>
      <c r="CF97" s="480"/>
      <c r="CG97" s="480"/>
      <c r="CH97" s="480"/>
      <c r="CI97" s="480"/>
      <c r="CJ97" s="480"/>
      <c r="CK97" s="482"/>
      <c r="CL97" s="480"/>
      <c r="CM97" s="480"/>
      <c r="CN97" s="480"/>
      <c r="CO97" s="480"/>
      <c r="CP97" s="480"/>
      <c r="CQ97" s="480"/>
      <c r="CR97" s="480"/>
      <c r="CS97" s="480"/>
      <c r="CT97" s="480"/>
      <c r="CU97" s="480"/>
      <c r="CV97" s="480"/>
      <c r="CW97" s="480"/>
      <c r="CX97" s="482"/>
      <c r="CY97" s="480"/>
      <c r="CZ97" s="480"/>
      <c r="DA97" s="480"/>
      <c r="DB97" s="480"/>
      <c r="DC97" s="480"/>
      <c r="DD97" s="480"/>
      <c r="DE97" s="480"/>
      <c r="DF97" s="480"/>
      <c r="DG97" s="480"/>
      <c r="DH97" s="480"/>
      <c r="DI97" s="480"/>
      <c r="DJ97" s="480"/>
      <c r="DK97" s="482"/>
      <c r="DL97" s="480"/>
      <c r="DM97" s="480"/>
      <c r="DN97" s="480"/>
      <c r="DO97" s="480"/>
      <c r="DP97" s="480"/>
      <c r="DQ97" s="480"/>
      <c r="DR97" s="480"/>
      <c r="DS97" s="480"/>
      <c r="DT97" s="480"/>
      <c r="DU97" s="480"/>
      <c r="DV97" s="480"/>
      <c r="DW97" s="480"/>
      <c r="DX97" s="482"/>
      <c r="DY97" s="480"/>
      <c r="DZ97" s="480"/>
      <c r="EA97" s="480"/>
      <c r="EB97" s="480"/>
      <c r="EC97" s="480"/>
      <c r="ED97" s="480"/>
      <c r="EE97" s="480"/>
      <c r="EF97" s="480"/>
      <c r="EG97" s="480"/>
      <c r="EH97" s="480"/>
      <c r="EI97" s="480"/>
      <c r="EJ97" s="480"/>
    </row>
    <row r="98" spans="1:140" s="481" customFormat="1">
      <c r="A98" s="480"/>
      <c r="B98" s="480"/>
      <c r="C98" s="480"/>
      <c r="D98" s="480"/>
      <c r="E98" s="480"/>
      <c r="F98" s="480"/>
      <c r="G98" s="480"/>
      <c r="H98" s="480"/>
      <c r="I98" s="480"/>
      <c r="J98" s="480"/>
      <c r="K98" s="480"/>
      <c r="L98" s="480"/>
      <c r="M98" s="480"/>
      <c r="N98" s="480"/>
      <c r="O98" s="480"/>
      <c r="P98" s="480"/>
      <c r="Q98" s="480"/>
      <c r="R98" s="480"/>
      <c r="S98" s="480"/>
      <c r="T98" s="480"/>
      <c r="U98" s="480"/>
      <c r="V98" s="480"/>
      <c r="W98" s="480"/>
      <c r="X98" s="480"/>
      <c r="Y98" s="480"/>
      <c r="Z98" s="480"/>
      <c r="AA98" s="480"/>
      <c r="AD98" s="480"/>
      <c r="AE98" s="480"/>
      <c r="AF98" s="480"/>
      <c r="AG98" s="480"/>
      <c r="AH98" s="480"/>
      <c r="AI98" s="480"/>
      <c r="AJ98" s="480"/>
      <c r="AK98" s="480"/>
      <c r="AL98" s="480"/>
      <c r="AM98" s="480"/>
      <c r="AN98" s="480"/>
      <c r="AO98" s="480"/>
      <c r="AP98" s="480"/>
      <c r="AQ98" s="480"/>
      <c r="AR98" s="480"/>
      <c r="AS98" s="480"/>
      <c r="AT98" s="480"/>
      <c r="AU98" s="480"/>
      <c r="AV98" s="480"/>
      <c r="AW98" s="480"/>
      <c r="AX98" s="480"/>
      <c r="AY98" s="480"/>
      <c r="AZ98" s="480"/>
      <c r="BA98" s="480"/>
      <c r="BB98" s="480"/>
      <c r="BC98" s="480"/>
      <c r="BD98" s="480"/>
      <c r="BE98" s="480"/>
      <c r="BF98" s="480"/>
      <c r="BG98" s="480"/>
      <c r="BH98" s="480"/>
      <c r="BI98" s="480"/>
      <c r="BJ98" s="480"/>
      <c r="BK98" s="480"/>
      <c r="BL98" s="480"/>
      <c r="BM98" s="480"/>
      <c r="BN98" s="480"/>
      <c r="BO98" s="480"/>
      <c r="BP98" s="480"/>
      <c r="BQ98" s="480"/>
      <c r="BR98" s="480"/>
      <c r="BS98" s="480"/>
      <c r="BT98" s="480"/>
      <c r="BU98" s="480"/>
      <c r="BV98" s="480"/>
      <c r="BW98" s="480"/>
      <c r="BX98" s="480"/>
      <c r="BY98" s="480"/>
      <c r="BZ98" s="480"/>
      <c r="CA98" s="480"/>
      <c r="CB98" s="480"/>
      <c r="CC98" s="480"/>
      <c r="CD98" s="480"/>
      <c r="CE98" s="480"/>
      <c r="CF98" s="480"/>
      <c r="CG98" s="480"/>
      <c r="CH98" s="480"/>
      <c r="CI98" s="480"/>
      <c r="CJ98" s="480"/>
      <c r="CK98" s="482"/>
      <c r="CL98" s="480"/>
      <c r="CM98" s="480"/>
      <c r="CN98" s="480"/>
      <c r="CO98" s="480"/>
      <c r="CP98" s="480"/>
      <c r="CQ98" s="480"/>
      <c r="CR98" s="480"/>
      <c r="CS98" s="480"/>
      <c r="CT98" s="480"/>
      <c r="CU98" s="480"/>
      <c r="CV98" s="480"/>
      <c r="CW98" s="480"/>
      <c r="CX98" s="482"/>
      <c r="CY98" s="480"/>
      <c r="CZ98" s="480"/>
      <c r="DA98" s="480"/>
      <c r="DB98" s="480"/>
      <c r="DC98" s="480"/>
      <c r="DD98" s="480"/>
      <c r="DE98" s="480"/>
      <c r="DF98" s="480"/>
      <c r="DG98" s="480"/>
      <c r="DH98" s="480"/>
      <c r="DI98" s="480"/>
      <c r="DJ98" s="480"/>
      <c r="DK98" s="482"/>
      <c r="DL98" s="480"/>
      <c r="DM98" s="480"/>
      <c r="DN98" s="480"/>
      <c r="DO98" s="480"/>
      <c r="DP98" s="480"/>
      <c r="DQ98" s="480"/>
      <c r="DR98" s="480"/>
      <c r="DS98" s="480"/>
      <c r="DT98" s="480"/>
      <c r="DU98" s="480"/>
      <c r="DV98" s="480"/>
      <c r="DW98" s="480"/>
      <c r="DX98" s="482"/>
      <c r="DY98" s="480"/>
      <c r="DZ98" s="480"/>
      <c r="EA98" s="480"/>
      <c r="EB98" s="480"/>
      <c r="EC98" s="480"/>
      <c r="ED98" s="480"/>
      <c r="EE98" s="480"/>
      <c r="EF98" s="480"/>
      <c r="EG98" s="480"/>
      <c r="EH98" s="480"/>
      <c r="EI98" s="480"/>
      <c r="EJ98" s="480"/>
    </row>
    <row r="99" spans="1:140" s="481" customFormat="1">
      <c r="A99" s="480"/>
      <c r="B99" s="480"/>
      <c r="C99" s="480"/>
      <c r="D99" s="480"/>
      <c r="E99" s="480"/>
      <c r="F99" s="480"/>
      <c r="G99" s="480"/>
      <c r="H99" s="480"/>
      <c r="I99" s="480"/>
      <c r="J99" s="480"/>
      <c r="K99" s="480"/>
      <c r="L99" s="480"/>
      <c r="M99" s="480"/>
      <c r="N99" s="480"/>
      <c r="O99" s="480"/>
      <c r="P99" s="480"/>
      <c r="Q99" s="480"/>
      <c r="R99" s="480"/>
      <c r="S99" s="480"/>
      <c r="T99" s="480"/>
      <c r="U99" s="480"/>
      <c r="V99" s="480"/>
      <c r="W99" s="480"/>
      <c r="X99" s="480"/>
      <c r="Y99" s="480"/>
      <c r="Z99" s="480"/>
      <c r="AA99" s="480"/>
      <c r="AD99" s="480"/>
      <c r="AE99" s="480"/>
      <c r="AF99" s="480"/>
      <c r="AG99" s="480"/>
      <c r="AH99" s="480"/>
      <c r="AI99" s="480"/>
      <c r="AJ99" s="480"/>
      <c r="AK99" s="480"/>
      <c r="AL99" s="480"/>
      <c r="AM99" s="480"/>
      <c r="AN99" s="480"/>
      <c r="AO99" s="480"/>
      <c r="AP99" s="480"/>
      <c r="AQ99" s="480"/>
      <c r="AR99" s="480"/>
      <c r="AS99" s="480"/>
      <c r="AT99" s="480"/>
      <c r="AU99" s="480"/>
      <c r="AV99" s="480"/>
      <c r="AW99" s="480"/>
      <c r="AX99" s="480"/>
      <c r="AY99" s="480"/>
      <c r="AZ99" s="480"/>
      <c r="BA99" s="480"/>
      <c r="BB99" s="480"/>
      <c r="BC99" s="480"/>
      <c r="BD99" s="480"/>
      <c r="BE99" s="480"/>
      <c r="BF99" s="480"/>
      <c r="BG99" s="480"/>
      <c r="BH99" s="480"/>
      <c r="BI99" s="480"/>
      <c r="BJ99" s="480"/>
      <c r="BK99" s="480"/>
      <c r="BL99" s="480"/>
      <c r="BM99" s="480"/>
      <c r="BN99" s="480"/>
      <c r="BO99" s="480"/>
      <c r="BP99" s="480"/>
      <c r="BQ99" s="480"/>
      <c r="BR99" s="480"/>
      <c r="BS99" s="480"/>
      <c r="BT99" s="480"/>
      <c r="BU99" s="480"/>
      <c r="BV99" s="480"/>
      <c r="BW99" s="480"/>
      <c r="BX99" s="480"/>
      <c r="BY99" s="480"/>
      <c r="BZ99" s="480"/>
      <c r="CA99" s="480"/>
      <c r="CB99" s="480"/>
      <c r="CC99" s="480"/>
      <c r="CD99" s="480"/>
      <c r="CE99" s="480"/>
      <c r="CF99" s="480"/>
      <c r="CG99" s="480"/>
      <c r="CH99" s="480"/>
      <c r="CI99" s="480"/>
      <c r="CJ99" s="480"/>
      <c r="CK99" s="482"/>
      <c r="CL99" s="480"/>
      <c r="CM99" s="480"/>
      <c r="CN99" s="480"/>
      <c r="CO99" s="480"/>
      <c r="CP99" s="480"/>
      <c r="CQ99" s="480"/>
      <c r="CR99" s="480"/>
      <c r="CS99" s="480"/>
      <c r="CT99" s="480"/>
      <c r="CU99" s="480"/>
      <c r="CV99" s="480"/>
      <c r="CW99" s="480"/>
      <c r="CX99" s="482"/>
      <c r="CY99" s="480"/>
      <c r="CZ99" s="480"/>
      <c r="DA99" s="480"/>
      <c r="DB99" s="480"/>
      <c r="DC99" s="480"/>
      <c r="DD99" s="480"/>
      <c r="DE99" s="480"/>
      <c r="DF99" s="480"/>
      <c r="DG99" s="480"/>
      <c r="DH99" s="480"/>
      <c r="DI99" s="480"/>
      <c r="DJ99" s="480"/>
      <c r="DK99" s="482"/>
      <c r="DL99" s="480"/>
      <c r="DM99" s="480"/>
      <c r="DN99" s="480"/>
      <c r="DO99" s="480"/>
      <c r="DP99" s="480"/>
      <c r="DQ99" s="480"/>
      <c r="DR99" s="480"/>
      <c r="DS99" s="480"/>
      <c r="DT99" s="480"/>
      <c r="DU99" s="480"/>
      <c r="DV99" s="480"/>
      <c r="DW99" s="480"/>
      <c r="DX99" s="482"/>
      <c r="DY99" s="480"/>
      <c r="DZ99" s="480"/>
      <c r="EA99" s="480"/>
      <c r="EB99" s="480"/>
      <c r="EC99" s="480"/>
      <c r="ED99" s="480"/>
      <c r="EE99" s="480"/>
      <c r="EF99" s="480"/>
      <c r="EG99" s="480"/>
      <c r="EH99" s="480"/>
      <c r="EI99" s="480"/>
      <c r="EJ99" s="480"/>
    </row>
    <row r="100" spans="1:140" s="481" customFormat="1">
      <c r="A100" s="480"/>
      <c r="B100" s="480"/>
      <c r="C100" s="480"/>
      <c r="D100" s="480"/>
      <c r="E100" s="480"/>
      <c r="F100" s="480"/>
      <c r="G100" s="480"/>
      <c r="H100" s="480"/>
      <c r="I100" s="480"/>
      <c r="J100" s="480"/>
      <c r="K100" s="480"/>
      <c r="L100" s="480"/>
      <c r="M100" s="480"/>
      <c r="N100" s="480"/>
      <c r="O100" s="480"/>
      <c r="P100" s="480"/>
      <c r="Q100" s="480"/>
      <c r="R100" s="480"/>
      <c r="S100" s="480"/>
      <c r="T100" s="480"/>
      <c r="U100" s="480"/>
      <c r="V100" s="480"/>
      <c r="W100" s="480"/>
      <c r="X100" s="480"/>
      <c r="Y100" s="480"/>
      <c r="Z100" s="480"/>
      <c r="AA100" s="480"/>
      <c r="AD100" s="480"/>
      <c r="AE100" s="480"/>
      <c r="AF100" s="480"/>
      <c r="AG100" s="480"/>
      <c r="AH100" s="480"/>
      <c r="AI100" s="480"/>
      <c r="AJ100" s="480"/>
      <c r="AK100" s="480"/>
      <c r="AL100" s="480"/>
      <c r="AM100" s="480"/>
      <c r="AN100" s="480"/>
      <c r="AO100" s="480"/>
      <c r="AP100" s="480"/>
      <c r="AQ100" s="480"/>
      <c r="AR100" s="480"/>
      <c r="AS100" s="480"/>
      <c r="AT100" s="480"/>
      <c r="AU100" s="480"/>
      <c r="AV100" s="480"/>
      <c r="AW100" s="480"/>
      <c r="AX100" s="480"/>
      <c r="AY100" s="480"/>
      <c r="AZ100" s="480"/>
      <c r="BA100" s="480"/>
      <c r="BB100" s="480"/>
      <c r="BC100" s="480"/>
      <c r="BD100" s="480"/>
      <c r="BE100" s="480"/>
      <c r="BF100" s="480"/>
      <c r="BG100" s="480"/>
      <c r="BH100" s="480"/>
      <c r="BI100" s="480"/>
      <c r="BJ100" s="480"/>
      <c r="BK100" s="480"/>
      <c r="BL100" s="480"/>
      <c r="BM100" s="480"/>
      <c r="BN100" s="480"/>
      <c r="BO100" s="480"/>
      <c r="BP100" s="480"/>
      <c r="BQ100" s="480"/>
      <c r="BR100" s="480"/>
      <c r="BS100" s="480"/>
      <c r="BT100" s="480"/>
      <c r="BU100" s="480"/>
      <c r="BV100" s="480"/>
      <c r="BW100" s="480"/>
      <c r="BX100" s="480"/>
      <c r="BY100" s="480"/>
      <c r="BZ100" s="480"/>
      <c r="CA100" s="480"/>
      <c r="CB100" s="480"/>
      <c r="CC100" s="480"/>
      <c r="CD100" s="480"/>
      <c r="CE100" s="480"/>
      <c r="CF100" s="480"/>
      <c r="CG100" s="480"/>
      <c r="CH100" s="480"/>
      <c r="CI100" s="480"/>
      <c r="CJ100" s="480"/>
      <c r="CK100" s="482"/>
      <c r="CL100" s="480"/>
      <c r="CM100" s="480"/>
      <c r="CN100" s="480"/>
      <c r="CO100" s="480"/>
      <c r="CP100" s="480"/>
      <c r="CQ100" s="480"/>
      <c r="CR100" s="480"/>
      <c r="CS100" s="480"/>
      <c r="CT100" s="480"/>
      <c r="CU100" s="480"/>
      <c r="CV100" s="480"/>
      <c r="CW100" s="480"/>
      <c r="CX100" s="482"/>
      <c r="CY100" s="480"/>
      <c r="CZ100" s="480"/>
      <c r="DA100" s="480"/>
      <c r="DB100" s="480"/>
      <c r="DC100" s="480"/>
      <c r="DD100" s="480"/>
      <c r="DE100" s="480"/>
      <c r="DF100" s="480"/>
      <c r="DG100" s="480"/>
      <c r="DH100" s="480"/>
      <c r="DI100" s="480"/>
      <c r="DJ100" s="480"/>
      <c r="DK100" s="482"/>
      <c r="DL100" s="480"/>
      <c r="DM100" s="480"/>
      <c r="DN100" s="480"/>
      <c r="DO100" s="480"/>
      <c r="DP100" s="480"/>
      <c r="DQ100" s="480"/>
      <c r="DR100" s="480"/>
      <c r="DS100" s="480"/>
      <c r="DT100" s="480"/>
      <c r="DU100" s="480"/>
      <c r="DV100" s="480"/>
      <c r="DW100" s="480"/>
      <c r="DX100" s="482"/>
      <c r="DY100" s="480"/>
      <c r="DZ100" s="480"/>
      <c r="EA100" s="480"/>
      <c r="EB100" s="480"/>
      <c r="EC100" s="480"/>
      <c r="ED100" s="480"/>
      <c r="EE100" s="480"/>
      <c r="EF100" s="480"/>
      <c r="EG100" s="480"/>
      <c r="EH100" s="480"/>
      <c r="EI100" s="480"/>
      <c r="EJ100" s="480"/>
    </row>
    <row r="101" spans="1:140" s="481" customFormat="1">
      <c r="A101" s="480"/>
      <c r="B101" s="480"/>
      <c r="C101" s="480"/>
      <c r="D101" s="480"/>
      <c r="E101" s="480"/>
      <c r="F101" s="480"/>
      <c r="G101" s="480"/>
      <c r="H101" s="480"/>
      <c r="I101" s="480"/>
      <c r="J101" s="480"/>
      <c r="K101" s="480"/>
      <c r="L101" s="480"/>
      <c r="M101" s="480"/>
      <c r="N101" s="480"/>
      <c r="O101" s="480"/>
      <c r="P101" s="480"/>
      <c r="Q101" s="480"/>
      <c r="R101" s="480"/>
      <c r="S101" s="480"/>
      <c r="T101" s="480"/>
      <c r="U101" s="480"/>
      <c r="V101" s="480"/>
      <c r="W101" s="480"/>
      <c r="X101" s="480"/>
      <c r="Y101" s="480"/>
      <c r="Z101" s="480"/>
      <c r="AA101" s="480"/>
      <c r="AD101" s="480"/>
      <c r="AE101" s="480"/>
      <c r="AF101" s="480"/>
      <c r="AG101" s="480"/>
      <c r="AH101" s="480"/>
      <c r="AI101" s="480"/>
      <c r="AJ101" s="480"/>
      <c r="AK101" s="480"/>
      <c r="AL101" s="480"/>
      <c r="AM101" s="480"/>
      <c r="AN101" s="480"/>
      <c r="AO101" s="480"/>
      <c r="AP101" s="480"/>
      <c r="AQ101" s="480"/>
      <c r="AR101" s="480"/>
      <c r="AS101" s="480"/>
      <c r="AT101" s="480"/>
      <c r="AU101" s="480"/>
      <c r="AV101" s="480"/>
      <c r="AW101" s="480"/>
      <c r="AX101" s="480"/>
      <c r="AY101" s="480"/>
      <c r="AZ101" s="480"/>
      <c r="BA101" s="480"/>
      <c r="BB101" s="480"/>
      <c r="BC101" s="480"/>
      <c r="BD101" s="480"/>
      <c r="BE101" s="480"/>
      <c r="BF101" s="480"/>
      <c r="BG101" s="480"/>
      <c r="BH101" s="480"/>
      <c r="BI101" s="480"/>
      <c r="BJ101" s="480"/>
      <c r="BK101" s="480"/>
      <c r="BL101" s="480"/>
      <c r="BM101" s="480"/>
      <c r="BN101" s="480"/>
      <c r="BO101" s="480"/>
      <c r="BP101" s="480"/>
      <c r="BQ101" s="480"/>
      <c r="BR101" s="480"/>
      <c r="BS101" s="480"/>
      <c r="BT101" s="480"/>
      <c r="BU101" s="480"/>
      <c r="BV101" s="480"/>
      <c r="BW101" s="480"/>
      <c r="BX101" s="480"/>
      <c r="BY101" s="480"/>
      <c r="BZ101" s="480"/>
      <c r="CA101" s="480"/>
      <c r="CB101" s="480"/>
      <c r="CC101" s="480"/>
      <c r="CD101" s="480"/>
      <c r="CE101" s="480"/>
      <c r="CF101" s="480"/>
      <c r="CG101" s="480"/>
      <c r="CH101" s="480"/>
      <c r="CI101" s="480"/>
      <c r="CJ101" s="480"/>
      <c r="CK101" s="482"/>
      <c r="CL101" s="480"/>
      <c r="CM101" s="480"/>
      <c r="CN101" s="480"/>
      <c r="CO101" s="480"/>
      <c r="CP101" s="480"/>
      <c r="CQ101" s="480"/>
      <c r="CR101" s="480"/>
      <c r="CS101" s="480"/>
      <c r="CT101" s="480"/>
      <c r="CU101" s="480"/>
      <c r="CV101" s="480"/>
      <c r="CW101" s="480"/>
      <c r="CX101" s="482"/>
      <c r="CY101" s="480"/>
      <c r="CZ101" s="480"/>
      <c r="DA101" s="480"/>
      <c r="DB101" s="480"/>
      <c r="DC101" s="480"/>
      <c r="DD101" s="480"/>
      <c r="DE101" s="480"/>
      <c r="DF101" s="480"/>
      <c r="DG101" s="480"/>
      <c r="DH101" s="480"/>
      <c r="DI101" s="480"/>
      <c r="DJ101" s="480"/>
      <c r="DK101" s="482"/>
      <c r="DL101" s="480"/>
      <c r="DM101" s="480"/>
      <c r="DN101" s="480"/>
      <c r="DO101" s="480"/>
      <c r="DP101" s="480"/>
      <c r="DQ101" s="480"/>
      <c r="DR101" s="480"/>
      <c r="DS101" s="480"/>
      <c r="DT101" s="480"/>
      <c r="DU101" s="480"/>
      <c r="DV101" s="480"/>
      <c r="DW101" s="480"/>
      <c r="DX101" s="482"/>
      <c r="DY101" s="480"/>
      <c r="DZ101" s="480"/>
      <c r="EA101" s="480"/>
      <c r="EB101" s="480"/>
      <c r="EC101" s="480"/>
      <c r="ED101" s="480"/>
      <c r="EE101" s="480"/>
      <c r="EF101" s="480"/>
      <c r="EG101" s="480"/>
      <c r="EH101" s="480"/>
      <c r="EI101" s="480"/>
      <c r="EJ101" s="480"/>
    </row>
    <row r="102" spans="1:140" s="481" customFormat="1">
      <c r="A102" s="480"/>
      <c r="B102" s="480"/>
      <c r="C102" s="480"/>
      <c r="D102" s="480"/>
      <c r="E102" s="480"/>
      <c r="F102" s="480"/>
      <c r="G102" s="480"/>
      <c r="H102" s="480"/>
      <c r="I102" s="480"/>
      <c r="J102" s="480"/>
      <c r="K102" s="480"/>
      <c r="L102" s="480"/>
      <c r="M102" s="480"/>
      <c r="N102" s="480"/>
      <c r="O102" s="480"/>
      <c r="P102" s="480"/>
      <c r="Q102" s="480"/>
      <c r="R102" s="480"/>
      <c r="S102" s="480"/>
      <c r="T102" s="480"/>
      <c r="U102" s="480"/>
      <c r="V102" s="480"/>
      <c r="W102" s="480"/>
      <c r="X102" s="480"/>
      <c r="Y102" s="480"/>
      <c r="Z102" s="480"/>
      <c r="AA102" s="480"/>
      <c r="AD102" s="480"/>
      <c r="AE102" s="480"/>
      <c r="AF102" s="480"/>
      <c r="AG102" s="480"/>
      <c r="AH102" s="480"/>
      <c r="AI102" s="480"/>
      <c r="AJ102" s="480"/>
      <c r="AK102" s="480"/>
      <c r="AL102" s="480"/>
      <c r="AM102" s="480"/>
      <c r="AN102" s="480"/>
      <c r="AO102" s="480"/>
      <c r="AP102" s="480"/>
      <c r="AQ102" s="480"/>
      <c r="AR102" s="480"/>
      <c r="AS102" s="480"/>
      <c r="AT102" s="480"/>
      <c r="AU102" s="480"/>
      <c r="AV102" s="480"/>
      <c r="AW102" s="480"/>
      <c r="AX102" s="480"/>
      <c r="AY102" s="480"/>
      <c r="AZ102" s="480"/>
      <c r="BA102" s="480"/>
      <c r="BB102" s="480"/>
      <c r="BC102" s="480"/>
      <c r="BD102" s="480"/>
      <c r="BE102" s="480"/>
      <c r="BF102" s="480"/>
      <c r="BG102" s="480"/>
      <c r="BH102" s="480"/>
      <c r="BI102" s="480"/>
      <c r="BJ102" s="480"/>
      <c r="BK102" s="480"/>
      <c r="BL102" s="480"/>
      <c r="BM102" s="480"/>
      <c r="BN102" s="480"/>
      <c r="BO102" s="480"/>
      <c r="BP102" s="480"/>
      <c r="BQ102" s="480"/>
      <c r="BR102" s="480"/>
      <c r="BS102" s="480"/>
      <c r="BT102" s="480"/>
      <c r="BU102" s="480"/>
      <c r="BV102" s="480"/>
      <c r="BW102" s="480"/>
      <c r="BX102" s="480"/>
      <c r="BY102" s="480"/>
      <c r="BZ102" s="480"/>
      <c r="CA102" s="480"/>
      <c r="CB102" s="480"/>
      <c r="CC102" s="480"/>
      <c r="CD102" s="480"/>
      <c r="CE102" s="480"/>
      <c r="CF102" s="480"/>
      <c r="CG102" s="480"/>
      <c r="CH102" s="480"/>
      <c r="CI102" s="480"/>
      <c r="CJ102" s="480"/>
      <c r="CK102" s="482"/>
      <c r="CL102" s="480"/>
      <c r="CM102" s="480"/>
      <c r="CN102" s="480"/>
      <c r="CO102" s="480"/>
      <c r="CP102" s="480"/>
      <c r="CQ102" s="480"/>
      <c r="CR102" s="480"/>
      <c r="CS102" s="480"/>
      <c r="CT102" s="480"/>
      <c r="CU102" s="480"/>
      <c r="CV102" s="480"/>
      <c r="CW102" s="480"/>
      <c r="CX102" s="482"/>
      <c r="CY102" s="480"/>
      <c r="CZ102" s="480"/>
      <c r="DA102" s="480"/>
      <c r="DB102" s="480"/>
      <c r="DC102" s="480"/>
      <c r="DD102" s="480"/>
      <c r="DE102" s="480"/>
      <c r="DF102" s="480"/>
      <c r="DG102" s="480"/>
      <c r="DH102" s="480"/>
      <c r="DI102" s="480"/>
      <c r="DJ102" s="480"/>
      <c r="DK102" s="482"/>
      <c r="DL102" s="480"/>
      <c r="DM102" s="480"/>
      <c r="DN102" s="480"/>
      <c r="DO102" s="480"/>
      <c r="DP102" s="480"/>
      <c r="DQ102" s="480"/>
      <c r="DR102" s="480"/>
      <c r="DS102" s="480"/>
      <c r="DT102" s="480"/>
      <c r="DU102" s="480"/>
      <c r="DV102" s="480"/>
      <c r="DW102" s="480"/>
      <c r="DX102" s="482"/>
      <c r="DY102" s="480"/>
      <c r="DZ102" s="480"/>
      <c r="EA102" s="480"/>
      <c r="EB102" s="480"/>
      <c r="EC102" s="480"/>
      <c r="ED102" s="480"/>
      <c r="EE102" s="480"/>
      <c r="EF102" s="480"/>
      <c r="EG102" s="480"/>
      <c r="EH102" s="480"/>
      <c r="EI102" s="480"/>
      <c r="EJ102" s="480"/>
    </row>
    <row r="103" spans="1:140" s="481" customFormat="1">
      <c r="A103" s="480"/>
      <c r="B103" s="480"/>
      <c r="C103" s="480"/>
      <c r="D103" s="480"/>
      <c r="E103" s="480"/>
      <c r="F103" s="480"/>
      <c r="G103" s="480"/>
      <c r="H103" s="480"/>
      <c r="I103" s="480"/>
      <c r="J103" s="480"/>
      <c r="K103" s="480"/>
      <c r="L103" s="480"/>
      <c r="M103" s="480"/>
      <c r="N103" s="480"/>
      <c r="O103" s="480"/>
      <c r="P103" s="480"/>
      <c r="Q103" s="480"/>
      <c r="R103" s="480"/>
      <c r="S103" s="480"/>
      <c r="T103" s="480"/>
      <c r="U103" s="480"/>
      <c r="V103" s="480"/>
      <c r="W103" s="480"/>
      <c r="X103" s="480"/>
      <c r="Y103" s="480"/>
      <c r="Z103" s="480"/>
      <c r="AA103" s="480"/>
      <c r="AD103" s="480"/>
      <c r="AE103" s="480"/>
      <c r="AF103" s="480"/>
      <c r="AG103" s="480"/>
      <c r="AH103" s="480"/>
      <c r="AI103" s="480"/>
      <c r="AJ103" s="480"/>
      <c r="AK103" s="480"/>
      <c r="AL103" s="480"/>
      <c r="AM103" s="480"/>
      <c r="AN103" s="480"/>
      <c r="AO103" s="480"/>
      <c r="AP103" s="480"/>
      <c r="AQ103" s="480"/>
      <c r="AR103" s="480"/>
      <c r="AS103" s="480"/>
      <c r="AT103" s="480"/>
      <c r="AU103" s="480"/>
      <c r="AV103" s="480"/>
      <c r="AW103" s="480"/>
      <c r="AX103" s="480"/>
      <c r="AY103" s="480"/>
      <c r="AZ103" s="480"/>
      <c r="BA103" s="480"/>
      <c r="BB103" s="480"/>
      <c r="BC103" s="480"/>
      <c r="BD103" s="480"/>
      <c r="BE103" s="480"/>
      <c r="BF103" s="480"/>
      <c r="BG103" s="480"/>
      <c r="BH103" s="480"/>
      <c r="BI103" s="480"/>
      <c r="BJ103" s="480"/>
      <c r="BK103" s="480"/>
      <c r="BL103" s="480"/>
      <c r="BM103" s="480"/>
      <c r="BN103" s="480"/>
      <c r="BO103" s="480"/>
      <c r="BP103" s="480"/>
      <c r="BQ103" s="480"/>
      <c r="BR103" s="480"/>
      <c r="BS103" s="480"/>
      <c r="BT103" s="480"/>
      <c r="BU103" s="480"/>
      <c r="BV103" s="480"/>
      <c r="BW103" s="480"/>
      <c r="BX103" s="480"/>
      <c r="BY103" s="480"/>
      <c r="BZ103" s="480"/>
      <c r="CA103" s="480"/>
      <c r="CB103" s="480"/>
      <c r="CC103" s="480"/>
      <c r="CD103" s="480"/>
      <c r="CE103" s="480"/>
      <c r="CF103" s="480"/>
      <c r="CG103" s="480"/>
      <c r="CH103" s="480"/>
      <c r="CI103" s="480"/>
      <c r="CJ103" s="480"/>
      <c r="CK103" s="482"/>
      <c r="CL103" s="480"/>
      <c r="CM103" s="480"/>
      <c r="CN103" s="480"/>
      <c r="CO103" s="480"/>
      <c r="CP103" s="480"/>
      <c r="CQ103" s="480"/>
      <c r="CR103" s="480"/>
      <c r="CS103" s="480"/>
      <c r="CT103" s="480"/>
      <c r="CU103" s="480"/>
      <c r="CV103" s="480"/>
      <c r="CW103" s="480"/>
      <c r="CX103" s="482"/>
      <c r="CY103" s="480"/>
      <c r="CZ103" s="480"/>
      <c r="DA103" s="480"/>
      <c r="DB103" s="480"/>
      <c r="DC103" s="480"/>
      <c r="DD103" s="480"/>
      <c r="DE103" s="480"/>
      <c r="DF103" s="480"/>
      <c r="DG103" s="480"/>
      <c r="DH103" s="480"/>
      <c r="DI103" s="480"/>
      <c r="DJ103" s="480"/>
      <c r="DK103" s="482"/>
      <c r="DL103" s="480"/>
      <c r="DM103" s="480"/>
      <c r="DN103" s="480"/>
      <c r="DO103" s="480"/>
      <c r="DP103" s="480"/>
      <c r="DQ103" s="480"/>
      <c r="DR103" s="480"/>
      <c r="DS103" s="480"/>
      <c r="DT103" s="480"/>
      <c r="DU103" s="480"/>
      <c r="DV103" s="480"/>
      <c r="DW103" s="480"/>
      <c r="DX103" s="482"/>
      <c r="DY103" s="480"/>
      <c r="DZ103" s="480"/>
      <c r="EA103" s="480"/>
      <c r="EB103" s="480"/>
      <c r="EC103" s="480"/>
      <c r="ED103" s="480"/>
      <c r="EE103" s="480"/>
      <c r="EF103" s="480"/>
      <c r="EG103" s="480"/>
      <c r="EH103" s="480"/>
      <c r="EI103" s="480"/>
      <c r="EJ103" s="480"/>
    </row>
    <row r="104" spans="1:140" s="481" customFormat="1">
      <c r="A104" s="480"/>
      <c r="B104" s="480"/>
      <c r="C104" s="480"/>
      <c r="D104" s="480"/>
      <c r="E104" s="480"/>
      <c r="F104" s="480"/>
      <c r="G104" s="480"/>
      <c r="H104" s="480"/>
      <c r="I104" s="480"/>
      <c r="J104" s="480"/>
      <c r="K104" s="480"/>
      <c r="L104" s="480"/>
      <c r="M104" s="480"/>
      <c r="N104" s="480"/>
      <c r="O104" s="480"/>
      <c r="P104" s="480"/>
      <c r="Q104" s="480"/>
      <c r="R104" s="480"/>
      <c r="S104" s="480"/>
      <c r="T104" s="480"/>
      <c r="U104" s="480"/>
      <c r="V104" s="480"/>
      <c r="W104" s="480"/>
      <c r="X104" s="480"/>
      <c r="Y104" s="480"/>
      <c r="Z104" s="480"/>
      <c r="AA104" s="480"/>
      <c r="AD104" s="480"/>
      <c r="AE104" s="480"/>
      <c r="AF104" s="480"/>
      <c r="AG104" s="480"/>
      <c r="AH104" s="480"/>
      <c r="AI104" s="480"/>
      <c r="AJ104" s="480"/>
      <c r="AK104" s="480"/>
      <c r="AL104" s="480"/>
      <c r="AM104" s="480"/>
      <c r="AN104" s="480"/>
      <c r="AO104" s="480"/>
      <c r="AP104" s="480"/>
      <c r="AQ104" s="480"/>
      <c r="AR104" s="480"/>
      <c r="AS104" s="480"/>
      <c r="AT104" s="480"/>
      <c r="AU104" s="480"/>
      <c r="AV104" s="480"/>
      <c r="AW104" s="480"/>
      <c r="AX104" s="480"/>
      <c r="AY104" s="480"/>
      <c r="AZ104" s="480"/>
      <c r="BA104" s="480"/>
      <c r="BB104" s="480"/>
      <c r="BC104" s="480"/>
      <c r="BD104" s="480"/>
      <c r="BE104" s="480"/>
      <c r="BF104" s="480"/>
      <c r="BG104" s="480"/>
      <c r="BH104" s="480"/>
      <c r="BI104" s="480"/>
      <c r="BJ104" s="480"/>
      <c r="BK104" s="480"/>
      <c r="BL104" s="480"/>
      <c r="BM104" s="480"/>
      <c r="BN104" s="480"/>
      <c r="BO104" s="480"/>
      <c r="BP104" s="480"/>
      <c r="BQ104" s="480"/>
      <c r="BR104" s="480"/>
      <c r="BS104" s="480"/>
      <c r="BT104" s="480"/>
      <c r="BU104" s="480"/>
      <c r="BV104" s="480"/>
      <c r="BW104" s="480"/>
      <c r="BX104" s="480"/>
      <c r="BY104" s="480"/>
      <c r="BZ104" s="480"/>
      <c r="CA104" s="480"/>
      <c r="CB104" s="480"/>
      <c r="CC104" s="480"/>
      <c r="CD104" s="480"/>
      <c r="CE104" s="480"/>
      <c r="CF104" s="480"/>
      <c r="CG104" s="480"/>
      <c r="CH104" s="480"/>
      <c r="CI104" s="480"/>
      <c r="CJ104" s="480"/>
      <c r="CK104" s="482"/>
      <c r="CL104" s="480"/>
      <c r="CM104" s="480"/>
      <c r="CN104" s="480"/>
      <c r="CO104" s="480"/>
      <c r="CP104" s="480"/>
      <c r="CQ104" s="480"/>
      <c r="CR104" s="480"/>
      <c r="CS104" s="480"/>
      <c r="CT104" s="480"/>
      <c r="CU104" s="480"/>
      <c r="CV104" s="480"/>
      <c r="CW104" s="480"/>
      <c r="CX104" s="482"/>
      <c r="CY104" s="480"/>
      <c r="CZ104" s="480"/>
      <c r="DA104" s="480"/>
      <c r="DB104" s="480"/>
      <c r="DC104" s="480"/>
      <c r="DD104" s="480"/>
      <c r="DE104" s="480"/>
      <c r="DF104" s="480"/>
      <c r="DG104" s="480"/>
      <c r="DH104" s="480"/>
      <c r="DI104" s="480"/>
      <c r="DJ104" s="480"/>
      <c r="DK104" s="482"/>
      <c r="DL104" s="480"/>
      <c r="DM104" s="480"/>
      <c r="DN104" s="480"/>
      <c r="DO104" s="480"/>
      <c r="DP104" s="480"/>
      <c r="DQ104" s="480"/>
      <c r="DR104" s="480"/>
      <c r="DS104" s="480"/>
      <c r="DT104" s="480"/>
      <c r="DU104" s="480"/>
      <c r="DV104" s="480"/>
      <c r="DW104" s="480"/>
      <c r="DX104" s="482"/>
      <c r="DY104" s="480"/>
      <c r="DZ104" s="480"/>
      <c r="EA104" s="480"/>
      <c r="EB104" s="480"/>
      <c r="EC104" s="480"/>
      <c r="ED104" s="480"/>
      <c r="EE104" s="480"/>
      <c r="EF104" s="480"/>
      <c r="EG104" s="480"/>
      <c r="EH104" s="480"/>
      <c r="EI104" s="480"/>
      <c r="EJ104" s="480"/>
    </row>
    <row r="105" spans="1:140" s="481" customFormat="1">
      <c r="A105" s="480"/>
      <c r="B105" s="480"/>
      <c r="C105" s="480"/>
      <c r="D105" s="480"/>
      <c r="E105" s="480"/>
      <c r="F105" s="480"/>
      <c r="G105" s="480"/>
      <c r="H105" s="480"/>
      <c r="I105" s="480"/>
      <c r="J105" s="480"/>
      <c r="K105" s="480"/>
      <c r="L105" s="480"/>
      <c r="M105" s="480"/>
      <c r="N105" s="480"/>
      <c r="O105" s="480"/>
      <c r="P105" s="480"/>
      <c r="Q105" s="480"/>
      <c r="R105" s="480"/>
      <c r="S105" s="480"/>
      <c r="T105" s="480"/>
      <c r="U105" s="480"/>
      <c r="V105" s="480"/>
      <c r="W105" s="480"/>
      <c r="X105" s="480"/>
      <c r="Y105" s="480"/>
      <c r="Z105" s="480"/>
      <c r="AA105" s="480"/>
      <c r="AD105" s="480"/>
      <c r="AE105" s="480"/>
      <c r="AF105" s="480"/>
      <c r="AG105" s="480"/>
      <c r="AH105" s="480"/>
      <c r="AI105" s="480"/>
      <c r="AJ105" s="480"/>
      <c r="AK105" s="480"/>
      <c r="AL105" s="480"/>
      <c r="AM105" s="480"/>
      <c r="AN105" s="480"/>
      <c r="AO105" s="480"/>
      <c r="AP105" s="480"/>
      <c r="AQ105" s="480"/>
      <c r="AR105" s="480"/>
      <c r="AS105" s="480"/>
      <c r="AT105" s="480"/>
      <c r="AU105" s="480"/>
      <c r="AV105" s="480"/>
      <c r="AW105" s="480"/>
      <c r="AX105" s="480"/>
      <c r="AY105" s="480"/>
      <c r="AZ105" s="480"/>
      <c r="BA105" s="480"/>
      <c r="BB105" s="480"/>
      <c r="BC105" s="480"/>
      <c r="BD105" s="480"/>
      <c r="BE105" s="480"/>
      <c r="BF105" s="480"/>
      <c r="BG105" s="480"/>
      <c r="BH105" s="480"/>
      <c r="BI105" s="480"/>
      <c r="BJ105" s="480"/>
      <c r="BK105" s="480"/>
      <c r="BL105" s="480"/>
      <c r="BM105" s="480"/>
      <c r="BN105" s="480"/>
      <c r="BO105" s="480"/>
      <c r="BP105" s="480"/>
      <c r="BQ105" s="480"/>
      <c r="BR105" s="480"/>
      <c r="BS105" s="480"/>
      <c r="BT105" s="480"/>
      <c r="BU105" s="480"/>
      <c r="BV105" s="480"/>
      <c r="BW105" s="480"/>
      <c r="BX105" s="480"/>
      <c r="BY105" s="480"/>
      <c r="BZ105" s="480"/>
      <c r="CA105" s="480"/>
      <c r="CB105" s="480"/>
      <c r="CC105" s="480"/>
      <c r="CD105" s="480"/>
      <c r="CE105" s="480"/>
      <c r="CF105" s="480"/>
      <c r="CG105" s="480"/>
      <c r="CH105" s="480"/>
      <c r="CI105" s="480"/>
      <c r="CJ105" s="480"/>
      <c r="CK105" s="482"/>
      <c r="CL105" s="480"/>
      <c r="CM105" s="480"/>
      <c r="CN105" s="480"/>
      <c r="CO105" s="480"/>
      <c r="CP105" s="480"/>
      <c r="CQ105" s="480"/>
      <c r="CR105" s="480"/>
      <c r="CS105" s="480"/>
      <c r="CT105" s="480"/>
      <c r="CU105" s="480"/>
      <c r="CV105" s="480"/>
      <c r="CW105" s="480"/>
      <c r="CX105" s="482"/>
      <c r="CY105" s="480"/>
      <c r="CZ105" s="480"/>
      <c r="DA105" s="480"/>
      <c r="DB105" s="480"/>
      <c r="DC105" s="480"/>
      <c r="DD105" s="480"/>
      <c r="DE105" s="480"/>
      <c r="DF105" s="480"/>
      <c r="DG105" s="480"/>
      <c r="DH105" s="480"/>
      <c r="DI105" s="480"/>
      <c r="DJ105" s="480"/>
      <c r="DK105" s="482"/>
      <c r="DL105" s="480"/>
      <c r="DM105" s="480"/>
      <c r="DN105" s="480"/>
      <c r="DO105" s="480"/>
      <c r="DP105" s="480"/>
      <c r="DQ105" s="480"/>
      <c r="DR105" s="480"/>
      <c r="DS105" s="480"/>
      <c r="DT105" s="480"/>
      <c r="DU105" s="480"/>
      <c r="DV105" s="480"/>
      <c r="DW105" s="480"/>
      <c r="DX105" s="482"/>
      <c r="DY105" s="480"/>
      <c r="DZ105" s="480"/>
      <c r="EA105" s="480"/>
      <c r="EB105" s="480"/>
      <c r="EC105" s="480"/>
      <c r="ED105" s="480"/>
      <c r="EE105" s="480"/>
      <c r="EF105" s="480"/>
      <c r="EG105" s="480"/>
      <c r="EH105" s="480"/>
      <c r="EI105" s="480"/>
      <c r="EJ105" s="480"/>
    </row>
    <row r="106" spans="1:140" s="481" customFormat="1">
      <c r="A106" s="480"/>
      <c r="B106" s="480"/>
      <c r="C106" s="480"/>
      <c r="D106" s="480"/>
      <c r="E106" s="480"/>
      <c r="F106" s="480"/>
      <c r="G106" s="480"/>
      <c r="H106" s="480"/>
      <c r="I106" s="480"/>
      <c r="J106" s="480"/>
      <c r="K106" s="480"/>
      <c r="L106" s="480"/>
      <c r="M106" s="480"/>
      <c r="N106" s="480"/>
      <c r="O106" s="480"/>
      <c r="P106" s="480"/>
      <c r="Q106" s="480"/>
      <c r="R106" s="480"/>
      <c r="S106" s="480"/>
      <c r="T106" s="480"/>
      <c r="U106" s="480"/>
      <c r="V106" s="480"/>
      <c r="W106" s="480"/>
      <c r="X106" s="480"/>
      <c r="Y106" s="480"/>
      <c r="Z106" s="480"/>
      <c r="AA106" s="480"/>
      <c r="AD106" s="480"/>
      <c r="AE106" s="480"/>
      <c r="AF106" s="480"/>
      <c r="AG106" s="480"/>
      <c r="AH106" s="480"/>
      <c r="AI106" s="480"/>
      <c r="AJ106" s="480"/>
      <c r="AK106" s="480"/>
      <c r="AL106" s="480"/>
      <c r="AM106" s="480"/>
      <c r="AN106" s="480"/>
      <c r="AO106" s="480"/>
      <c r="AP106" s="480"/>
      <c r="AQ106" s="480"/>
      <c r="AR106" s="480"/>
      <c r="AS106" s="480"/>
      <c r="AT106" s="480"/>
      <c r="AU106" s="480"/>
      <c r="AV106" s="480"/>
      <c r="AW106" s="480"/>
      <c r="AX106" s="480"/>
      <c r="AY106" s="480"/>
      <c r="AZ106" s="480"/>
      <c r="BA106" s="480"/>
      <c r="BB106" s="480"/>
      <c r="BC106" s="480"/>
      <c r="BD106" s="480"/>
      <c r="BE106" s="480"/>
      <c r="BF106" s="480"/>
      <c r="BG106" s="480"/>
      <c r="BH106" s="480"/>
      <c r="BI106" s="480"/>
      <c r="BJ106" s="480"/>
      <c r="BK106" s="480"/>
      <c r="BL106" s="480"/>
      <c r="BM106" s="480"/>
      <c r="BN106" s="480"/>
      <c r="BO106" s="480"/>
      <c r="BP106" s="480"/>
      <c r="BQ106" s="480"/>
      <c r="BR106" s="480"/>
      <c r="BS106" s="480"/>
      <c r="BT106" s="480"/>
      <c r="BU106" s="480"/>
      <c r="BV106" s="480"/>
      <c r="BW106" s="480"/>
      <c r="BX106" s="480"/>
      <c r="BY106" s="480"/>
      <c r="BZ106" s="480"/>
      <c r="CA106" s="480"/>
      <c r="CB106" s="480"/>
      <c r="CC106" s="480"/>
      <c r="CD106" s="480"/>
      <c r="CE106" s="480"/>
      <c r="CF106" s="480"/>
      <c r="CG106" s="480"/>
      <c r="CH106" s="480"/>
      <c r="CI106" s="480"/>
      <c r="CJ106" s="480"/>
      <c r="CK106" s="482"/>
      <c r="CL106" s="480"/>
      <c r="CM106" s="480"/>
      <c r="CN106" s="480"/>
      <c r="CO106" s="480"/>
      <c r="CP106" s="480"/>
      <c r="CQ106" s="480"/>
      <c r="CR106" s="480"/>
      <c r="CS106" s="480"/>
      <c r="CT106" s="480"/>
      <c r="CU106" s="480"/>
      <c r="CV106" s="480"/>
      <c r="CW106" s="480"/>
      <c r="CX106" s="482"/>
      <c r="CY106" s="480"/>
      <c r="CZ106" s="480"/>
      <c r="DA106" s="480"/>
      <c r="DB106" s="480"/>
      <c r="DC106" s="480"/>
      <c r="DD106" s="480"/>
      <c r="DE106" s="480"/>
      <c r="DF106" s="480"/>
      <c r="DG106" s="480"/>
      <c r="DH106" s="480"/>
      <c r="DI106" s="480"/>
      <c r="DJ106" s="480"/>
      <c r="DK106" s="482"/>
      <c r="DL106" s="480"/>
      <c r="DM106" s="480"/>
      <c r="DN106" s="480"/>
      <c r="DO106" s="480"/>
      <c r="DP106" s="480"/>
      <c r="DQ106" s="480"/>
      <c r="DR106" s="480"/>
      <c r="DS106" s="480"/>
      <c r="DT106" s="480"/>
      <c r="DU106" s="480"/>
      <c r="DV106" s="480"/>
      <c r="DW106" s="480"/>
      <c r="DX106" s="482"/>
      <c r="DY106" s="480"/>
      <c r="DZ106" s="480"/>
      <c r="EA106" s="480"/>
      <c r="EB106" s="480"/>
      <c r="EC106" s="480"/>
      <c r="ED106" s="480"/>
      <c r="EE106" s="480"/>
      <c r="EF106" s="480"/>
      <c r="EG106" s="480"/>
      <c r="EH106" s="480"/>
      <c r="EI106" s="480"/>
      <c r="EJ106" s="480"/>
    </row>
  </sheetData>
  <mergeCells count="5">
    <mergeCell ref="C2:N2"/>
    <mergeCell ref="BY2:CJ2"/>
    <mergeCell ref="CL2:CW2"/>
    <mergeCell ref="CY2:DJ2"/>
    <mergeCell ref="DL2:DW2"/>
  </mergeCells>
  <pageMargins left="0.7" right="0.7" top="0.75" bottom="0.75" header="0.3" footer="0.3"/>
  <pageSetup paperSize="9" scale="10" orientation="landscape"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AF06D-08F7-404C-8EE0-683DFF9C772D}">
  <sheetPr>
    <tabColor theme="4" tint="0.39997558519241921"/>
    <pageSetUpPr fitToPage="1"/>
  </sheetPr>
  <dimension ref="B1:DX94"/>
  <sheetViews>
    <sheetView showGridLines="0" zoomScaleNormal="100" workbookViewId="0">
      <pane xSplit="14" ySplit="3" topLeftCell="CY9" activePane="bottomRight" state="frozen"/>
      <selection activeCell="CE28" sqref="CE28"/>
      <selection pane="topRight" activeCell="CE28" sqref="CE28"/>
      <selection pane="bottomLeft" activeCell="CE28" sqref="CE28"/>
      <selection pane="bottomRight" activeCell="DH23" sqref="DH23"/>
    </sheetView>
  </sheetViews>
  <sheetFormatPr baseColWidth="10" defaultColWidth="10.7109375" defaultRowHeight="14.25"/>
  <cols>
    <col min="1" max="1" width="2.85546875" style="480" customWidth="1"/>
    <col min="2" max="2" width="38" style="480" bestFit="1" customWidth="1"/>
    <col min="3" max="3" width="14.5703125" style="480" hidden="1" customWidth="1"/>
    <col min="4" max="4" width="13.28515625" style="480" hidden="1" customWidth="1"/>
    <col min="5" max="5" width="14" style="480" hidden="1" customWidth="1"/>
    <col min="6" max="6" width="15" style="480" hidden="1" customWidth="1"/>
    <col min="7" max="7" width="14" style="480" hidden="1" customWidth="1"/>
    <col min="8" max="8" width="14.85546875" style="480" hidden="1" customWidth="1"/>
    <col min="9" max="9" width="14.5703125" style="480" hidden="1" customWidth="1"/>
    <col min="10" max="10" width="15" style="480" hidden="1" customWidth="1"/>
    <col min="11" max="11" width="14.7109375" style="480" hidden="1" customWidth="1"/>
    <col min="12" max="12" width="14.28515625" style="480" hidden="1" customWidth="1"/>
    <col min="13" max="13" width="13.7109375" style="480" hidden="1" customWidth="1"/>
    <col min="14" max="14" width="13.28515625" style="480" hidden="1" customWidth="1"/>
    <col min="15" max="15" width="12.85546875" style="480" hidden="1" customWidth="1"/>
    <col min="16" max="16" width="15" style="480" customWidth="1"/>
    <col min="17" max="17" width="14.85546875" style="480" bestFit="1" customWidth="1"/>
    <col min="18" max="18" width="15.7109375" style="480" bestFit="1" customWidth="1"/>
    <col min="19" max="19" width="15.42578125" style="480" bestFit="1" customWidth="1"/>
    <col min="20" max="20" width="15.7109375" style="480" bestFit="1" customWidth="1"/>
    <col min="21" max="21" width="15.140625" style="480" bestFit="1" customWidth="1"/>
    <col min="22" max="22" width="14.42578125" style="480" bestFit="1" customWidth="1"/>
    <col min="23" max="23" width="15" style="480" bestFit="1" customWidth="1"/>
    <col min="24" max="24" width="15.140625" style="480" bestFit="1" customWidth="1"/>
    <col min="25" max="25" width="15.85546875" style="480" bestFit="1" customWidth="1"/>
    <col min="26" max="26" width="16.7109375" style="480" bestFit="1" customWidth="1"/>
    <col min="27" max="27" width="15.85546875" style="541" bestFit="1" customWidth="1"/>
    <col min="28" max="28" width="15.42578125" style="481" bestFit="1" customWidth="1"/>
    <col min="29" max="29" width="16.42578125" style="481" bestFit="1" customWidth="1"/>
    <col min="30" max="30" width="15.5703125" style="480" customWidth="1"/>
    <col min="31" max="32" width="16.42578125" style="480" bestFit="1" customWidth="1"/>
    <col min="33" max="33" width="17.140625" style="480" bestFit="1" customWidth="1"/>
    <col min="34" max="34" width="17" style="480" bestFit="1" customWidth="1"/>
    <col min="35" max="36" width="16.42578125" style="480" bestFit="1" customWidth="1"/>
    <col min="37" max="37" width="15.42578125" style="480" bestFit="1" customWidth="1"/>
    <col min="38" max="38" width="16.7109375" style="480" bestFit="1" customWidth="1"/>
    <col min="39" max="40" width="17.140625" style="480" bestFit="1" customWidth="1"/>
    <col min="41" max="41" width="16.42578125" style="480" bestFit="1" customWidth="1"/>
    <col min="42" max="42" width="17.140625" style="480" bestFit="1" customWidth="1"/>
    <col min="43" max="43" width="17" style="480" bestFit="1" customWidth="1"/>
    <col min="44" max="44" width="16.7109375" style="480" bestFit="1" customWidth="1"/>
    <col min="45" max="45" width="17.140625" style="480" bestFit="1" customWidth="1"/>
    <col min="46" max="46" width="18.28515625" style="480" customWidth="1"/>
    <col min="47" max="47" width="18.140625" style="480" bestFit="1" customWidth="1"/>
    <col min="48" max="48" width="17" style="480" bestFit="1" customWidth="1"/>
    <col min="49" max="49" width="17.140625" style="480" bestFit="1" customWidth="1"/>
    <col min="50" max="50" width="16.140625" style="480" bestFit="1" customWidth="1"/>
    <col min="51" max="51" width="17.28515625" style="480" customWidth="1"/>
    <col min="52" max="52" width="16.42578125" style="480" bestFit="1" customWidth="1"/>
    <col min="53" max="53" width="16.85546875" style="480" bestFit="1" customWidth="1"/>
    <col min="54" max="54" width="18" style="480" customWidth="1"/>
    <col min="55" max="55" width="17.85546875" style="480" customWidth="1"/>
    <col min="56" max="56" width="19.5703125" style="480" customWidth="1"/>
    <col min="57" max="57" width="17.85546875" style="480" bestFit="1" customWidth="1"/>
    <col min="58" max="58" width="18.28515625" style="480" customWidth="1"/>
    <col min="59" max="59" width="17" style="480" customWidth="1"/>
    <col min="60" max="60" width="19.5703125" style="480" customWidth="1"/>
    <col min="61" max="61" width="18.28515625" style="480" customWidth="1"/>
    <col min="62" max="62" width="19" style="480" customWidth="1"/>
    <col min="63" max="65" width="18" style="480" customWidth="1"/>
    <col min="66" max="66" width="18.85546875" style="480" customWidth="1"/>
    <col min="67" max="67" width="19.28515625" style="480" customWidth="1"/>
    <col min="68" max="68" width="18.42578125" style="480" bestFit="1" customWidth="1"/>
    <col min="69" max="69" width="18.7109375" style="480" customWidth="1"/>
    <col min="70" max="70" width="18.140625" style="480" bestFit="1" customWidth="1"/>
    <col min="71" max="71" width="20.85546875" style="480" customWidth="1"/>
    <col min="72" max="72" width="18" style="480" customWidth="1"/>
    <col min="73" max="73" width="17.7109375" style="480" customWidth="1"/>
    <col min="74" max="74" width="17.85546875" style="480" customWidth="1"/>
    <col min="75" max="75" width="18.42578125" style="480" bestFit="1" customWidth="1"/>
    <col min="76" max="76" width="19.5703125" style="480" customWidth="1"/>
    <col min="77" max="78" width="10.7109375" style="480" bestFit="1" customWidth="1"/>
    <col min="79" max="79" width="10.28515625" style="480" bestFit="1" customWidth="1"/>
    <col min="80" max="80" width="10.7109375" style="480" bestFit="1" customWidth="1"/>
    <col min="81" max="81" width="11" style="480" customWidth="1"/>
    <col min="82" max="82" width="12" style="480" customWidth="1"/>
    <col min="83" max="83" width="12.42578125" style="480" customWidth="1"/>
    <col min="84" max="84" width="12.28515625" style="480" customWidth="1"/>
    <col min="85" max="85" width="13.5703125" style="480" customWidth="1"/>
    <col min="86" max="86" width="12.42578125" style="480" customWidth="1"/>
    <col min="87" max="87" width="12.28515625" style="480" customWidth="1"/>
    <col min="88" max="88" width="12.7109375" style="480" customWidth="1"/>
    <col min="89" max="89" width="18" style="482" bestFit="1" customWidth="1"/>
    <col min="90" max="90" width="11.85546875" style="480" bestFit="1" customWidth="1"/>
    <col min="91" max="92" width="10.28515625" style="480" bestFit="1" customWidth="1"/>
    <col min="93" max="93" width="10.7109375" style="480" bestFit="1" customWidth="1"/>
    <col min="94" max="94" width="10.5703125" style="480" bestFit="1" customWidth="1"/>
    <col min="95" max="96" width="10.7109375" style="480" bestFit="1" customWidth="1"/>
    <col min="97" max="97" width="10.28515625" style="480" bestFit="1" customWidth="1"/>
    <col min="98" max="98" width="10.5703125" style="480" bestFit="1" customWidth="1"/>
    <col min="99" max="99" width="10.28515625" style="480" bestFit="1" customWidth="1"/>
    <col min="100" max="100" width="10.5703125" style="480" bestFit="1" customWidth="1"/>
    <col min="101" max="101" width="10.42578125" style="480" bestFit="1" customWidth="1"/>
    <col min="102" max="102" width="11.85546875" style="482" bestFit="1" customWidth="1"/>
    <col min="103" max="103" width="10.85546875" style="480" bestFit="1" customWidth="1"/>
    <col min="104" max="106" width="8" style="480" bestFit="1" customWidth="1"/>
    <col min="107" max="107" width="9" style="480" bestFit="1" customWidth="1"/>
    <col min="108" max="108" width="8" style="480" bestFit="1" customWidth="1"/>
    <col min="109" max="109" width="9.140625" style="480" bestFit="1" customWidth="1"/>
    <col min="110" max="111" width="8" style="480" bestFit="1" customWidth="1"/>
    <col min="112" max="112" width="9.42578125" style="480" customWidth="1"/>
    <col min="113" max="114" width="8" style="480" bestFit="1" customWidth="1"/>
    <col min="115" max="115" width="9.140625" style="482" bestFit="1" customWidth="1"/>
    <col min="116" max="116" width="10.85546875" style="480" bestFit="1" customWidth="1"/>
    <col min="117" max="127" width="10.7109375" style="480"/>
    <col min="128" max="128" width="12" style="482" bestFit="1" customWidth="1"/>
    <col min="129" max="16384" width="10.7109375" style="480"/>
  </cols>
  <sheetData>
    <row r="1" spans="2:128" ht="7.5" customHeight="1">
      <c r="AA1" s="480"/>
    </row>
    <row r="2" spans="2:128" ht="15" customHeight="1">
      <c r="C2" s="970">
        <v>2018</v>
      </c>
      <c r="D2" s="970"/>
      <c r="E2" s="970"/>
      <c r="F2" s="970"/>
      <c r="G2" s="970"/>
      <c r="H2" s="970"/>
      <c r="I2" s="970"/>
      <c r="J2" s="970"/>
      <c r="K2" s="970"/>
      <c r="L2" s="970"/>
      <c r="M2" s="970"/>
      <c r="N2" s="970"/>
      <c r="P2" s="483">
        <v>2019</v>
      </c>
      <c r="Q2" s="484"/>
      <c r="R2" s="484"/>
      <c r="S2" s="484"/>
      <c r="T2" s="484"/>
      <c r="U2" s="484"/>
      <c r="V2" s="484"/>
      <c r="W2" s="484"/>
      <c r="X2" s="484"/>
      <c r="Y2" s="484"/>
      <c r="Z2" s="484"/>
      <c r="AA2" s="484"/>
      <c r="AC2" s="485">
        <v>2020</v>
      </c>
      <c r="AD2" s="484"/>
      <c r="AE2" s="484"/>
      <c r="AF2" s="484"/>
      <c r="AG2" s="484"/>
      <c r="AH2" s="484"/>
      <c r="AI2" s="484"/>
      <c r="AJ2" s="484"/>
      <c r="AL2" s="483" t="s">
        <v>121</v>
      </c>
      <c r="AM2" s="484"/>
      <c r="AN2" s="484"/>
      <c r="AO2" s="484"/>
      <c r="AP2" s="486"/>
      <c r="AQ2" s="484"/>
      <c r="AR2" s="484"/>
      <c r="AS2" s="484"/>
      <c r="AT2" s="484"/>
      <c r="AU2" s="484"/>
      <c r="AV2" s="484"/>
      <c r="AW2" s="484"/>
      <c r="AY2" s="486" t="s">
        <v>122</v>
      </c>
      <c r="AZ2" s="486"/>
      <c r="BA2" s="486"/>
      <c r="BB2" s="486"/>
      <c r="BC2" s="486"/>
      <c r="BD2" s="486"/>
      <c r="BE2" s="486"/>
      <c r="BF2" s="486"/>
      <c r="BG2" s="486"/>
      <c r="BH2" s="486"/>
      <c r="BI2" s="486"/>
      <c r="BJ2" s="486"/>
      <c r="BL2" s="487" t="s">
        <v>123</v>
      </c>
      <c r="BM2" s="487"/>
      <c r="BN2" s="487"/>
      <c r="BO2" s="487"/>
      <c r="BP2" s="487"/>
      <c r="BQ2" s="487"/>
      <c r="BR2" s="487"/>
      <c r="BS2" s="487"/>
      <c r="BT2" s="487"/>
      <c r="BU2" s="487"/>
      <c r="BV2" s="487"/>
      <c r="BW2" s="487"/>
      <c r="BY2" s="971" t="s">
        <v>124</v>
      </c>
      <c r="BZ2" s="971"/>
      <c r="CA2" s="971"/>
      <c r="CB2" s="971"/>
      <c r="CC2" s="971"/>
      <c r="CD2" s="971"/>
      <c r="CE2" s="971"/>
      <c r="CF2" s="971"/>
      <c r="CG2" s="971"/>
      <c r="CH2" s="971"/>
      <c r="CI2" s="971"/>
      <c r="CJ2" s="971"/>
      <c r="CL2" s="971" t="s">
        <v>344</v>
      </c>
      <c r="CM2" s="971"/>
      <c r="CN2" s="971"/>
      <c r="CO2" s="971"/>
      <c r="CP2" s="971"/>
      <c r="CQ2" s="971"/>
      <c r="CR2" s="971"/>
      <c r="CS2" s="971"/>
      <c r="CT2" s="971"/>
      <c r="CU2" s="971"/>
      <c r="CV2" s="971"/>
      <c r="CW2" s="971"/>
      <c r="CY2" s="971" t="s">
        <v>466</v>
      </c>
      <c r="CZ2" s="971"/>
      <c r="DA2" s="971"/>
      <c r="DB2" s="971"/>
      <c r="DC2" s="971"/>
      <c r="DD2" s="971"/>
      <c r="DE2" s="971"/>
      <c r="DF2" s="971"/>
      <c r="DG2" s="971"/>
      <c r="DH2" s="971"/>
      <c r="DI2" s="971"/>
      <c r="DJ2" s="971"/>
      <c r="DL2" s="971" t="s">
        <v>539</v>
      </c>
      <c r="DM2" s="971"/>
      <c r="DN2" s="971"/>
      <c r="DO2" s="971"/>
      <c r="DP2" s="971"/>
      <c r="DQ2" s="971"/>
      <c r="DR2" s="971"/>
      <c r="DS2" s="971"/>
      <c r="DT2" s="971"/>
      <c r="DU2" s="971"/>
      <c r="DV2" s="971"/>
      <c r="DW2" s="971"/>
    </row>
    <row r="3" spans="2:128" ht="15">
      <c r="B3" s="488" t="s">
        <v>125</v>
      </c>
      <c r="C3" s="489" t="s">
        <v>126</v>
      </c>
      <c r="D3" s="489" t="s">
        <v>127</v>
      </c>
      <c r="E3" s="489" t="s">
        <v>128</v>
      </c>
      <c r="F3" s="489" t="s">
        <v>129</v>
      </c>
      <c r="G3" s="489" t="s">
        <v>130</v>
      </c>
      <c r="H3" s="489" t="s">
        <v>131</v>
      </c>
      <c r="I3" s="489" t="s">
        <v>132</v>
      </c>
      <c r="J3" s="489" t="s">
        <v>133</v>
      </c>
      <c r="K3" s="489" t="s">
        <v>134</v>
      </c>
      <c r="L3" s="489" t="s">
        <v>135</v>
      </c>
      <c r="M3" s="489" t="s">
        <v>136</v>
      </c>
      <c r="N3" s="489" t="s">
        <v>137</v>
      </c>
      <c r="O3" s="490" t="s">
        <v>138</v>
      </c>
      <c r="P3" s="491" t="s">
        <v>126</v>
      </c>
      <c r="Q3" s="491" t="s">
        <v>127</v>
      </c>
      <c r="R3" s="491" t="s">
        <v>128</v>
      </c>
      <c r="S3" s="491" t="s">
        <v>129</v>
      </c>
      <c r="T3" s="491" t="s">
        <v>130</v>
      </c>
      <c r="U3" s="491" t="s">
        <v>131</v>
      </c>
      <c r="V3" s="491" t="s">
        <v>132</v>
      </c>
      <c r="W3" s="492" t="s">
        <v>133</v>
      </c>
      <c r="X3" s="491" t="s">
        <v>134</v>
      </c>
      <c r="Y3" s="491" t="s">
        <v>135</v>
      </c>
      <c r="Z3" s="491" t="s">
        <v>136</v>
      </c>
      <c r="AA3" s="491" t="s">
        <v>137</v>
      </c>
      <c r="AB3" s="493" t="s">
        <v>138</v>
      </c>
      <c r="AC3" s="494" t="s">
        <v>126</v>
      </c>
      <c r="AD3" s="491" t="s">
        <v>127</v>
      </c>
      <c r="AE3" s="491" t="s">
        <v>128</v>
      </c>
      <c r="AF3" s="491" t="s">
        <v>129</v>
      </c>
      <c r="AG3" s="491" t="s">
        <v>130</v>
      </c>
      <c r="AH3" s="491" t="s">
        <v>131</v>
      </c>
      <c r="AI3" s="491" t="s">
        <v>132</v>
      </c>
      <c r="AJ3" s="491" t="s">
        <v>133</v>
      </c>
      <c r="AK3" s="495" t="s">
        <v>138</v>
      </c>
      <c r="AL3" s="491" t="s">
        <v>134</v>
      </c>
      <c r="AM3" s="491" t="s">
        <v>135</v>
      </c>
      <c r="AN3" s="491" t="s">
        <v>136</v>
      </c>
      <c r="AO3" s="496" t="s">
        <v>137</v>
      </c>
      <c r="AP3" s="497" t="s">
        <v>126</v>
      </c>
      <c r="AQ3" s="491" t="s">
        <v>127</v>
      </c>
      <c r="AR3" s="491" t="s">
        <v>128</v>
      </c>
      <c r="AS3" s="491" t="s">
        <v>129</v>
      </c>
      <c r="AT3" s="491" t="s">
        <v>130</v>
      </c>
      <c r="AU3" s="491" t="s">
        <v>131</v>
      </c>
      <c r="AV3" s="491" t="s">
        <v>132</v>
      </c>
      <c r="AW3" s="491" t="s">
        <v>133</v>
      </c>
      <c r="AX3" s="495" t="s">
        <v>138</v>
      </c>
      <c r="AY3" s="498" t="s">
        <v>134</v>
      </c>
      <c r="AZ3" s="496" t="s">
        <v>135</v>
      </c>
      <c r="BA3" s="496" t="s">
        <v>136</v>
      </c>
      <c r="BB3" s="496" t="s">
        <v>137</v>
      </c>
      <c r="BC3" s="496" t="s">
        <v>126</v>
      </c>
      <c r="BD3" s="496" t="s">
        <v>127</v>
      </c>
      <c r="BE3" s="496" t="s">
        <v>128</v>
      </c>
      <c r="BF3" s="496" t="s">
        <v>129</v>
      </c>
      <c r="BG3" s="496" t="s">
        <v>130</v>
      </c>
      <c r="BH3" s="496" t="s">
        <v>131</v>
      </c>
      <c r="BI3" s="496" t="s">
        <v>132</v>
      </c>
      <c r="BJ3" s="499" t="s">
        <v>133</v>
      </c>
      <c r="BK3" s="495" t="s">
        <v>138</v>
      </c>
      <c r="BL3" s="498" t="s">
        <v>134</v>
      </c>
      <c r="BM3" s="496" t="s">
        <v>135</v>
      </c>
      <c r="BN3" s="496" t="s">
        <v>136</v>
      </c>
      <c r="BO3" s="496" t="s">
        <v>137</v>
      </c>
      <c r="BP3" s="496" t="s">
        <v>126</v>
      </c>
      <c r="BQ3" s="496" t="s">
        <v>127</v>
      </c>
      <c r="BR3" s="496" t="s">
        <v>128</v>
      </c>
      <c r="BS3" s="496" t="s">
        <v>129</v>
      </c>
      <c r="BT3" s="496" t="s">
        <v>130</v>
      </c>
      <c r="BU3" s="496" t="s">
        <v>131</v>
      </c>
      <c r="BV3" s="496" t="s">
        <v>132</v>
      </c>
      <c r="BW3" s="499" t="s">
        <v>133</v>
      </c>
      <c r="BX3" s="495" t="s">
        <v>138</v>
      </c>
      <c r="BY3" s="498" t="s">
        <v>134</v>
      </c>
      <c r="BZ3" s="496" t="s">
        <v>135</v>
      </c>
      <c r="CA3" s="496" t="s">
        <v>136</v>
      </c>
      <c r="CB3" s="496" t="s">
        <v>137</v>
      </c>
      <c r="CC3" s="496" t="s">
        <v>126</v>
      </c>
      <c r="CD3" s="496" t="s">
        <v>127</v>
      </c>
      <c r="CE3" s="496" t="s">
        <v>128</v>
      </c>
      <c r="CF3" s="496" t="s">
        <v>129</v>
      </c>
      <c r="CG3" s="496" t="s">
        <v>130</v>
      </c>
      <c r="CH3" s="496" t="s">
        <v>131</v>
      </c>
      <c r="CI3" s="496" t="s">
        <v>132</v>
      </c>
      <c r="CJ3" s="496" t="s">
        <v>133</v>
      </c>
      <c r="CK3" s="495" t="s">
        <v>138</v>
      </c>
      <c r="CL3" s="496" t="s">
        <v>134</v>
      </c>
      <c r="CM3" s="496" t="s">
        <v>135</v>
      </c>
      <c r="CN3" s="496" t="s">
        <v>136</v>
      </c>
      <c r="CO3" s="496" t="s">
        <v>137</v>
      </c>
      <c r="CP3" s="496" t="s">
        <v>126</v>
      </c>
      <c r="CQ3" s="496" t="s">
        <v>127</v>
      </c>
      <c r="CR3" s="496" t="s">
        <v>128</v>
      </c>
      <c r="CS3" s="496" t="s">
        <v>129</v>
      </c>
      <c r="CT3" s="496" t="s">
        <v>130</v>
      </c>
      <c r="CU3" s="496" t="s">
        <v>131</v>
      </c>
      <c r="CV3" s="496" t="s">
        <v>132</v>
      </c>
      <c r="CW3" s="499" t="s">
        <v>133</v>
      </c>
      <c r="CX3" s="495" t="s">
        <v>138</v>
      </c>
      <c r="CY3" s="496" t="s">
        <v>134</v>
      </c>
      <c r="CZ3" s="496" t="s">
        <v>135</v>
      </c>
      <c r="DA3" s="496" t="s">
        <v>136</v>
      </c>
      <c r="DB3" s="496" t="s">
        <v>137</v>
      </c>
      <c r="DC3" s="496" t="s">
        <v>126</v>
      </c>
      <c r="DD3" s="496" t="s">
        <v>127</v>
      </c>
      <c r="DE3" s="496" t="s">
        <v>128</v>
      </c>
      <c r="DF3" s="496" t="s">
        <v>129</v>
      </c>
      <c r="DG3" s="496" t="s">
        <v>130</v>
      </c>
      <c r="DH3" s="496" t="s">
        <v>131</v>
      </c>
      <c r="DI3" s="496" t="s">
        <v>132</v>
      </c>
      <c r="DJ3" s="499" t="s">
        <v>133</v>
      </c>
      <c r="DK3" s="495" t="s">
        <v>138</v>
      </c>
      <c r="DL3" s="496" t="s">
        <v>134</v>
      </c>
      <c r="DM3" s="496" t="s">
        <v>135</v>
      </c>
      <c r="DN3" s="496" t="s">
        <v>136</v>
      </c>
      <c r="DO3" s="496" t="s">
        <v>137</v>
      </c>
      <c r="DP3" s="496" t="s">
        <v>126</v>
      </c>
      <c r="DQ3" s="496" t="s">
        <v>127</v>
      </c>
      <c r="DR3" s="496" t="s">
        <v>128</v>
      </c>
      <c r="DS3" s="496" t="s">
        <v>129</v>
      </c>
      <c r="DT3" s="496" t="s">
        <v>130</v>
      </c>
      <c r="DU3" s="496" t="s">
        <v>131</v>
      </c>
      <c r="DV3" s="496" t="s">
        <v>132</v>
      </c>
      <c r="DW3" s="499" t="s">
        <v>133</v>
      </c>
      <c r="DX3" s="495" t="s">
        <v>138</v>
      </c>
    </row>
    <row r="4" spans="2:128" s="510" customFormat="1" ht="15">
      <c r="B4" s="500" t="s">
        <v>471</v>
      </c>
      <c r="C4" s="501"/>
      <c r="D4" s="501"/>
      <c r="E4" s="501"/>
      <c r="F4" s="502"/>
      <c r="G4" s="502"/>
      <c r="H4" s="502"/>
      <c r="I4" s="502"/>
      <c r="J4" s="502"/>
      <c r="K4" s="502"/>
      <c r="L4" s="502"/>
      <c r="M4" s="501"/>
      <c r="N4" s="501"/>
      <c r="O4" s="503"/>
      <c r="P4" s="504">
        <f t="shared" ref="P4:AA4" si="0">-SUM(P6:P56)</f>
        <v>-714.1</v>
      </c>
      <c r="Q4" s="504">
        <f t="shared" si="0"/>
        <v>-25339.18</v>
      </c>
      <c r="R4" s="504">
        <f t="shared" si="0"/>
        <v>-19717.57</v>
      </c>
      <c r="S4" s="504">
        <f t="shared" si="0"/>
        <v>-22147.54</v>
      </c>
      <c r="T4" s="504">
        <f t="shared" si="0"/>
        <v>-24854.55</v>
      </c>
      <c r="U4" s="504">
        <f t="shared" si="0"/>
        <v>-15062.429999999998</v>
      </c>
      <c r="V4" s="504">
        <f t="shared" si="0"/>
        <v>-20795.419999999998</v>
      </c>
      <c r="W4" s="504">
        <f t="shared" si="0"/>
        <v>-14998.21</v>
      </c>
      <c r="X4" s="504">
        <f t="shared" si="0"/>
        <v>-19736.130699999998</v>
      </c>
      <c r="Y4" s="504">
        <f t="shared" si="0"/>
        <v>-20083.850700000003</v>
      </c>
      <c r="Z4" s="504">
        <f t="shared" si="0"/>
        <v>-21440.900699999998</v>
      </c>
      <c r="AA4" s="504">
        <f t="shared" si="0"/>
        <v>-19327.230700321183</v>
      </c>
      <c r="AB4" s="505">
        <f>SUM(P4:AA4)</f>
        <v>-224217.11280032119</v>
      </c>
      <c r="AC4" s="504">
        <f>-SUM(AC6:AC56)</f>
        <v>-25102.724033333328</v>
      </c>
      <c r="AD4" s="504">
        <f t="shared" ref="AD4:CJ4" si="1">-SUM(AD6:AD56)</f>
        <v>-19652.334033333329</v>
      </c>
      <c r="AE4" s="504">
        <f t="shared" si="1"/>
        <v>-16377.324033333336</v>
      </c>
      <c r="AF4" s="504">
        <f t="shared" si="1"/>
        <v>-28525.130845174674</v>
      </c>
      <c r="AG4" s="504">
        <f t="shared" si="1"/>
        <v>-14806.397220537256</v>
      </c>
      <c r="AH4" s="504">
        <f t="shared" si="1"/>
        <v>-16862.274127872708</v>
      </c>
      <c r="AI4" s="504">
        <f t="shared" si="1"/>
        <v>-37575.803977479278</v>
      </c>
      <c r="AJ4" s="504">
        <f t="shared" si="1"/>
        <v>-16209.028300000002</v>
      </c>
      <c r="AK4" s="506">
        <f>SUM(AC4:AJ4)</f>
        <v>-175111.01657106393</v>
      </c>
      <c r="AL4" s="504">
        <f t="shared" si="1"/>
        <v>-21518.45364125237</v>
      </c>
      <c r="AM4" s="504">
        <f t="shared" si="1"/>
        <v>-42345.460185690274</v>
      </c>
      <c r="AN4" s="504">
        <f t="shared" si="1"/>
        <v>-18394.750700000004</v>
      </c>
      <c r="AO4" s="504">
        <f t="shared" si="1"/>
        <v>-24122.330402869702</v>
      </c>
      <c r="AP4" s="504">
        <f t="shared" si="1"/>
        <v>-26295.567165640594</v>
      </c>
      <c r="AQ4" s="504">
        <f t="shared" si="1"/>
        <v>-33224.689795965205</v>
      </c>
      <c r="AR4" s="504">
        <f t="shared" si="1"/>
        <v>-32784.575788498856</v>
      </c>
      <c r="AS4" s="504">
        <f t="shared" si="1"/>
        <v>-25923.767212675903</v>
      </c>
      <c r="AT4" s="504">
        <f t="shared" si="1"/>
        <v>-31088.713653507668</v>
      </c>
      <c r="AU4" s="504">
        <f t="shared" si="1"/>
        <v>-8061.3016665068626</v>
      </c>
      <c r="AV4" s="504">
        <f t="shared" si="1"/>
        <v>-115744.13706178369</v>
      </c>
      <c r="AW4" s="504">
        <f t="shared" si="1"/>
        <v>-27743.968636596444</v>
      </c>
      <c r="AX4" s="506">
        <f>SUM(AL4:AW4)</f>
        <v>-407247.71591098764</v>
      </c>
      <c r="AY4" s="504">
        <f t="shared" si="1"/>
        <v>-22285.151729044206</v>
      </c>
      <c r="AZ4" s="504">
        <f t="shared" si="1"/>
        <v>-35329.529050834382</v>
      </c>
      <c r="BA4" s="504">
        <f t="shared" si="1"/>
        <v>-18442.73</v>
      </c>
      <c r="BB4" s="504">
        <f t="shared" si="1"/>
        <v>-24368.480000000007</v>
      </c>
      <c r="BC4" s="504">
        <f t="shared" si="1"/>
        <v>-32460.141584315101</v>
      </c>
      <c r="BD4" s="504">
        <f t="shared" si="1"/>
        <v>-26812.290000611716</v>
      </c>
      <c r="BE4" s="504">
        <f t="shared" si="1"/>
        <v>-51007.07</v>
      </c>
      <c r="BF4" s="504">
        <f t="shared" si="1"/>
        <v>-47151.62</v>
      </c>
      <c r="BG4" s="504">
        <f t="shared" si="1"/>
        <v>-39442.399300000005</v>
      </c>
      <c r="BH4" s="504">
        <f t="shared" si="1"/>
        <v>-27716.037302321518</v>
      </c>
      <c r="BI4" s="504">
        <f t="shared" si="1"/>
        <v>-47617.140708791194</v>
      </c>
      <c r="BJ4" s="504">
        <f t="shared" si="1"/>
        <v>-23912.93</v>
      </c>
      <c r="BK4" s="506">
        <f>SUM(AY4:BJ4)</f>
        <v>-396545.51967591816</v>
      </c>
      <c r="BL4" s="504">
        <f t="shared" si="1"/>
        <v>10662.289578467462</v>
      </c>
      <c r="BM4" s="504">
        <f t="shared" si="1"/>
        <v>-49593.279036144573</v>
      </c>
      <c r="BN4" s="504">
        <f t="shared" si="1"/>
        <v>-5978.5506995053984</v>
      </c>
      <c r="BO4" s="504">
        <f t="shared" si="1"/>
        <v>-47250.490000000005</v>
      </c>
      <c r="BP4" s="504">
        <f t="shared" si="1"/>
        <v>-30477.210000000003</v>
      </c>
      <c r="BQ4" s="504">
        <f t="shared" si="1"/>
        <v>-14893.770000000002</v>
      </c>
      <c r="BR4" s="504">
        <f t="shared" si="1"/>
        <v>-218708.2568264814</v>
      </c>
      <c r="BS4" s="504">
        <f t="shared" si="1"/>
        <v>-41384.964000840962</v>
      </c>
      <c r="BT4" s="504">
        <f t="shared" si="1"/>
        <v>-11635.069</v>
      </c>
      <c r="BU4" s="504">
        <f t="shared" si="1"/>
        <v>-14427.867600000012</v>
      </c>
      <c r="BV4" s="504">
        <f t="shared" si="1"/>
        <v>-52388.008099999999</v>
      </c>
      <c r="BW4" s="504">
        <f t="shared" si="1"/>
        <v>-8290.5910999999996</v>
      </c>
      <c r="BX4" s="506">
        <f>SUM(BL4:BW4)</f>
        <v>-484365.76678450487</v>
      </c>
      <c r="BY4" s="507">
        <f t="shared" si="1"/>
        <v>-23699.643060043374</v>
      </c>
      <c r="BZ4" s="507">
        <f t="shared" si="1"/>
        <v>-30997.52139089163</v>
      </c>
      <c r="CA4" s="507">
        <f t="shared" si="1"/>
        <v>-22310.455694502933</v>
      </c>
      <c r="CB4" s="507">
        <f t="shared" si="1"/>
        <v>-26586.299999999996</v>
      </c>
      <c r="CC4" s="507">
        <f t="shared" si="1"/>
        <v>-31002.274122952331</v>
      </c>
      <c r="CD4" s="507">
        <f t="shared" si="1"/>
        <v>-28669.79</v>
      </c>
      <c r="CE4" s="508">
        <f>-SUM(CE6:CE56)</f>
        <v>-20654.817106570954</v>
      </c>
      <c r="CF4" s="507">
        <f t="shared" si="1"/>
        <v>-51836.614642688801</v>
      </c>
      <c r="CG4" s="507">
        <f t="shared" si="1"/>
        <v>-20808.537106570951</v>
      </c>
      <c r="CH4" s="507">
        <f t="shared" si="1"/>
        <v>-30937.615137713972</v>
      </c>
      <c r="CI4" s="507">
        <f t="shared" si="1"/>
        <v>-33015.977010223825</v>
      </c>
      <c r="CJ4" s="507">
        <f t="shared" si="1"/>
        <v>-12182.061939932859</v>
      </c>
      <c r="CK4" s="506">
        <f>SUM(BY4:CJ4)</f>
        <v>-332701.60721209168</v>
      </c>
      <c r="CL4" s="507">
        <f t="shared" ref="CL4:CW4" si="2">-SUM(CL6:CL56)</f>
        <v>-22854.569999999996</v>
      </c>
      <c r="CM4" s="507">
        <f t="shared" si="2"/>
        <v>-34992.03869690049</v>
      </c>
      <c r="CN4" s="507">
        <f t="shared" si="2"/>
        <v>-23939.430085836913</v>
      </c>
      <c r="CO4" s="507">
        <f t="shared" si="2"/>
        <v>-35201.75862860398</v>
      </c>
      <c r="CP4" s="507">
        <f t="shared" si="2"/>
        <v>-33433.966238601111</v>
      </c>
      <c r="CQ4" s="507">
        <f t="shared" si="2"/>
        <v>-29391.932775021891</v>
      </c>
      <c r="CR4" s="507">
        <f t="shared" si="2"/>
        <v>-137630.52542956619</v>
      </c>
      <c r="CS4" s="507">
        <f t="shared" si="2"/>
        <v>-52016.840640326809</v>
      </c>
      <c r="CT4" s="507">
        <f t="shared" si="2"/>
        <v>-18743.320000000003</v>
      </c>
      <c r="CU4" s="507">
        <f t="shared" si="2"/>
        <v>-40532.060792164353</v>
      </c>
      <c r="CV4" s="507">
        <f t="shared" si="2"/>
        <v>-45189.635085188711</v>
      </c>
      <c r="CW4" s="507">
        <f t="shared" si="2"/>
        <v>-16586.721094123262</v>
      </c>
      <c r="CX4" s="509">
        <f>SUM(CL4:CW4)</f>
        <v>-490512.79946633364</v>
      </c>
      <c r="CY4" s="507">
        <f>-SUM(CY6:CY56)</f>
        <v>-23713.065698041086</v>
      </c>
      <c r="CZ4" s="507">
        <f>-SUM(CZ6:CZ56)</f>
        <v>-60304.336898041089</v>
      </c>
      <c r="DA4" s="507">
        <f t="shared" ref="DA4:DJ4" si="3">-SUM(DA6:DA56)</f>
        <v>-48794.060625895829</v>
      </c>
      <c r="DB4" s="507">
        <f t="shared" si="3"/>
        <v>-42438.267200000002</v>
      </c>
      <c r="DC4" s="507">
        <f t="shared" si="3"/>
        <v>-45005.810882464822</v>
      </c>
      <c r="DD4" s="507">
        <f t="shared" si="3"/>
        <v>-29697.275747558229</v>
      </c>
      <c r="DE4" s="507">
        <f t="shared" si="3"/>
        <v>-152955.11376274261</v>
      </c>
      <c r="DF4" s="507">
        <f>-SUM(DF6:DF56)</f>
        <v>-66634.430112702088</v>
      </c>
      <c r="DG4" s="507">
        <f t="shared" si="3"/>
        <v>-35628.757556672084</v>
      </c>
      <c r="DH4" s="507">
        <f t="shared" si="3"/>
        <v>-43491.634052173918</v>
      </c>
      <c r="DI4" s="507">
        <f t="shared" si="3"/>
        <v>-13737.329999999998</v>
      </c>
      <c r="DJ4" s="507">
        <f t="shared" si="3"/>
        <v>-23288.559999999994</v>
      </c>
      <c r="DK4" s="509">
        <f>SUM(CY4:DJ4)</f>
        <v>-585688.64253629162</v>
      </c>
      <c r="DX4" s="506">
        <f>SUM(DL4:DW4)</f>
        <v>0</v>
      </c>
    </row>
    <row r="5" spans="2:128" ht="15">
      <c r="B5" s="511" t="s">
        <v>182</v>
      </c>
      <c r="C5" s="512"/>
      <c r="D5" s="512"/>
      <c r="E5" s="512"/>
      <c r="F5" s="513"/>
      <c r="G5" s="513"/>
      <c r="H5" s="513"/>
      <c r="I5" s="513"/>
      <c r="J5" s="513"/>
      <c r="K5" s="513"/>
      <c r="L5" s="513"/>
      <c r="M5" s="512"/>
      <c r="N5" s="512"/>
      <c r="O5" s="514"/>
      <c r="P5" s="515"/>
      <c r="Q5" s="515"/>
      <c r="R5" s="515"/>
      <c r="S5" s="515"/>
      <c r="T5" s="515"/>
      <c r="U5" s="515"/>
      <c r="V5" s="515"/>
      <c r="W5" s="516"/>
      <c r="X5" s="515"/>
      <c r="Y5" s="515"/>
      <c r="Z5" s="515"/>
      <c r="AA5" s="515"/>
      <c r="AB5" s="517"/>
      <c r="AC5" s="518"/>
      <c r="AD5" s="515"/>
      <c r="AE5" s="515"/>
      <c r="AF5" s="515"/>
      <c r="AG5" s="515"/>
      <c r="AH5" s="515"/>
      <c r="AI5" s="515"/>
      <c r="AJ5" s="515"/>
      <c r="AK5" s="519"/>
      <c r="AL5" s="515"/>
      <c r="AM5" s="515"/>
      <c r="AN5" s="515"/>
      <c r="AO5" s="515"/>
      <c r="AP5" s="515"/>
      <c r="AQ5" s="515"/>
      <c r="AR5" s="515"/>
      <c r="AS5" s="515"/>
      <c r="AT5" s="515"/>
      <c r="AU5" s="515"/>
      <c r="AV5" s="515"/>
      <c r="AW5" s="515"/>
      <c r="AX5" s="519"/>
      <c r="AY5" s="518"/>
      <c r="AZ5" s="515"/>
      <c r="BA5" s="515"/>
      <c r="BB5" s="515"/>
      <c r="BC5" s="515"/>
      <c r="BD5" s="515"/>
      <c r="BE5" s="515"/>
      <c r="BF5" s="515"/>
      <c r="BG5" s="515"/>
      <c r="BH5" s="515"/>
      <c r="BI5" s="515"/>
      <c r="BJ5" s="520"/>
      <c r="BK5" s="519"/>
      <c r="BL5" s="521"/>
      <c r="BM5" s="522"/>
      <c r="BN5" s="522"/>
      <c r="BO5" s="522"/>
      <c r="BP5" s="522"/>
      <c r="BQ5" s="523"/>
      <c r="BR5" s="522"/>
      <c r="BS5" s="522"/>
      <c r="BT5" s="522"/>
      <c r="BU5" s="522"/>
      <c r="BV5" s="522"/>
      <c r="BW5" s="524"/>
      <c r="BX5" s="519"/>
      <c r="BY5" s="525"/>
      <c r="BZ5" s="525"/>
      <c r="CA5" s="525"/>
      <c r="CB5" s="525"/>
      <c r="CC5" s="525"/>
      <c r="CD5" s="525"/>
      <c r="CE5" s="526"/>
      <c r="CF5" s="525"/>
      <c r="CG5" s="525"/>
      <c r="CH5" s="525"/>
      <c r="CI5" s="525"/>
      <c r="CJ5" s="525"/>
      <c r="CK5" s="519"/>
      <c r="CL5" s="526"/>
      <c r="CM5" s="525"/>
      <c r="CN5" s="526"/>
      <c r="CO5" s="525"/>
      <c r="CP5" s="525"/>
      <c r="CQ5" s="525"/>
      <c r="CR5" s="525"/>
      <c r="CS5" s="534"/>
      <c r="CT5" s="525"/>
      <c r="CU5" s="525"/>
      <c r="CV5" s="525"/>
      <c r="CW5" s="525"/>
      <c r="CX5" s="528"/>
      <c r="CY5" s="541"/>
      <c r="CZ5" s="541"/>
      <c r="DA5" s="541"/>
      <c r="DB5" s="541"/>
      <c r="DC5" s="541"/>
      <c r="DD5" s="541"/>
      <c r="DE5" s="541"/>
      <c r="DF5" s="541"/>
      <c r="DG5" s="541"/>
      <c r="DK5" s="528"/>
      <c r="DX5" s="519"/>
    </row>
    <row r="6" spans="2:128" ht="15">
      <c r="B6" s="480" t="s">
        <v>183</v>
      </c>
      <c r="C6" s="512"/>
      <c r="D6" s="512">
        <f>5445+21175</f>
        <v>26620</v>
      </c>
      <c r="E6" s="512">
        <v>5445</v>
      </c>
      <c r="F6" s="513">
        <v>0</v>
      </c>
      <c r="H6" s="513">
        <f>1500*1.21</f>
        <v>1815</v>
      </c>
      <c r="I6" s="513">
        <f>1500*1.21</f>
        <v>1815</v>
      </c>
      <c r="J6" s="513" t="e">
        <f>#REF!*0.3</f>
        <v>#REF!</v>
      </c>
      <c r="K6" s="513"/>
      <c r="L6" s="513"/>
      <c r="M6" s="512">
        <v>2722.5</v>
      </c>
      <c r="N6" s="512"/>
      <c r="O6" s="514" t="e">
        <f t="shared" ref="O6:O56" si="4">SUM(C6:N6)</f>
        <v>#REF!</v>
      </c>
      <c r="P6" s="515"/>
      <c r="Q6" s="515"/>
      <c r="R6" s="515"/>
      <c r="S6" s="515"/>
      <c r="T6" s="515"/>
      <c r="U6" s="515"/>
      <c r="V6" s="515"/>
      <c r="W6" s="516"/>
      <c r="X6" s="515"/>
      <c r="Y6" s="515"/>
      <c r="Z6" s="515"/>
      <c r="AA6" s="515"/>
      <c r="AB6" s="529">
        <f t="shared" ref="AB6:AB55" si="5">SUM(P6:AA6)</f>
        <v>0</v>
      </c>
      <c r="AC6" s="530">
        <v>762.3</v>
      </c>
      <c r="AD6" s="515"/>
      <c r="AE6" s="515"/>
      <c r="AF6" s="515"/>
      <c r="AG6" s="515"/>
      <c r="AH6" s="515"/>
      <c r="AI6" s="515"/>
      <c r="AJ6" s="515"/>
      <c r="AK6" s="531">
        <f>SUM(AC6:AJ6)</f>
        <v>762.3</v>
      </c>
      <c r="AL6" s="515"/>
      <c r="AM6" s="515"/>
      <c r="AN6" s="515"/>
      <c r="AO6" s="515"/>
      <c r="AP6" s="515"/>
      <c r="AQ6" s="515"/>
      <c r="AR6" s="515"/>
      <c r="AS6" s="515"/>
      <c r="AT6" s="515"/>
      <c r="AU6" s="515"/>
      <c r="AV6" s="515"/>
      <c r="AW6" s="515"/>
      <c r="AX6" s="519">
        <f t="shared" ref="AX6:AX33" si="6">SUM(AL6:AW6)</f>
        <v>0</v>
      </c>
      <c r="AY6" s="518"/>
      <c r="AZ6" s="515"/>
      <c r="BA6" s="515"/>
      <c r="BB6" s="515"/>
      <c r="BC6" s="515"/>
      <c r="BD6" s="515"/>
      <c r="BE6" s="515"/>
      <c r="BF6" s="515"/>
      <c r="BG6" s="532">
        <f>920*1.21</f>
        <v>1113.2</v>
      </c>
      <c r="BH6" s="515"/>
      <c r="BI6" s="515"/>
      <c r="BJ6" s="520"/>
      <c r="BK6" s="519">
        <f>SUM(AY6:BJ6)</f>
        <v>1113.2</v>
      </c>
      <c r="BL6" s="521"/>
      <c r="BM6" s="522"/>
      <c r="BN6" s="522"/>
      <c r="BO6" s="532">
        <f>950*1.21</f>
        <v>1149.5</v>
      </c>
      <c r="BP6" s="522"/>
      <c r="BQ6" s="523"/>
      <c r="BR6" s="522"/>
      <c r="BS6" s="522"/>
      <c r="BT6" s="522"/>
      <c r="BU6" s="522"/>
      <c r="BV6" s="522"/>
      <c r="BW6" s="524"/>
      <c r="BX6" s="519">
        <f t="shared" ref="BX6:BX56" si="7">SUM(BL6:BW6)</f>
        <v>1149.5</v>
      </c>
      <c r="BY6" s="525"/>
      <c r="BZ6" s="525"/>
      <c r="CA6" s="525"/>
      <c r="CB6" s="533"/>
      <c r="CC6" s="534">
        <f>1050*1.21</f>
        <v>1270.5</v>
      </c>
      <c r="CD6" s="525"/>
      <c r="CE6" s="535"/>
      <c r="CF6" s="525"/>
      <c r="CG6" s="525"/>
      <c r="CH6" s="525"/>
      <c r="CI6" s="525"/>
      <c r="CJ6" s="525"/>
      <c r="CK6" s="519">
        <f>SUM(BY6:CJ6)</f>
        <v>1270.5</v>
      </c>
      <c r="CL6" s="526"/>
      <c r="CM6" s="525"/>
      <c r="CN6" s="526"/>
      <c r="CO6" s="525"/>
      <c r="CP6" s="534">
        <f>1100*1.21</f>
        <v>1331</v>
      </c>
      <c r="CQ6" s="525"/>
      <c r="CR6" s="533"/>
      <c r="CS6" s="534"/>
      <c r="CT6" s="525"/>
      <c r="CU6" s="525"/>
      <c r="CV6" s="525"/>
      <c r="CW6" s="525"/>
      <c r="CX6" s="528">
        <f>SUM(CL6:CW6)</f>
        <v>1331</v>
      </c>
      <c r="CY6" s="541"/>
      <c r="CZ6" s="541"/>
      <c r="DA6" s="541"/>
      <c r="DB6" s="541"/>
      <c r="DC6" s="544">
        <f>1200*1.23</f>
        <v>1476</v>
      </c>
      <c r="DD6" s="541"/>
      <c r="DE6" s="541"/>
      <c r="DF6" s="541"/>
      <c r="DG6" s="541"/>
      <c r="DH6" s="527">
        <f>(3000+2000)-(3000+2000)</f>
        <v>0</v>
      </c>
      <c r="DK6" s="528">
        <f t="shared" ref="DK6:DK54" si="8">SUM(CY6:DJ6)</f>
        <v>1476</v>
      </c>
      <c r="DP6" s="537">
        <v>1500</v>
      </c>
      <c r="DX6" s="519">
        <f t="shared" ref="DX6:DX55" si="9">SUM(DL6:DW6)</f>
        <v>1500</v>
      </c>
    </row>
    <row r="7" spans="2:128" ht="15">
      <c r="B7" s="480" t="s">
        <v>184</v>
      </c>
      <c r="C7" s="512"/>
      <c r="D7" s="538">
        <v>120</v>
      </c>
      <c r="E7" s="512"/>
      <c r="F7" s="513"/>
      <c r="G7" s="513"/>
      <c r="H7" s="513"/>
      <c r="I7" s="513"/>
      <c r="J7" s="513"/>
      <c r="K7" s="513"/>
      <c r="L7" s="513"/>
      <c r="M7" s="512"/>
      <c r="N7" s="512"/>
      <c r="O7" s="514">
        <f t="shared" si="4"/>
        <v>120</v>
      </c>
      <c r="P7" s="515"/>
      <c r="Q7" s="515">
        <v>859</v>
      </c>
      <c r="R7" s="515"/>
      <c r="S7" s="515"/>
      <c r="T7" s="515">
        <f>632.33</f>
        <v>632.33000000000004</v>
      </c>
      <c r="U7" s="539">
        <f>632.33+171.22+71.27</f>
        <v>874.82</v>
      </c>
      <c r="V7" s="539">
        <v>632.34</v>
      </c>
      <c r="W7" s="516">
        <v>559.99</v>
      </c>
      <c r="X7" s="515"/>
      <c r="Y7" s="515"/>
      <c r="Z7" s="515"/>
      <c r="AA7" s="515"/>
      <c r="AB7" s="529">
        <f t="shared" si="5"/>
        <v>3558.4800000000005</v>
      </c>
      <c r="AC7" s="518"/>
      <c r="AD7" s="515"/>
      <c r="AE7" s="515"/>
      <c r="AF7" s="515"/>
      <c r="AG7" s="515"/>
      <c r="AH7" s="532">
        <f>301+71.27+171.22</f>
        <v>543.49</v>
      </c>
      <c r="AI7" s="540">
        <f>903/3</f>
        <v>301</v>
      </c>
      <c r="AJ7" s="540">
        <f>903/3</f>
        <v>301</v>
      </c>
      <c r="AK7" s="531">
        <f>SUM(AC7:AJ7)</f>
        <v>1145.49</v>
      </c>
      <c r="AL7" s="515"/>
      <c r="AM7" s="515"/>
      <c r="AN7" s="515"/>
      <c r="AO7" s="515"/>
      <c r="AP7" s="532">
        <v>418.95</v>
      </c>
      <c r="AQ7" s="532">
        <f>-418.95+(418.95+6)*1.21</f>
        <v>95.239499999999964</v>
      </c>
      <c r="AR7" s="532">
        <f>73.83*1.21</f>
        <v>89.334299999999999</v>
      </c>
      <c r="AS7" s="515"/>
      <c r="AT7" s="515"/>
      <c r="AU7" s="532">
        <f>71.27</f>
        <v>71.27</v>
      </c>
      <c r="AV7" s="532">
        <f>(3*126*1.21+46.5*1.21)</f>
        <v>513.64499999999998</v>
      </c>
      <c r="AW7" s="515"/>
      <c r="AX7" s="519">
        <f t="shared" si="6"/>
        <v>1188.4387999999999</v>
      </c>
      <c r="AY7" s="518"/>
      <c r="AZ7" s="532">
        <v>1559.01</v>
      </c>
      <c r="BA7" s="532">
        <v>228.69</v>
      </c>
      <c r="BB7" s="532">
        <v>989.33</v>
      </c>
      <c r="BC7" s="532">
        <f>1198</f>
        <v>1198</v>
      </c>
      <c r="BD7" s="515"/>
      <c r="BE7" s="515"/>
      <c r="BF7" s="515"/>
      <c r="BG7" s="532">
        <f>(61.2+8.5)*1.21</f>
        <v>84.337000000000003</v>
      </c>
      <c r="BH7" s="541"/>
      <c r="BI7" s="542">
        <v>513.65</v>
      </c>
      <c r="BJ7" s="532">
        <f>1205.79+544.5</f>
        <v>1750.29</v>
      </c>
      <c r="BK7" s="519">
        <f>SUM(AY7:BJ7)</f>
        <v>6323.3069999999998</v>
      </c>
      <c r="BL7" s="521"/>
      <c r="BM7" s="522"/>
      <c r="BN7" s="522"/>
      <c r="BO7" s="522"/>
      <c r="BP7" s="522"/>
      <c r="BQ7" s="543"/>
      <c r="BR7" s="532">
        <v>239.83</v>
      </c>
      <c r="BS7" s="522"/>
      <c r="BT7" s="522"/>
      <c r="BU7" s="542">
        <f>(67.2+8.5)*1.21</f>
        <v>91.596999999999994</v>
      </c>
      <c r="BV7" s="542">
        <f>(140.4*3+46.5)*1.21</f>
        <v>565.91700000000003</v>
      </c>
      <c r="BW7" s="524"/>
      <c r="BX7" s="519">
        <f t="shared" si="7"/>
        <v>897.34400000000005</v>
      </c>
      <c r="BY7" s="525"/>
      <c r="BZ7" s="544">
        <f>(108.47-46.98)*1.21</f>
        <v>74.402900000000002</v>
      </c>
      <c r="CA7" s="525"/>
      <c r="CB7" s="525"/>
      <c r="CC7" s="534">
        <v>1500</v>
      </c>
      <c r="CD7" s="525"/>
      <c r="CE7" s="526"/>
      <c r="CF7" s="525"/>
      <c r="CG7" s="525"/>
      <c r="CH7" s="533"/>
      <c r="CI7" s="525"/>
      <c r="CJ7" s="525"/>
      <c r="CK7" s="519">
        <f t="shared" ref="CK7:CK56" si="10">SUM(BY7:CJ7)</f>
        <v>1574.4029</v>
      </c>
      <c r="CL7" s="526"/>
      <c r="CM7" s="545">
        <f>(140.4*4+62)*1.21</f>
        <v>754.55600000000004</v>
      </c>
      <c r="CN7" s="526"/>
      <c r="CO7" s="525"/>
      <c r="CP7" s="525"/>
      <c r="CQ7" s="525"/>
      <c r="CR7" s="525"/>
      <c r="CS7" s="534"/>
      <c r="CT7" s="525"/>
      <c r="CU7" s="544">
        <f>(140.4*4+62)*1.21</f>
        <v>754.55600000000004</v>
      </c>
      <c r="CV7" s="541"/>
      <c r="CW7" s="525"/>
      <c r="CX7" s="528">
        <f t="shared" ref="CX7:CX52" si="11">SUM(CL7:CW7)</f>
        <v>1509.1120000000001</v>
      </c>
      <c r="CY7" s="544">
        <f>337.2*1.21</f>
        <v>408.012</v>
      </c>
      <c r="CZ7" s="541"/>
      <c r="DA7" s="541"/>
      <c r="DB7" s="541"/>
      <c r="DC7" s="541"/>
      <c r="DD7" s="541"/>
      <c r="DE7" s="534">
        <f>630+420+1210-1210+1049.99</f>
        <v>2099.9899999999998</v>
      </c>
      <c r="DF7" s="541"/>
      <c r="DG7" s="541"/>
      <c r="DH7" s="782">
        <f>(156.98*4+65.12)*1.21+1513</f>
        <v>2351.5783999999999</v>
      </c>
      <c r="DI7" s="584"/>
      <c r="DJ7" s="527">
        <f>(3000+2000)-(3000+2000)</f>
        <v>0</v>
      </c>
      <c r="DK7" s="528">
        <f>SUM(CY7:DJ7)</f>
        <v>4859.5803999999998</v>
      </c>
      <c r="DV7" s="546">
        <v>755</v>
      </c>
      <c r="DX7" s="519">
        <f t="shared" si="9"/>
        <v>755</v>
      </c>
    </row>
    <row r="8" spans="2:128" ht="15">
      <c r="B8" s="480" t="s">
        <v>350</v>
      </c>
      <c r="C8" s="512"/>
      <c r="D8" s="538"/>
      <c r="E8" s="512"/>
      <c r="F8" s="513"/>
      <c r="G8" s="513"/>
      <c r="H8" s="513"/>
      <c r="I8" s="513"/>
      <c r="J8" s="513"/>
      <c r="K8" s="513"/>
      <c r="L8" s="513"/>
      <c r="M8" s="512"/>
      <c r="N8" s="512"/>
      <c r="O8" s="514"/>
      <c r="P8" s="515"/>
      <c r="Q8" s="515"/>
      <c r="R8" s="515"/>
      <c r="S8" s="515"/>
      <c r="T8" s="515"/>
      <c r="U8" s="539"/>
      <c r="V8" s="539"/>
      <c r="W8" s="516"/>
      <c r="X8" s="515"/>
      <c r="Y8" s="515"/>
      <c r="Z8" s="515"/>
      <c r="AA8" s="515"/>
      <c r="AB8" s="529">
        <f t="shared" si="5"/>
        <v>0</v>
      </c>
      <c r="AC8" s="518"/>
      <c r="AD8" s="515"/>
      <c r="AE8" s="515"/>
      <c r="AF8" s="515"/>
      <c r="AG8" s="515"/>
      <c r="AH8" s="532"/>
      <c r="AI8" s="540"/>
      <c r="AJ8" s="540"/>
      <c r="AK8" s="531">
        <f t="shared" ref="AK8:AK9" si="12">SUM(AC8:AJ8)</f>
        <v>0</v>
      </c>
      <c r="AL8" s="515"/>
      <c r="AM8" s="515"/>
      <c r="AN8" s="515"/>
      <c r="AO8" s="515"/>
      <c r="AP8" s="532"/>
      <c r="AQ8" s="532"/>
      <c r="AR8" s="532"/>
      <c r="AS8" s="515"/>
      <c r="AT8" s="515"/>
      <c r="AU8" s="532"/>
      <c r="AV8" s="532"/>
      <c r="AW8" s="515"/>
      <c r="AX8" s="519">
        <f t="shared" si="6"/>
        <v>0</v>
      </c>
      <c r="AY8" s="515"/>
      <c r="AZ8" s="532"/>
      <c r="BA8" s="532"/>
      <c r="BB8" s="532"/>
      <c r="BC8" s="532"/>
      <c r="BD8" s="515"/>
      <c r="BE8" s="515"/>
      <c r="BF8" s="515"/>
      <c r="BG8" s="532"/>
      <c r="BH8" s="541"/>
      <c r="BI8" s="542"/>
      <c r="BJ8" s="532"/>
      <c r="BK8" s="519">
        <f t="shared" ref="BK8:BK10" si="13">SUM(AY8:BJ8)</f>
        <v>0</v>
      </c>
      <c r="BL8" s="521"/>
      <c r="BM8" s="522"/>
      <c r="BN8" s="522"/>
      <c r="BO8" s="522"/>
      <c r="BP8" s="522"/>
      <c r="BQ8" s="532">
        <f>23.39</f>
        <v>23.39</v>
      </c>
      <c r="BR8" s="532"/>
      <c r="BS8" s="532">
        <v>17.09</v>
      </c>
      <c r="BT8" s="532">
        <v>34.049999999999997</v>
      </c>
      <c r="BU8" s="532">
        <f>(190+20+20)*(1.21-0.15)</f>
        <v>243.8</v>
      </c>
      <c r="BV8" s="541"/>
      <c r="BW8" s="532">
        <v>9.24</v>
      </c>
      <c r="BX8" s="519">
        <f t="shared" si="7"/>
        <v>327.57000000000005</v>
      </c>
      <c r="BY8" s="525"/>
      <c r="BZ8" s="534">
        <v>68.97</v>
      </c>
      <c r="CA8" s="534">
        <f>25.88+10.71</f>
        <v>36.590000000000003</v>
      </c>
      <c r="CB8" s="534">
        <f>29.09</f>
        <v>29.09</v>
      </c>
      <c r="CC8" s="534">
        <f>36.06+12.61+74.98</f>
        <v>123.65</v>
      </c>
      <c r="CD8" s="534">
        <f>48.52</f>
        <v>48.52</v>
      </c>
      <c r="CE8" s="534">
        <f>73.3+15.46</f>
        <v>88.759999999999991</v>
      </c>
      <c r="CF8" s="534">
        <f>27.58</f>
        <v>27.58</v>
      </c>
      <c r="CG8" s="534">
        <f>16.13+9.45</f>
        <v>25.58</v>
      </c>
      <c r="CH8" s="534">
        <f>23.85+13.75+((200+20+20)*(1.21-0.15))</f>
        <v>292</v>
      </c>
      <c r="CI8" s="534">
        <v>11.13</v>
      </c>
      <c r="CJ8" s="534"/>
      <c r="CK8" s="519">
        <f t="shared" si="10"/>
        <v>751.87</v>
      </c>
      <c r="CL8" s="644">
        <f>1.15</f>
        <v>1.1499999999999999</v>
      </c>
      <c r="CM8" s="544">
        <f>51+26.32</f>
        <v>77.319999999999993</v>
      </c>
      <c r="CN8" s="544">
        <v>83.08</v>
      </c>
      <c r="CO8" s="583">
        <f>166.69+15.05+8.8</f>
        <v>190.54000000000002</v>
      </c>
      <c r="CP8" s="583">
        <f>166.69+45.15+74.98</f>
        <v>286.82</v>
      </c>
      <c r="CQ8" s="544">
        <v>33.130000000000003</v>
      </c>
      <c r="CR8" s="544">
        <f>63.37+12.12</f>
        <v>75.489999999999995</v>
      </c>
      <c r="CS8" s="544">
        <v>17.510000000000002</v>
      </c>
      <c r="CT8" s="544">
        <v>33.729999999999997</v>
      </c>
      <c r="CU8" s="544">
        <f>14.9+15.16+16.67</f>
        <v>46.730000000000004</v>
      </c>
      <c r="CV8" s="544">
        <f>(93.74-46.87)*1.21+93.74*1.21+36.28+12.09</f>
        <v>218.50810000000001</v>
      </c>
      <c r="CW8" s="544">
        <v>6.34</v>
      </c>
      <c r="CX8" s="528">
        <f t="shared" si="11"/>
        <v>1070.3480999999999</v>
      </c>
      <c r="CY8" s="544">
        <v>9.33</v>
      </c>
      <c r="CZ8" s="544">
        <v>89.31</v>
      </c>
      <c r="DA8" s="544">
        <v>74.56</v>
      </c>
      <c r="DB8" s="544">
        <f>39.6+8.86</f>
        <v>48.46</v>
      </c>
      <c r="DC8" s="544">
        <f>74.98+26.51</f>
        <v>101.49000000000001</v>
      </c>
      <c r="DD8" s="544">
        <v>28.93</v>
      </c>
      <c r="DE8" s="819">
        <f>113.43+113.43+37.91+12.29+30.23</f>
        <v>307.29000000000002</v>
      </c>
      <c r="DF8" s="544">
        <f>108.74+29.48</f>
        <v>138.22</v>
      </c>
      <c r="DG8" s="819">
        <f>108.9+18.14+9.15+10.43</f>
        <v>146.62</v>
      </c>
      <c r="DH8" s="536">
        <f>25+(113.43*2)</f>
        <v>251.86</v>
      </c>
      <c r="DI8" s="552">
        <v>25</v>
      </c>
      <c r="DJ8" s="552">
        <v>25</v>
      </c>
      <c r="DK8" s="528">
        <f t="shared" si="8"/>
        <v>1246.0700000000002</v>
      </c>
      <c r="DL8" s="552">
        <v>25</v>
      </c>
      <c r="DM8" s="552">
        <v>25</v>
      </c>
      <c r="DN8" s="552">
        <v>25</v>
      </c>
      <c r="DO8" s="552">
        <v>25</v>
      </c>
      <c r="DP8" s="536">
        <f>25+74.98</f>
        <v>99.98</v>
      </c>
      <c r="DQ8" s="552">
        <v>25</v>
      </c>
      <c r="DR8" s="552">
        <v>25</v>
      </c>
      <c r="DS8" s="552">
        <v>25</v>
      </c>
      <c r="DT8" s="552">
        <v>25</v>
      </c>
      <c r="DU8" s="536">
        <f>25+(113.43*2)</f>
        <v>251.86</v>
      </c>
      <c r="DV8" s="552">
        <v>25</v>
      </c>
      <c r="DW8" s="552">
        <v>25</v>
      </c>
      <c r="DX8" s="519">
        <f t="shared" si="9"/>
        <v>601.84</v>
      </c>
    </row>
    <row r="9" spans="2:128" ht="15">
      <c r="B9" s="480" t="s">
        <v>342</v>
      </c>
      <c r="C9" s="512"/>
      <c r="D9" s="512">
        <f>146.1+485.77</f>
        <v>631.87</v>
      </c>
      <c r="E9" s="512"/>
      <c r="F9" s="513"/>
      <c r="G9" s="513"/>
      <c r="H9" s="513"/>
      <c r="I9" s="513"/>
      <c r="J9" s="513"/>
      <c r="K9" s="513"/>
      <c r="L9" s="513"/>
      <c r="M9" s="512"/>
      <c r="N9" s="512"/>
      <c r="O9" s="514">
        <f t="shared" si="4"/>
        <v>631.87</v>
      </c>
      <c r="P9" s="515">
        <v>719.95</v>
      </c>
      <c r="Q9" s="515">
        <v>4700</v>
      </c>
      <c r="R9" s="515"/>
      <c r="S9" s="515">
        <v>3260.56</v>
      </c>
      <c r="T9" s="515">
        <f>777.7+217.1+1159.95</f>
        <v>2154.75</v>
      </c>
      <c r="U9" s="515"/>
      <c r="V9" s="515"/>
      <c r="W9" s="516">
        <f>453.05+2000+625</f>
        <v>3078.05</v>
      </c>
      <c r="X9" s="532">
        <f>637.1+1190.63+1052.75</f>
        <v>2880.48</v>
      </c>
      <c r="Y9" s="532">
        <f>193.85</f>
        <v>193.85</v>
      </c>
      <c r="Z9" s="532">
        <f>(357.28+78.86)+(24.99+1964.84+14.63)+(271.48+85.04)</f>
        <v>2797.12</v>
      </c>
      <c r="AA9" s="532">
        <f>(205.77+10.4+53+171.76)+(741.77+40.51+180.78)+(223.8+536.1)</f>
        <v>2163.8900000000003</v>
      </c>
      <c r="AB9" s="529">
        <f>SUM(P9:AA9)</f>
        <v>21948.649999999998</v>
      </c>
      <c r="AC9" s="547">
        <f>403.12</f>
        <v>403.12</v>
      </c>
      <c r="AD9" s="532">
        <f>1255.01+1099.75+951.98</f>
        <v>3306.7400000000002</v>
      </c>
      <c r="AE9" s="532">
        <f>1196.19</f>
        <v>1196.19</v>
      </c>
      <c r="AF9" s="515"/>
      <c r="AG9" s="515"/>
      <c r="AH9" s="515"/>
      <c r="AI9" s="515"/>
      <c r="AJ9" s="515"/>
      <c r="AK9" s="531">
        <f t="shared" si="12"/>
        <v>4906.05</v>
      </c>
      <c r="AL9" s="532"/>
      <c r="AM9" s="541"/>
      <c r="AN9" s="541"/>
      <c r="AO9" s="541"/>
      <c r="AP9" s="541"/>
      <c r="AQ9" s="532">
        <f>47.6+22.82+17.25+113.96+148.02+781.18+112.57+45.4+61.3+891.3</f>
        <v>2241.3999999999996</v>
      </c>
      <c r="AR9" s="515"/>
      <c r="AS9" s="522"/>
      <c r="AT9" s="522"/>
      <c r="AU9" s="522"/>
      <c r="AV9" s="532">
        <f>239.58</f>
        <v>239.58</v>
      </c>
      <c r="AW9" s="522"/>
      <c r="AX9" s="519">
        <f t="shared" si="6"/>
        <v>2480.9799999999996</v>
      </c>
      <c r="AY9" s="542"/>
      <c r="AZ9" s="532">
        <f>(76.1+89+131+26+184.5+10.45+225.5+18+126.35+13+18+75+3.35+5.2+3.35)+400</f>
        <v>1404.8000000000002</v>
      </c>
      <c r="BA9" s="541"/>
      <c r="BB9" s="532">
        <f>1426.47+424.42</f>
        <v>1850.89</v>
      </c>
      <c r="BC9" s="541"/>
      <c r="BD9" s="541"/>
      <c r="BE9" s="541"/>
      <c r="BF9" s="532">
        <f>1487.52+11560</f>
        <v>13047.52</v>
      </c>
      <c r="BG9" s="532">
        <v>144.97999999999999</v>
      </c>
      <c r="BH9" s="542">
        <v>96.99</v>
      </c>
      <c r="BI9" s="541"/>
      <c r="BJ9" s="515"/>
      <c r="BK9" s="519">
        <f t="shared" si="13"/>
        <v>16545.180000000004</v>
      </c>
      <c r="BL9" s="548">
        <f>536.44/0.865295</f>
        <v>619.95042153254099</v>
      </c>
      <c r="BM9" s="541"/>
      <c r="BN9" s="542">
        <f>297</f>
        <v>297</v>
      </c>
      <c r="BO9" s="541"/>
      <c r="BP9" s="541"/>
      <c r="BQ9" s="549">
        <f>1041.1</f>
        <v>1041.0999999999999</v>
      </c>
      <c r="BR9" s="550">
        <v>2456.4899999999998</v>
      </c>
      <c r="BS9" s="550">
        <v>3373.49</v>
      </c>
      <c r="BT9" s="550">
        <v>3978.46</v>
      </c>
      <c r="BU9" s="550">
        <v>3401.57</v>
      </c>
      <c r="BV9" s="550">
        <v>1161.44</v>
      </c>
      <c r="BW9" s="550">
        <v>1061.8</v>
      </c>
      <c r="BX9" s="519">
        <f t="shared" si="7"/>
        <v>17391.300421532542</v>
      </c>
      <c r="BY9" s="551">
        <f>1514.37-10.91</f>
        <v>1503.4599999999998</v>
      </c>
      <c r="BZ9" s="551">
        <f>535.61/0.8609+(2534.77-925.21)</f>
        <v>2231.7112370774771</v>
      </c>
      <c r="CA9" s="551">
        <v>3275.29</v>
      </c>
      <c r="CB9" s="551">
        <v>4393.7700000000004</v>
      </c>
      <c r="CC9" s="551">
        <v>1311.37</v>
      </c>
      <c r="CD9" s="551">
        <v>726.56</v>
      </c>
      <c r="CE9" s="551">
        <v>1117.22</v>
      </c>
      <c r="CF9" s="551">
        <v>1007.7</v>
      </c>
      <c r="CG9" s="551">
        <v>5245.52</v>
      </c>
      <c r="CH9" s="551">
        <v>4678.96</v>
      </c>
      <c r="CI9" s="551">
        <v>1730.23</v>
      </c>
      <c r="CJ9" s="551">
        <f>46.08+(2150.85-237)</f>
        <v>1959.9299999999998</v>
      </c>
      <c r="CK9" s="519">
        <f t="shared" si="10"/>
        <v>29181.721237077476</v>
      </c>
      <c r="CL9" s="551">
        <v>160.88</v>
      </c>
      <c r="CM9" s="551">
        <f>66+1407.5</f>
        <v>1473.5</v>
      </c>
      <c r="CN9" s="551">
        <f>3802.12-207</f>
        <v>3595.12</v>
      </c>
      <c r="CO9" s="551">
        <v>2850.33</v>
      </c>
      <c r="CP9" s="544">
        <f>1605.97-338.46</f>
        <v>1267.51</v>
      </c>
      <c r="CQ9" s="544">
        <v>7369.52</v>
      </c>
      <c r="CR9" s="544">
        <f>9495.14-3706</f>
        <v>5789.1399999999994</v>
      </c>
      <c r="CS9" s="544">
        <f>1500+2270.9</f>
        <v>3770.9</v>
      </c>
      <c r="CT9" s="544">
        <v>3396.39</v>
      </c>
      <c r="CU9" s="544">
        <f>7861.74-693-1781.03-9.56*5</f>
        <v>5339.91</v>
      </c>
      <c r="CV9" s="544">
        <f>(4181.08-56.72-36.28-113.43-12.09)</f>
        <v>3962.5599999999995</v>
      </c>
      <c r="CW9" s="544">
        <v>1297.79</v>
      </c>
      <c r="CX9" s="528">
        <f t="shared" si="11"/>
        <v>40273.549999999996</v>
      </c>
      <c r="CY9" s="544">
        <v>313.68</v>
      </c>
      <c r="CZ9" s="544">
        <f>66+((1453.49-1224.45+1075.71))</f>
        <v>1370.75</v>
      </c>
      <c r="DA9" s="544">
        <v>1840.81</v>
      </c>
      <c r="DB9" s="544">
        <f>(9309.72-338.46)</f>
        <v>8971.26</v>
      </c>
      <c r="DC9" s="544">
        <f>(1435.93-617)</f>
        <v>818.93000000000006</v>
      </c>
      <c r="DD9" s="544">
        <v>2010.46</v>
      </c>
      <c r="DE9" s="544">
        <f>8052+(4570.98-1049.99)</f>
        <v>11572.99</v>
      </c>
      <c r="DF9" s="544">
        <f>617.27-187.77</f>
        <v>429.5</v>
      </c>
      <c r="DG9" s="544">
        <f>2037.73+6516.12+7142.29</f>
        <v>15696.14</v>
      </c>
      <c r="DH9" s="536">
        <v>2130.7399999999998</v>
      </c>
      <c r="DI9" s="536">
        <v>500</v>
      </c>
      <c r="DJ9" s="536">
        <v>500</v>
      </c>
      <c r="DK9" s="528">
        <f t="shared" si="8"/>
        <v>46155.259999999995</v>
      </c>
      <c r="DL9" s="552">
        <v>500</v>
      </c>
      <c r="DM9" s="552">
        <v>2000</v>
      </c>
      <c r="DN9" s="546">
        <f>1500</f>
        <v>1500</v>
      </c>
      <c r="DO9" s="552">
        <v>500</v>
      </c>
      <c r="DP9" s="552">
        <v>500</v>
      </c>
      <c r="DQ9" s="552">
        <v>500</v>
      </c>
      <c r="DR9" s="546">
        <f>5000/2</f>
        <v>2500</v>
      </c>
      <c r="DS9" s="546">
        <f>5000/2+250+1000</f>
        <v>3750</v>
      </c>
      <c r="DT9" s="546">
        <v>3000</v>
      </c>
      <c r="DU9" s="546">
        <v>250</v>
      </c>
      <c r="DV9" s="546">
        <v>500</v>
      </c>
      <c r="DW9" s="546">
        <v>500</v>
      </c>
      <c r="DX9" s="519">
        <f t="shared" si="9"/>
        <v>16000</v>
      </c>
    </row>
    <row r="10" spans="2:128" ht="15">
      <c r="B10" s="480" t="s">
        <v>185</v>
      </c>
      <c r="C10" s="512"/>
      <c r="D10" s="512"/>
      <c r="E10" s="512"/>
      <c r="F10" s="513"/>
      <c r="G10" s="513"/>
      <c r="H10" s="513"/>
      <c r="I10" s="513"/>
      <c r="J10" s="513"/>
      <c r="K10" s="513"/>
      <c r="L10" s="513"/>
      <c r="M10" s="512"/>
      <c r="N10" s="512"/>
      <c r="O10" s="514">
        <f t="shared" si="4"/>
        <v>0</v>
      </c>
      <c r="P10" s="515"/>
      <c r="Q10" s="515">
        <v>1425</v>
      </c>
      <c r="R10" s="515"/>
      <c r="S10" s="515"/>
      <c r="T10" s="515"/>
      <c r="U10" s="515">
        <v>1500</v>
      </c>
      <c r="V10" s="515"/>
      <c r="W10" s="516"/>
      <c r="X10" s="515"/>
      <c r="Y10" s="515"/>
      <c r="Z10" s="532">
        <v>1500</v>
      </c>
      <c r="AA10" s="515"/>
      <c r="AB10" s="529">
        <f t="shared" si="5"/>
        <v>4425</v>
      </c>
      <c r="AC10" s="518"/>
      <c r="AD10" s="515"/>
      <c r="AE10" s="515"/>
      <c r="AF10" s="515"/>
      <c r="AG10" s="515"/>
      <c r="AH10" s="515"/>
      <c r="AI10" s="515"/>
      <c r="AJ10" s="515"/>
      <c r="AK10" s="531">
        <f t="shared" ref="AK10:AK55" si="14">SUM(AC10:AJ10)</f>
        <v>0</v>
      </c>
      <c r="AL10" s="532"/>
      <c r="AM10" s="541"/>
      <c r="AN10" s="541"/>
      <c r="AO10" s="541"/>
      <c r="AP10" s="532">
        <v>3536</v>
      </c>
      <c r="AQ10" s="515"/>
      <c r="AR10" s="515"/>
      <c r="AS10" s="522"/>
      <c r="AT10" s="522"/>
      <c r="AU10" s="541"/>
      <c r="AV10" s="541"/>
      <c r="AW10" s="522"/>
      <c r="AX10" s="519">
        <f>SUM(AL10:AW10)</f>
        <v>3536</v>
      </c>
      <c r="AY10" s="542"/>
      <c r="AZ10" s="541"/>
      <c r="BA10" s="541"/>
      <c r="BB10" s="541"/>
      <c r="BC10" s="542">
        <v>4540</v>
      </c>
      <c r="BD10" s="515"/>
      <c r="BE10" s="522"/>
      <c r="BF10" s="515"/>
      <c r="BG10" s="515"/>
      <c r="BH10" s="553"/>
      <c r="BI10" s="541"/>
      <c r="BJ10" s="522"/>
      <c r="BK10" s="519">
        <f t="shared" si="13"/>
        <v>4540</v>
      </c>
      <c r="BL10" s="521"/>
      <c r="BM10" s="541"/>
      <c r="BN10" s="541"/>
      <c r="BO10" s="522"/>
      <c r="BP10" s="541"/>
      <c r="BQ10" s="543"/>
      <c r="BR10" s="542">
        <f>180*6+180*6</f>
        <v>2160</v>
      </c>
      <c r="BS10" s="542">
        <v>3940</v>
      </c>
      <c r="BT10" s="541"/>
      <c r="BU10" s="522"/>
      <c r="BV10" s="522"/>
      <c r="BW10" s="524"/>
      <c r="BX10" s="519">
        <f t="shared" si="7"/>
        <v>6100</v>
      </c>
      <c r="BY10" s="525"/>
      <c r="BZ10" s="525"/>
      <c r="CA10" s="525"/>
      <c r="CB10" s="525"/>
      <c r="CC10" s="525"/>
      <c r="CD10" s="525"/>
      <c r="CE10" s="525"/>
      <c r="CF10" s="525"/>
      <c r="CG10" s="525"/>
      <c r="CH10" s="533"/>
      <c r="CI10" s="545">
        <f>2365</f>
        <v>2365</v>
      </c>
      <c r="CJ10" s="525"/>
      <c r="CK10" s="519">
        <f t="shared" si="10"/>
        <v>2365</v>
      </c>
      <c r="CL10" s="526"/>
      <c r="CM10" s="525"/>
      <c r="CN10" s="526"/>
      <c r="CO10" s="525"/>
      <c r="CP10" s="525"/>
      <c r="CQ10" s="525"/>
      <c r="CR10" s="541"/>
      <c r="CS10" s="560"/>
      <c r="CT10" s="541"/>
      <c r="CU10" s="544">
        <f>2179.64</f>
        <v>2179.64</v>
      </c>
      <c r="CV10" s="544">
        <v>2165.17</v>
      </c>
      <c r="CW10" s="544">
        <v>2174.9699999999998</v>
      </c>
      <c r="CX10" s="528">
        <f t="shared" si="11"/>
        <v>6519.7799999999988</v>
      </c>
      <c r="CY10" s="544">
        <v>2174.36</v>
      </c>
      <c r="CZ10" s="545">
        <f>3100+2219.69</f>
        <v>5319.6900000000005</v>
      </c>
      <c r="DA10" s="544">
        <v>2242.98</v>
      </c>
      <c r="DB10" s="544">
        <v>2228.9899999999998</v>
      </c>
      <c r="DC10" s="544">
        <v>2195.52</v>
      </c>
      <c r="DD10" s="544">
        <v>2231.15</v>
      </c>
      <c r="DE10" s="544">
        <v>2258.96</v>
      </c>
      <c r="DF10" s="544">
        <v>3253.62</v>
      </c>
      <c r="DG10" s="544">
        <v>2399.5100000000002</v>
      </c>
      <c r="DH10" s="584">
        <v>2436.0300000000002</v>
      </c>
      <c r="DI10" s="536">
        <v>2300</v>
      </c>
      <c r="DJ10" s="536">
        <v>2300</v>
      </c>
      <c r="DK10" s="528">
        <f t="shared" si="8"/>
        <v>31340.809999999998</v>
      </c>
      <c r="DL10" s="536">
        <v>2300</v>
      </c>
      <c r="DM10" s="536">
        <v>2300</v>
      </c>
      <c r="DN10" s="536">
        <v>2300</v>
      </c>
      <c r="DO10" s="536">
        <v>2300</v>
      </c>
      <c r="DP10" s="536">
        <v>2300</v>
      </c>
      <c r="DQ10" s="536">
        <v>2300</v>
      </c>
      <c r="DR10" s="536">
        <v>2300</v>
      </c>
      <c r="DS10" s="536">
        <v>2300</v>
      </c>
      <c r="DT10" s="536">
        <v>2300</v>
      </c>
      <c r="DU10" s="536">
        <v>2300</v>
      </c>
      <c r="DV10" s="536">
        <v>2300</v>
      </c>
      <c r="DW10" s="536">
        <v>2300</v>
      </c>
      <c r="DX10" s="519">
        <f t="shared" si="9"/>
        <v>27600</v>
      </c>
    </row>
    <row r="11" spans="2:128" ht="15">
      <c r="B11" s="480" t="s">
        <v>186</v>
      </c>
      <c r="C11" s="512"/>
      <c r="D11" s="512"/>
      <c r="E11" s="512"/>
      <c r="F11" s="513"/>
      <c r="G11" s="513"/>
      <c r="H11" s="513"/>
      <c r="I11" s="513"/>
      <c r="J11" s="513"/>
      <c r="K11" s="513"/>
      <c r="L11" s="513"/>
      <c r="M11" s="512"/>
      <c r="N11" s="512"/>
      <c r="O11" s="514">
        <f t="shared" si="4"/>
        <v>0</v>
      </c>
      <c r="P11" s="515"/>
      <c r="Q11" s="515"/>
      <c r="R11" s="515"/>
      <c r="S11" s="515"/>
      <c r="T11" s="515"/>
      <c r="U11" s="515"/>
      <c r="V11" s="515"/>
      <c r="W11" s="516"/>
      <c r="X11" s="515"/>
      <c r="Y11" s="532">
        <v>3213.33</v>
      </c>
      <c r="Z11" s="532">
        <f>1584.94</f>
        <v>1584.94</v>
      </c>
      <c r="AA11" s="532">
        <v>2994</v>
      </c>
      <c r="AB11" s="529">
        <f t="shared" si="5"/>
        <v>7792.27</v>
      </c>
      <c r="AC11" s="547">
        <f>2000-1409.06/3</f>
        <v>1530.3133333333333</v>
      </c>
      <c r="AD11" s="532">
        <f>2000-1409.06/3</f>
        <v>1530.3133333333333</v>
      </c>
      <c r="AE11" s="532">
        <f>2000-1409.06/3</f>
        <v>1530.3133333333333</v>
      </c>
      <c r="AF11" s="532">
        <f>1782.45-652.64</f>
        <v>1129.81</v>
      </c>
      <c r="AG11" s="532">
        <v>1959.52</v>
      </c>
      <c r="AH11" s="532">
        <v>1959.52</v>
      </c>
      <c r="AI11" s="532">
        <v>1959.52</v>
      </c>
      <c r="AJ11" s="532">
        <v>1959.52</v>
      </c>
      <c r="AK11" s="531">
        <f t="shared" si="14"/>
        <v>13558.830000000002</v>
      </c>
      <c r="AL11" s="532">
        <v>1959.52</v>
      </c>
      <c r="AM11" s="532">
        <v>3950</v>
      </c>
      <c r="AN11" s="532">
        <v>3950</v>
      </c>
      <c r="AO11" s="532">
        <v>3950</v>
      </c>
      <c r="AP11" s="532">
        <v>3950</v>
      </c>
      <c r="AQ11" s="532">
        <v>3950</v>
      </c>
      <c r="AR11" s="532">
        <v>3950</v>
      </c>
      <c r="AS11" s="554">
        <v>3950</v>
      </c>
      <c r="AT11" s="542">
        <v>3950</v>
      </c>
      <c r="AU11" s="542">
        <v>3950</v>
      </c>
      <c r="AV11" s="542">
        <v>3950</v>
      </c>
      <c r="AW11" s="532">
        <v>3950</v>
      </c>
      <c r="AX11" s="519">
        <f t="shared" si="6"/>
        <v>45409.520000000004</v>
      </c>
      <c r="AY11" s="542">
        <v>3950</v>
      </c>
      <c r="AZ11" s="532">
        <v>3950</v>
      </c>
      <c r="BA11" s="532">
        <v>3950</v>
      </c>
      <c r="BB11" s="532">
        <v>3950</v>
      </c>
      <c r="BC11" s="532">
        <v>3950.06</v>
      </c>
      <c r="BD11" s="532">
        <v>3950</v>
      </c>
      <c r="BE11" s="532">
        <v>3950</v>
      </c>
      <c r="BF11" s="532">
        <v>3950</v>
      </c>
      <c r="BG11" s="532">
        <f>1250+5200</f>
        <v>6450</v>
      </c>
      <c r="BH11" s="542">
        <v>5200</v>
      </c>
      <c r="BI11" s="542">
        <v>5200</v>
      </c>
      <c r="BJ11" s="555">
        <v>5200</v>
      </c>
      <c r="BK11" s="519">
        <f t="shared" ref="BK11:BK33" si="15">SUM(AY11:BJ11)</f>
        <v>53650.06</v>
      </c>
      <c r="BL11" s="548">
        <v>5200</v>
      </c>
      <c r="BM11" s="542">
        <f>274.95+3000</f>
        <v>3274.95</v>
      </c>
      <c r="BN11" s="542">
        <v>3000</v>
      </c>
      <c r="BO11" s="542">
        <v>3000</v>
      </c>
      <c r="BP11" s="542">
        <v>3000</v>
      </c>
      <c r="BQ11" s="556">
        <v>4300</v>
      </c>
      <c r="BR11" s="542">
        <v>4300</v>
      </c>
      <c r="BS11" s="542">
        <v>4300</v>
      </c>
      <c r="BT11" s="542">
        <v>4300</v>
      </c>
      <c r="BU11" s="542">
        <v>4300</v>
      </c>
      <c r="BV11" s="542">
        <v>4300</v>
      </c>
      <c r="BW11" s="542">
        <v>4300</v>
      </c>
      <c r="BX11" s="519">
        <f t="shared" si="7"/>
        <v>47574.95</v>
      </c>
      <c r="BY11" s="544">
        <v>4300</v>
      </c>
      <c r="BZ11" s="544">
        <v>4300</v>
      </c>
      <c r="CA11" s="544">
        <v>4300</v>
      </c>
      <c r="CB11" s="544">
        <v>4300</v>
      </c>
      <c r="CC11" s="544">
        <v>4300</v>
      </c>
      <c r="CD11" s="534">
        <v>4300</v>
      </c>
      <c r="CE11" s="544">
        <v>4300</v>
      </c>
      <c r="CF11" s="544">
        <v>4300</v>
      </c>
      <c r="CG11" s="544">
        <v>4300</v>
      </c>
      <c r="CH11" s="544">
        <v>4300</v>
      </c>
      <c r="CI11" s="534">
        <v>4300</v>
      </c>
      <c r="CJ11" s="534">
        <v>4300</v>
      </c>
      <c r="CK11" s="519">
        <f t="shared" si="10"/>
        <v>51600</v>
      </c>
      <c r="CL11" s="615">
        <v>4300</v>
      </c>
      <c r="CM11" s="544">
        <v>4300</v>
      </c>
      <c r="CN11" s="534">
        <v>4300</v>
      </c>
      <c r="CO11" s="544">
        <v>4300</v>
      </c>
      <c r="CP11" s="544">
        <v>4300</v>
      </c>
      <c r="CQ11" s="544">
        <v>4300</v>
      </c>
      <c r="CR11" s="544">
        <v>4300</v>
      </c>
      <c r="CS11" s="544">
        <v>4300</v>
      </c>
      <c r="CT11" s="544">
        <v>4300</v>
      </c>
      <c r="CU11" s="544">
        <v>4300</v>
      </c>
      <c r="CV11" s="544">
        <v>4300</v>
      </c>
      <c r="CW11" s="544">
        <v>4300</v>
      </c>
      <c r="CX11" s="528">
        <f t="shared" si="11"/>
        <v>51600</v>
      </c>
      <c r="CY11" s="544">
        <v>4300</v>
      </c>
      <c r="CZ11" s="544">
        <v>4300</v>
      </c>
      <c r="DA11" s="544">
        <v>4300</v>
      </c>
      <c r="DB11" s="534">
        <v>4300</v>
      </c>
      <c r="DC11" s="544">
        <v>4300</v>
      </c>
      <c r="DD11" s="544">
        <v>4300</v>
      </c>
      <c r="DE11" s="544">
        <v>4300</v>
      </c>
      <c r="DF11" s="544">
        <v>4300</v>
      </c>
      <c r="DG11" s="544">
        <v>4300</v>
      </c>
      <c r="DH11" s="536">
        <v>4300</v>
      </c>
      <c r="DI11" s="536">
        <v>4300</v>
      </c>
      <c r="DJ11" s="536">
        <v>4300</v>
      </c>
      <c r="DK11" s="528">
        <f t="shared" si="8"/>
        <v>51600</v>
      </c>
      <c r="DL11" s="546">
        <v>4300</v>
      </c>
      <c r="DM11" s="546">
        <v>4300</v>
      </c>
      <c r="DN11" s="546">
        <v>4300</v>
      </c>
      <c r="DO11" s="546">
        <v>4300</v>
      </c>
      <c r="DP11" s="546">
        <v>4300</v>
      </c>
      <c r="DQ11" s="546">
        <v>4300</v>
      </c>
      <c r="DR11" s="546">
        <v>4300</v>
      </c>
      <c r="DS11" s="546">
        <v>4300</v>
      </c>
      <c r="DT11" s="546">
        <v>4300</v>
      </c>
      <c r="DU11" s="546">
        <v>4300</v>
      </c>
      <c r="DV11" s="546">
        <v>4300</v>
      </c>
      <c r="DW11" s="546">
        <v>4300</v>
      </c>
      <c r="DX11" s="519">
        <f t="shared" si="9"/>
        <v>51600</v>
      </c>
    </row>
    <row r="12" spans="2:128" ht="15">
      <c r="B12" s="480" t="s">
        <v>187</v>
      </c>
      <c r="C12" s="512"/>
      <c r="D12" s="512"/>
      <c r="E12" s="512"/>
      <c r="F12" s="513"/>
      <c r="G12" s="513"/>
      <c r="H12" s="513"/>
      <c r="I12" s="513"/>
      <c r="J12" s="513"/>
      <c r="K12" s="513"/>
      <c r="L12" s="513"/>
      <c r="M12" s="512">
        <v>16000</v>
      </c>
      <c r="N12" s="512">
        <f>8000+5000</f>
        <v>13000</v>
      </c>
      <c r="O12" s="514">
        <f t="shared" si="4"/>
        <v>29000</v>
      </c>
      <c r="P12" s="515"/>
      <c r="Q12" s="515">
        <f>8000+8480</f>
        <v>16480</v>
      </c>
      <c r="R12" s="515">
        <v>10600</v>
      </c>
      <c r="S12" s="515">
        <v>10600</v>
      </c>
      <c r="T12" s="515">
        <v>11660</v>
      </c>
      <c r="U12" s="515">
        <v>13780</v>
      </c>
      <c r="V12" s="515">
        <v>13780</v>
      </c>
      <c r="W12" s="516">
        <v>13780</v>
      </c>
      <c r="X12" s="532">
        <v>11660</v>
      </c>
      <c r="Y12" s="532">
        <v>11660</v>
      </c>
      <c r="Z12" s="532">
        <v>11660</v>
      </c>
      <c r="AA12" s="532">
        <v>11660</v>
      </c>
      <c r="AB12" s="529">
        <f t="shared" si="5"/>
        <v>137320</v>
      </c>
      <c r="AC12" s="547">
        <v>13780</v>
      </c>
      <c r="AD12" s="532">
        <v>11660</v>
      </c>
      <c r="AE12" s="532">
        <v>11660</v>
      </c>
      <c r="AF12" s="532">
        <v>11660</v>
      </c>
      <c r="AG12" s="532">
        <v>11660</v>
      </c>
      <c r="AH12" s="532">
        <v>11660</v>
      </c>
      <c r="AI12" s="532">
        <v>13780</v>
      </c>
      <c r="AJ12" s="532">
        <v>11660</v>
      </c>
      <c r="AK12" s="531">
        <f t="shared" si="14"/>
        <v>97520</v>
      </c>
      <c r="AL12" s="532">
        <v>11660</v>
      </c>
      <c r="AM12" s="532">
        <v>11660</v>
      </c>
      <c r="AN12" s="532">
        <v>11660</v>
      </c>
      <c r="AO12" s="532">
        <v>11660</v>
      </c>
      <c r="AP12" s="532">
        <v>11660</v>
      </c>
      <c r="AQ12" s="532">
        <v>11660</v>
      </c>
      <c r="AR12" s="532">
        <v>11660</v>
      </c>
      <c r="AS12" s="554">
        <v>11660</v>
      </c>
      <c r="AT12" s="542">
        <v>11660</v>
      </c>
      <c r="AU12" s="542">
        <v>11660</v>
      </c>
      <c r="AV12" s="542">
        <v>11660</v>
      </c>
      <c r="AW12" s="532">
        <v>11660</v>
      </c>
      <c r="AX12" s="519">
        <f t="shared" si="6"/>
        <v>139920</v>
      </c>
      <c r="AY12" s="542">
        <v>11660</v>
      </c>
      <c r="AZ12" s="532">
        <v>11660</v>
      </c>
      <c r="BA12" s="532">
        <v>11660</v>
      </c>
      <c r="BB12" s="532">
        <v>11660</v>
      </c>
      <c r="BC12" s="542">
        <v>11660</v>
      </c>
      <c r="BD12" s="532">
        <v>11660</v>
      </c>
      <c r="BE12" s="532">
        <v>11660</v>
      </c>
      <c r="BF12" s="532">
        <v>11660</v>
      </c>
      <c r="BG12" s="532">
        <v>11660</v>
      </c>
      <c r="BH12" s="542">
        <v>11660</v>
      </c>
      <c r="BI12" s="542">
        <v>11660</v>
      </c>
      <c r="BJ12" s="555">
        <v>11660</v>
      </c>
      <c r="BK12" s="519">
        <f t="shared" si="15"/>
        <v>139920</v>
      </c>
      <c r="BL12" s="548">
        <v>11660</v>
      </c>
      <c r="BM12" s="542">
        <v>11660</v>
      </c>
      <c r="BN12" s="542">
        <v>11660</v>
      </c>
      <c r="BO12" s="542">
        <v>11660</v>
      </c>
      <c r="BP12" s="542">
        <v>11660</v>
      </c>
      <c r="BQ12" s="556">
        <v>11660</v>
      </c>
      <c r="BR12" s="542">
        <v>11660</v>
      </c>
      <c r="BS12" s="542">
        <v>11660</v>
      </c>
      <c r="BT12" s="542">
        <v>11660</v>
      </c>
      <c r="BU12" s="542">
        <v>11660</v>
      </c>
      <c r="BV12" s="542">
        <v>11660</v>
      </c>
      <c r="BW12" s="555">
        <v>11660</v>
      </c>
      <c r="BX12" s="519">
        <f t="shared" si="7"/>
        <v>139920</v>
      </c>
      <c r="BY12" s="544">
        <v>11660</v>
      </c>
      <c r="BZ12" s="544">
        <v>11660</v>
      </c>
      <c r="CA12" s="544">
        <v>11660</v>
      </c>
      <c r="CB12" s="544">
        <v>11660</v>
      </c>
      <c r="CC12" s="544">
        <v>11660</v>
      </c>
      <c r="CD12" s="534">
        <v>11660</v>
      </c>
      <c r="CE12" s="544">
        <v>11660</v>
      </c>
      <c r="CF12" s="544">
        <v>11660</v>
      </c>
      <c r="CG12" s="544">
        <v>11660</v>
      </c>
      <c r="CH12" s="544">
        <v>11660</v>
      </c>
      <c r="CI12" s="534">
        <v>11660</v>
      </c>
      <c r="CJ12" s="534">
        <v>11660</v>
      </c>
      <c r="CK12" s="519">
        <f t="shared" si="10"/>
        <v>139920</v>
      </c>
      <c r="CL12" s="615">
        <v>11660</v>
      </c>
      <c r="CM12" s="544">
        <v>11660</v>
      </c>
      <c r="CN12" s="544">
        <v>11660</v>
      </c>
      <c r="CO12" s="544">
        <v>11660</v>
      </c>
      <c r="CP12" s="544">
        <v>11660</v>
      </c>
      <c r="CQ12" s="534">
        <v>11660</v>
      </c>
      <c r="CR12" s="544">
        <v>11660</v>
      </c>
      <c r="CS12" s="544">
        <v>11660</v>
      </c>
      <c r="CT12" s="544">
        <v>11660</v>
      </c>
      <c r="CU12" s="544">
        <v>11660</v>
      </c>
      <c r="CV12" s="544">
        <v>11660</v>
      </c>
      <c r="CW12" s="544">
        <v>11660</v>
      </c>
      <c r="CX12" s="528">
        <f t="shared" si="11"/>
        <v>139920</v>
      </c>
      <c r="CY12" s="544">
        <v>11660</v>
      </c>
      <c r="CZ12" s="544">
        <v>11660</v>
      </c>
      <c r="DA12" s="544">
        <v>11660</v>
      </c>
      <c r="DB12" s="544">
        <v>11660</v>
      </c>
      <c r="DC12" s="544">
        <v>11660</v>
      </c>
      <c r="DD12" s="544">
        <v>11660</v>
      </c>
      <c r="DE12" s="544">
        <v>11660</v>
      </c>
      <c r="DF12" s="544">
        <v>11660</v>
      </c>
      <c r="DG12" s="544">
        <v>11660</v>
      </c>
      <c r="DH12" s="536">
        <v>11660</v>
      </c>
      <c r="DI12" s="536">
        <v>11660</v>
      </c>
      <c r="DJ12" s="536">
        <v>11660</v>
      </c>
      <c r="DK12" s="528">
        <f t="shared" si="8"/>
        <v>139920</v>
      </c>
      <c r="DL12" s="546">
        <v>11660</v>
      </c>
      <c r="DM12" s="546">
        <v>11660</v>
      </c>
      <c r="DN12" s="546">
        <v>11660</v>
      </c>
      <c r="DO12" s="546">
        <v>11660</v>
      </c>
      <c r="DP12" s="546">
        <v>11660</v>
      </c>
      <c r="DQ12" s="546">
        <v>11660</v>
      </c>
      <c r="DR12" s="546">
        <v>11660</v>
      </c>
      <c r="DS12" s="546">
        <v>11660</v>
      </c>
      <c r="DT12" s="546">
        <v>11660</v>
      </c>
      <c r="DU12" s="546">
        <v>11660</v>
      </c>
      <c r="DV12" s="546">
        <v>11660</v>
      </c>
      <c r="DW12" s="546">
        <v>11660</v>
      </c>
      <c r="DX12" s="519">
        <f t="shared" si="9"/>
        <v>139920</v>
      </c>
    </row>
    <row r="13" spans="2:128" ht="15">
      <c r="B13" s="480" t="s">
        <v>188</v>
      </c>
      <c r="C13" s="512"/>
      <c r="D13" s="512"/>
      <c r="E13" s="512"/>
      <c r="F13" s="513"/>
      <c r="G13" s="513"/>
      <c r="H13" s="513"/>
      <c r="I13" s="513"/>
      <c r="J13" s="513"/>
      <c r="K13" s="513"/>
      <c r="L13" s="513"/>
      <c r="M13" s="512"/>
      <c r="N13" s="512"/>
      <c r="O13" s="514"/>
      <c r="P13" s="515"/>
      <c r="Q13" s="515"/>
      <c r="R13" s="515"/>
      <c r="S13" s="515"/>
      <c r="T13" s="515"/>
      <c r="U13" s="515"/>
      <c r="V13" s="515"/>
      <c r="W13" s="516"/>
      <c r="X13" s="532"/>
      <c r="Y13" s="532"/>
      <c r="Z13" s="532"/>
      <c r="AA13" s="532"/>
      <c r="AB13" s="529">
        <f t="shared" si="5"/>
        <v>0</v>
      </c>
      <c r="AC13" s="547"/>
      <c r="AD13" s="532"/>
      <c r="AE13" s="532"/>
      <c r="AF13" s="532"/>
      <c r="AG13" s="532"/>
      <c r="AH13" s="532"/>
      <c r="AI13" s="532"/>
      <c r="AJ13" s="532"/>
      <c r="AK13" s="531">
        <f t="shared" si="14"/>
        <v>0</v>
      </c>
      <c r="AL13" s="532"/>
      <c r="AM13" s="532">
        <v>800</v>
      </c>
      <c r="AN13" s="532">
        <v>800</v>
      </c>
      <c r="AO13" s="515"/>
      <c r="AP13" s="515"/>
      <c r="AQ13" s="532">
        <v>800</v>
      </c>
      <c r="AR13" s="532">
        <v>800</v>
      </c>
      <c r="AS13" s="554">
        <v>453.33</v>
      </c>
      <c r="AT13" s="522"/>
      <c r="AU13" s="522"/>
      <c r="AV13" s="522"/>
      <c r="AW13" s="532">
        <v>613.33000000000004</v>
      </c>
      <c r="AX13" s="519">
        <f t="shared" si="6"/>
        <v>4266.66</v>
      </c>
      <c r="AY13" s="542">
        <v>800</v>
      </c>
      <c r="AZ13" s="542">
        <v>800</v>
      </c>
      <c r="BA13" s="542">
        <v>800</v>
      </c>
      <c r="BB13" s="542">
        <v>800</v>
      </c>
      <c r="BC13" s="542">
        <v>800</v>
      </c>
      <c r="BD13" s="542">
        <v>800</v>
      </c>
      <c r="BE13" s="542">
        <v>800</v>
      </c>
      <c r="BF13" s="542">
        <v>800</v>
      </c>
      <c r="BG13" s="542">
        <v>800</v>
      </c>
      <c r="BH13" s="542">
        <v>800</v>
      </c>
      <c r="BI13" s="542">
        <v>800</v>
      </c>
      <c r="BJ13" s="542">
        <v>800</v>
      </c>
      <c r="BK13" s="519">
        <f t="shared" si="15"/>
        <v>9600</v>
      </c>
      <c r="BL13" s="548">
        <v>800</v>
      </c>
      <c r="BM13" s="542">
        <v>800</v>
      </c>
      <c r="BN13" s="542">
        <v>800</v>
      </c>
      <c r="BO13" s="542">
        <v>800</v>
      </c>
      <c r="BP13" s="542">
        <v>800</v>
      </c>
      <c r="BQ13" s="556">
        <v>800</v>
      </c>
      <c r="BR13" s="542">
        <f>800</f>
        <v>800</v>
      </c>
      <c r="BS13" s="542">
        <v>1280</v>
      </c>
      <c r="BT13" s="542">
        <v>1280</v>
      </c>
      <c r="BU13" s="542">
        <v>1280</v>
      </c>
      <c r="BV13" s="542">
        <v>1280</v>
      </c>
      <c r="BW13" s="542">
        <v>1280</v>
      </c>
      <c r="BX13" s="519">
        <f t="shared" si="7"/>
        <v>12000</v>
      </c>
      <c r="BY13" s="544">
        <v>1280</v>
      </c>
      <c r="BZ13" s="544">
        <v>1280</v>
      </c>
      <c r="CA13" s="544">
        <v>1280</v>
      </c>
      <c r="CB13" s="544">
        <v>1280</v>
      </c>
      <c r="CC13" s="544">
        <v>1280</v>
      </c>
      <c r="CD13" s="534">
        <v>1280</v>
      </c>
      <c r="CE13" s="544">
        <v>1280</v>
      </c>
      <c r="CF13" s="544">
        <v>1280</v>
      </c>
      <c r="CG13" s="544">
        <v>1280</v>
      </c>
      <c r="CH13" s="544">
        <v>1280</v>
      </c>
      <c r="CI13" s="534">
        <v>1280</v>
      </c>
      <c r="CJ13" s="534">
        <v>1280</v>
      </c>
      <c r="CK13" s="519">
        <f t="shared" si="10"/>
        <v>15360</v>
      </c>
      <c r="CL13" s="615">
        <v>1280</v>
      </c>
      <c r="CM13" s="544">
        <v>1280</v>
      </c>
      <c r="CN13" s="534">
        <v>1280</v>
      </c>
      <c r="CO13" s="544">
        <v>1280</v>
      </c>
      <c r="CP13" s="544">
        <f>1280+46.75</f>
        <v>1326.75</v>
      </c>
      <c r="CQ13" s="534">
        <v>1326.75</v>
      </c>
      <c r="CR13" s="544">
        <v>1326.75</v>
      </c>
      <c r="CS13" s="544">
        <v>1326.75</v>
      </c>
      <c r="CT13" s="544">
        <v>1326.75</v>
      </c>
      <c r="CU13" s="544">
        <v>1326.75</v>
      </c>
      <c r="CV13" s="544">
        <v>1326.75</v>
      </c>
      <c r="CW13" s="544">
        <v>1326.75</v>
      </c>
      <c r="CX13" s="528">
        <f t="shared" si="11"/>
        <v>15734</v>
      </c>
      <c r="CY13" s="544">
        <v>1326.75</v>
      </c>
      <c r="CZ13" s="544">
        <v>1326.75</v>
      </c>
      <c r="DA13" s="544">
        <v>1326.75</v>
      </c>
      <c r="DB13" s="534">
        <v>1326.75</v>
      </c>
      <c r="DC13" s="544">
        <v>1326.45</v>
      </c>
      <c r="DD13" s="544">
        <v>1326.45</v>
      </c>
      <c r="DE13" s="544">
        <v>1326.45</v>
      </c>
      <c r="DF13" s="544">
        <f>1458.01+437.39</f>
        <v>1895.4</v>
      </c>
      <c r="DG13" s="544">
        <v>1434.84</v>
      </c>
      <c r="DH13" s="536">
        <v>1458.01</v>
      </c>
      <c r="DI13" s="536">
        <v>1458.01</v>
      </c>
      <c r="DJ13" s="536">
        <v>1458.01</v>
      </c>
      <c r="DK13" s="528">
        <f t="shared" si="8"/>
        <v>16990.62</v>
      </c>
      <c r="DL13" s="536">
        <v>1458.01</v>
      </c>
      <c r="DM13" s="536">
        <v>1458.01</v>
      </c>
      <c r="DN13" s="536">
        <v>1458.01</v>
      </c>
      <c r="DO13" s="536">
        <v>1458.01</v>
      </c>
      <c r="DP13" s="536">
        <v>1458.01</v>
      </c>
      <c r="DQ13" s="536">
        <v>1458.01</v>
      </c>
      <c r="DR13" s="536">
        <v>1458.01</v>
      </c>
      <c r="DS13" s="536">
        <v>1458.01</v>
      </c>
      <c r="DT13" s="536">
        <v>1458.01</v>
      </c>
      <c r="DU13" s="536">
        <v>1458.01</v>
      </c>
      <c r="DV13" s="536">
        <v>1458.01</v>
      </c>
      <c r="DW13" s="536">
        <v>1458.01</v>
      </c>
      <c r="DX13" s="519">
        <f t="shared" si="9"/>
        <v>17496.12</v>
      </c>
    </row>
    <row r="14" spans="2:128" ht="15">
      <c r="B14" s="480" t="s">
        <v>189</v>
      </c>
      <c r="C14" s="512"/>
      <c r="D14" s="512"/>
      <c r="E14" s="512"/>
      <c r="F14" s="513"/>
      <c r="G14" s="513"/>
      <c r="H14" s="513"/>
      <c r="I14" s="513"/>
      <c r="J14" s="513"/>
      <c r="K14" s="513"/>
      <c r="L14" s="513"/>
      <c r="M14" s="512"/>
      <c r="N14" s="512"/>
      <c r="O14" s="514"/>
      <c r="P14" s="515"/>
      <c r="Q14" s="515"/>
      <c r="R14" s="515"/>
      <c r="S14" s="515"/>
      <c r="T14" s="515"/>
      <c r="U14" s="515"/>
      <c r="V14" s="515"/>
      <c r="W14" s="516"/>
      <c r="X14" s="532"/>
      <c r="Y14" s="532"/>
      <c r="Z14" s="532"/>
      <c r="AA14" s="532"/>
      <c r="AB14" s="529">
        <f t="shared" si="5"/>
        <v>0</v>
      </c>
      <c r="AC14" s="547"/>
      <c r="AD14" s="532"/>
      <c r="AE14" s="532"/>
      <c r="AF14" s="532"/>
      <c r="AG14" s="532"/>
      <c r="AH14" s="532"/>
      <c r="AI14" s="532"/>
      <c r="AJ14" s="532"/>
      <c r="AK14" s="531">
        <f t="shared" si="14"/>
        <v>0</v>
      </c>
      <c r="AL14" s="532"/>
      <c r="AM14" s="532"/>
      <c r="AN14" s="532"/>
      <c r="AO14" s="515"/>
      <c r="AP14" s="532">
        <v>296.10000000000002</v>
      </c>
      <c r="AQ14" s="532">
        <v>634.52</v>
      </c>
      <c r="AR14" s="532">
        <v>632.27</v>
      </c>
      <c r="AS14" s="532">
        <f>479.44+233.93</f>
        <v>713.37</v>
      </c>
      <c r="AT14" s="542">
        <v>701.8</v>
      </c>
      <c r="AU14" s="515"/>
      <c r="AV14" s="515"/>
      <c r="AW14" s="515"/>
      <c r="AX14" s="519">
        <f t="shared" si="6"/>
        <v>2978.0599999999995</v>
      </c>
      <c r="AY14" s="542"/>
      <c r="AZ14" s="515"/>
      <c r="BA14" s="515"/>
      <c r="BB14" s="515"/>
      <c r="BC14" s="515"/>
      <c r="BD14" s="515"/>
      <c r="BE14" s="515"/>
      <c r="BF14" s="515"/>
      <c r="BG14" s="515"/>
      <c r="BH14" s="516"/>
      <c r="BI14" s="515"/>
      <c r="BJ14" s="520"/>
      <c r="BK14" s="519">
        <f t="shared" si="15"/>
        <v>0</v>
      </c>
      <c r="BL14" s="521"/>
      <c r="BM14" s="522"/>
      <c r="BN14" s="522"/>
      <c r="BO14" s="522"/>
      <c r="BP14" s="522"/>
      <c r="BQ14" s="523"/>
      <c r="BR14" s="522"/>
      <c r="BS14" s="522"/>
      <c r="BT14" s="522"/>
      <c r="BU14" s="522"/>
      <c r="BV14" s="522"/>
      <c r="BW14" s="524"/>
      <c r="BX14" s="519">
        <f t="shared" si="7"/>
        <v>0</v>
      </c>
      <c r="BY14" s="544">
        <v>1313.4</v>
      </c>
      <c r="BZ14" s="544">
        <v>1313.4</v>
      </c>
      <c r="CA14" s="544">
        <v>1313.4</v>
      </c>
      <c r="CB14" s="544">
        <v>1313.4</v>
      </c>
      <c r="CC14" s="544">
        <v>1323.6</v>
      </c>
      <c r="CD14" s="534">
        <v>1327.2</v>
      </c>
      <c r="CE14" s="534">
        <v>1327.2</v>
      </c>
      <c r="CF14" s="544">
        <v>1327.2</v>
      </c>
      <c r="CG14" s="544">
        <v>1327.2</v>
      </c>
      <c r="CH14" s="544">
        <v>1327.2</v>
      </c>
      <c r="CI14" s="534">
        <v>1327.2</v>
      </c>
      <c r="CJ14" s="534">
        <v>1327.2</v>
      </c>
      <c r="CK14" s="519">
        <f t="shared" si="10"/>
        <v>15867.600000000004</v>
      </c>
      <c r="CL14" s="615">
        <v>1327.2</v>
      </c>
      <c r="CM14" s="544">
        <v>1327.2</v>
      </c>
      <c r="CN14" s="534">
        <v>1327.2</v>
      </c>
      <c r="CO14" s="544">
        <v>1327.2</v>
      </c>
      <c r="CP14" s="544">
        <f>1326.75+50.53</f>
        <v>1377.28</v>
      </c>
      <c r="CQ14" s="534">
        <v>1377.28</v>
      </c>
      <c r="CR14" s="544">
        <v>1377.28</v>
      </c>
      <c r="CS14" s="544">
        <v>1377.28</v>
      </c>
      <c r="CT14" s="544">
        <v>1377.28</v>
      </c>
      <c r="CU14" s="544">
        <v>1377.28</v>
      </c>
      <c r="CV14" s="544">
        <v>1377.28</v>
      </c>
      <c r="CW14" s="544">
        <v>1377.28</v>
      </c>
      <c r="CX14" s="528">
        <f t="shared" si="11"/>
        <v>16327.040000000003</v>
      </c>
      <c r="CY14" s="544">
        <v>1377.28</v>
      </c>
      <c r="CZ14" s="544">
        <v>1377.28</v>
      </c>
      <c r="DA14" s="544">
        <v>1377.28</v>
      </c>
      <c r="DB14" s="534">
        <v>1377.28</v>
      </c>
      <c r="DC14" s="544">
        <v>1377.96</v>
      </c>
      <c r="DD14" s="544">
        <v>1376.96</v>
      </c>
      <c r="DE14" s="544">
        <v>1376.96</v>
      </c>
      <c r="DF14" s="544">
        <f>1640.21+1141.6</f>
        <v>2781.81</v>
      </c>
      <c r="DG14" s="544">
        <v>1617.5</v>
      </c>
      <c r="DH14" s="536">
        <v>1640.21</v>
      </c>
      <c r="DI14" s="536">
        <v>1640.21</v>
      </c>
      <c r="DJ14" s="536">
        <v>1640.21</v>
      </c>
      <c r="DK14" s="528">
        <f t="shared" si="8"/>
        <v>18960.939999999999</v>
      </c>
      <c r="DL14" s="536">
        <v>1640.21</v>
      </c>
      <c r="DM14" s="536">
        <v>1640.21</v>
      </c>
      <c r="DN14" s="536">
        <v>1640.21</v>
      </c>
      <c r="DO14" s="536">
        <v>1640.21</v>
      </c>
      <c r="DP14" s="536">
        <v>1640.21</v>
      </c>
      <c r="DQ14" s="536">
        <v>1640.21</v>
      </c>
      <c r="DR14" s="536">
        <v>1640.21</v>
      </c>
      <c r="DS14" s="536">
        <v>1640.21</v>
      </c>
      <c r="DT14" s="536">
        <v>1640.21</v>
      </c>
      <c r="DU14" s="536">
        <v>1640.21</v>
      </c>
      <c r="DV14" s="536">
        <v>1640.21</v>
      </c>
      <c r="DW14" s="536">
        <v>1640.21</v>
      </c>
      <c r="DX14" s="519">
        <f t="shared" si="9"/>
        <v>19682.519999999993</v>
      </c>
    </row>
    <row r="15" spans="2:128" ht="15">
      <c r="B15" s="480" t="s">
        <v>190</v>
      </c>
      <c r="C15" s="512"/>
      <c r="D15" s="512"/>
      <c r="E15" s="512"/>
      <c r="F15" s="513"/>
      <c r="G15" s="513"/>
      <c r="H15" s="513"/>
      <c r="I15" s="513"/>
      <c r="J15" s="513"/>
      <c r="K15" s="513"/>
      <c r="L15" s="513"/>
      <c r="M15" s="512"/>
      <c r="N15" s="512"/>
      <c r="O15" s="514">
        <f t="shared" si="4"/>
        <v>0</v>
      </c>
      <c r="P15" s="515"/>
      <c r="Q15" s="515"/>
      <c r="R15" s="515"/>
      <c r="S15" s="515"/>
      <c r="T15" s="515"/>
      <c r="U15" s="515">
        <v>0</v>
      </c>
      <c r="V15" s="515"/>
      <c r="W15" s="516"/>
      <c r="X15" s="532"/>
      <c r="Y15" s="532"/>
      <c r="Z15" s="532">
        <f>128.61</f>
        <v>128.61000000000001</v>
      </c>
      <c r="AA15" s="532">
        <f>748.03</f>
        <v>748.03</v>
      </c>
      <c r="AB15" s="529">
        <f t="shared" si="5"/>
        <v>876.64</v>
      </c>
      <c r="AC15" s="547">
        <f>748.03</f>
        <v>748.03</v>
      </c>
      <c r="AD15" s="532">
        <f>736.28</f>
        <v>736.28</v>
      </c>
      <c r="AE15" s="532">
        <f>736.28</f>
        <v>736.28</v>
      </c>
      <c r="AF15" s="532">
        <f>736.28</f>
        <v>736.28</v>
      </c>
      <c r="AG15" s="532">
        <f>736.28</f>
        <v>736.28</v>
      </c>
      <c r="AH15" s="532">
        <f>736.28+11.75</f>
        <v>748.03</v>
      </c>
      <c r="AI15" s="532">
        <f>736.28+11.75</f>
        <v>748.03</v>
      </c>
      <c r="AJ15" s="532">
        <f>736.28+11.75</f>
        <v>748.03</v>
      </c>
      <c r="AK15" s="531">
        <f t="shared" si="14"/>
        <v>5937.2399999999989</v>
      </c>
      <c r="AL15" s="532">
        <f>736.28+11.75</f>
        <v>748.03</v>
      </c>
      <c r="AM15" s="532">
        <f>736.28+11.75</f>
        <v>748.03</v>
      </c>
      <c r="AN15" s="542">
        <f>1673.52-582.75</f>
        <v>1090.77</v>
      </c>
      <c r="AO15" s="542">
        <f>1673.52-582.75</f>
        <v>1090.77</v>
      </c>
      <c r="AP15" s="522"/>
      <c r="AQ15" s="522"/>
      <c r="AR15" s="542">
        <f>1331.99+741.57+1239.97</f>
        <v>3313.5299999999997</v>
      </c>
      <c r="AS15" s="542">
        <f>-720.06</f>
        <v>-720.06</v>
      </c>
      <c r="AT15" s="522"/>
      <c r="AU15" s="522"/>
      <c r="AV15" s="522"/>
      <c r="AW15" s="542">
        <f>1254.09+1031.7+660.55+611.93+611.93</f>
        <v>4170.2</v>
      </c>
      <c r="AX15" s="519">
        <f t="shared" si="6"/>
        <v>10441.27</v>
      </c>
      <c r="AY15" s="542"/>
      <c r="AZ15" s="522"/>
      <c r="BA15" s="522"/>
      <c r="BB15" s="542">
        <f>880.42+962.17+951.05</f>
        <v>2793.64</v>
      </c>
      <c r="BC15" s="541"/>
      <c r="BD15" s="542">
        <f>951.31+951.05</f>
        <v>1902.36</v>
      </c>
      <c r="BE15" s="541"/>
      <c r="BF15" s="541"/>
      <c r="BG15" s="542">
        <f>979.54+956.72+956.72+956.72</f>
        <v>3849.7</v>
      </c>
      <c r="BH15" s="553"/>
      <c r="BI15" s="541"/>
      <c r="BJ15" s="542">
        <f>956.72+956.72+956.72</f>
        <v>2870.16</v>
      </c>
      <c r="BK15" s="519">
        <f>SUM(AY15:BJ15)</f>
        <v>11415.86</v>
      </c>
      <c r="BL15" s="541"/>
      <c r="BM15" s="541"/>
      <c r="BN15" s="542">
        <f>956.72+956.72</f>
        <v>1913.44</v>
      </c>
      <c r="BO15" s="542">
        <f>956.72+956.72</f>
        <v>1913.44</v>
      </c>
      <c r="BP15" s="541"/>
      <c r="BQ15" s="556">
        <f>956.73+1018.43</f>
        <v>1975.1599999999999</v>
      </c>
      <c r="BR15" s="541"/>
      <c r="BS15" s="541"/>
      <c r="BT15" s="541"/>
      <c r="BU15" s="541"/>
      <c r="BV15" s="542">
        <f>1018.43+1018.43+1225.27+1213.49</f>
        <v>4475.62</v>
      </c>
      <c r="BW15" s="542">
        <f>1213.49+1213.49</f>
        <v>2426.98</v>
      </c>
      <c r="BX15" s="519">
        <f t="shared" si="7"/>
        <v>12704.64</v>
      </c>
      <c r="BY15" s="544">
        <f>1015.02+1131.54</f>
        <v>2146.56</v>
      </c>
      <c r="BZ15" s="544">
        <f>1131.54+1015.02</f>
        <v>2146.56</v>
      </c>
      <c r="CA15" s="544">
        <f>15.13+26.97+(1131.54+673.7)</f>
        <v>1847.34</v>
      </c>
      <c r="CB15" s="544">
        <f>1131.54+696.96-23.27</f>
        <v>1805.23</v>
      </c>
      <c r="CC15" s="544">
        <f>1131.54+1022.83-349.13</f>
        <v>1805.2399999999998</v>
      </c>
      <c r="CD15" s="544">
        <f>2209.93-377.24</f>
        <v>1832.6899999999998</v>
      </c>
      <c r="CE15" s="544">
        <f>3469.41-377.24</f>
        <v>3092.17</v>
      </c>
      <c r="CF15" s="544">
        <f>3603.38-352.08</f>
        <v>3251.3</v>
      </c>
      <c r="CG15" s="544">
        <f>3727.21</f>
        <v>3727.21</v>
      </c>
      <c r="CH15" s="544">
        <v>2485.9299999999998</v>
      </c>
      <c r="CI15" s="544">
        <f>1151.22+698.18</f>
        <v>1849.4</v>
      </c>
      <c r="CJ15" s="544">
        <f>1151.22+698.18</f>
        <v>1849.4</v>
      </c>
      <c r="CK15" s="519">
        <f t="shared" si="10"/>
        <v>27839.030000000002</v>
      </c>
      <c r="CL15" s="615">
        <f>1151.22+698.18</f>
        <v>1849.4</v>
      </c>
      <c r="CM15" s="544">
        <v>1849.39</v>
      </c>
      <c r="CN15" s="544">
        <f>1151.22+698.18</f>
        <v>1849.4</v>
      </c>
      <c r="CO15" s="544">
        <f>1615.55+1151.22</f>
        <v>2766.77</v>
      </c>
      <c r="CP15" s="544">
        <f>1725.54+1151.22+8.33</f>
        <v>2885.09</v>
      </c>
      <c r="CQ15" s="544">
        <f>1229.15+945.13</f>
        <v>2174.2800000000002</v>
      </c>
      <c r="CR15" s="544">
        <f>1229.15+736.63</f>
        <v>1965.7800000000002</v>
      </c>
      <c r="CS15" s="544">
        <f>1965.76</f>
        <v>1965.76</v>
      </c>
      <c r="CT15" s="544">
        <f>736.63+1229.15</f>
        <v>1965.7800000000002</v>
      </c>
      <c r="CU15" s="544">
        <f>736.67+1229.15</f>
        <v>1965.8200000000002</v>
      </c>
      <c r="CV15" s="544">
        <f>1547.59+736.67</f>
        <v>2284.2599999999998</v>
      </c>
      <c r="CW15" s="544">
        <f>1229.15+736.67</f>
        <v>1965.8200000000002</v>
      </c>
      <c r="CX15" s="528">
        <f t="shared" si="11"/>
        <v>25487.55</v>
      </c>
      <c r="CY15" s="544">
        <f>1229.15+736.67</f>
        <v>1965.8200000000002</v>
      </c>
      <c r="CZ15" s="544">
        <f>1229.15+736.67</f>
        <v>1965.8200000000002</v>
      </c>
      <c r="DA15" s="544">
        <f>1229.15+736.67</f>
        <v>1965.8200000000002</v>
      </c>
      <c r="DB15" s="544">
        <f>1229.15+736.67</f>
        <v>1965.8200000000002</v>
      </c>
      <c r="DC15" s="544">
        <f>1229.15+736.67+13.4-13.4</f>
        <v>1965.8200000000002</v>
      </c>
      <c r="DD15" s="544">
        <f>1993.21+2587.08</f>
        <v>4580.29</v>
      </c>
      <c r="DE15" s="544">
        <f>1232.25+760.96</f>
        <v>1993.21</v>
      </c>
      <c r="DF15" s="544">
        <f>1232.25+760.96</f>
        <v>1993.21</v>
      </c>
      <c r="DG15" s="544">
        <v>3026.7</v>
      </c>
      <c r="DH15" s="572">
        <v>2251.58</v>
      </c>
      <c r="DI15" s="536">
        <v>1805</v>
      </c>
      <c r="DJ15" s="536">
        <v>1805</v>
      </c>
      <c r="DK15" s="528">
        <f t="shared" si="8"/>
        <v>27284.089999999997</v>
      </c>
      <c r="DL15" s="546">
        <v>1805</v>
      </c>
      <c r="DM15" s="546">
        <v>1805</v>
      </c>
      <c r="DN15" s="546">
        <v>1805</v>
      </c>
      <c r="DO15" s="546">
        <v>1805</v>
      </c>
      <c r="DP15" s="546">
        <v>1805</v>
      </c>
      <c r="DQ15" s="546">
        <v>1805</v>
      </c>
      <c r="DR15" s="546">
        <v>1805</v>
      </c>
      <c r="DS15" s="546">
        <v>1805</v>
      </c>
      <c r="DT15" s="546">
        <v>1805</v>
      </c>
      <c r="DU15" s="546">
        <v>1805</v>
      </c>
      <c r="DV15" s="546">
        <v>1805</v>
      </c>
      <c r="DW15" s="546">
        <v>1805</v>
      </c>
      <c r="DX15" s="519">
        <f t="shared" si="9"/>
        <v>21660</v>
      </c>
    </row>
    <row r="16" spans="2:128" ht="15">
      <c r="B16" s="480" t="s">
        <v>360</v>
      </c>
      <c r="C16" s="512">
        <v>104.35</v>
      </c>
      <c r="D16" s="512">
        <v>102.85</v>
      </c>
      <c r="E16" s="512">
        <v>102.85</v>
      </c>
      <c r="F16" s="513">
        <f t="shared" ref="F16:L16" si="16">E16</f>
        <v>102.85</v>
      </c>
      <c r="G16" s="513">
        <f t="shared" si="16"/>
        <v>102.85</v>
      </c>
      <c r="H16" s="513">
        <f t="shared" si="16"/>
        <v>102.85</v>
      </c>
      <c r="I16" s="513">
        <f t="shared" si="16"/>
        <v>102.85</v>
      </c>
      <c r="J16" s="513">
        <f t="shared" si="16"/>
        <v>102.85</v>
      </c>
      <c r="K16" s="513">
        <f t="shared" si="16"/>
        <v>102.85</v>
      </c>
      <c r="L16" s="513">
        <f t="shared" si="16"/>
        <v>102.85</v>
      </c>
      <c r="M16" s="512">
        <v>102.85</v>
      </c>
      <c r="N16" s="512">
        <f>102.85+102.85</f>
        <v>205.7</v>
      </c>
      <c r="O16" s="514">
        <f t="shared" si="4"/>
        <v>1338.55</v>
      </c>
      <c r="P16" s="515"/>
      <c r="Q16" s="515">
        <v>104.6</v>
      </c>
      <c r="R16" s="515">
        <v>104.6</v>
      </c>
      <c r="S16" s="515">
        <f>254.91+104.6+45.79</f>
        <v>405.3</v>
      </c>
      <c r="T16" s="515">
        <v>182.31</v>
      </c>
      <c r="U16" s="515">
        <v>182.31</v>
      </c>
      <c r="V16" s="515">
        <v>224.66</v>
      </c>
      <c r="W16" s="516">
        <f>363+224.66</f>
        <v>587.66</v>
      </c>
      <c r="X16" s="532">
        <f>185.67*1.21+29.04</f>
        <v>253.70069999999998</v>
      </c>
      <c r="Y16" s="532">
        <f>185.67*1.21+200*1.21</f>
        <v>466.66070000000002</v>
      </c>
      <c r="Z16" s="532">
        <f>199.67*1.21+600*1.21+2504.7</f>
        <v>3472.3006999999998</v>
      </c>
      <c r="AA16" s="532">
        <f>199.67*1.21</f>
        <v>241.60069999999999</v>
      </c>
      <c r="AB16" s="529">
        <f t="shared" si="5"/>
        <v>6225.7028</v>
      </c>
      <c r="AC16" s="547">
        <f>199.67*1.21</f>
        <v>241.60069999999999</v>
      </c>
      <c r="AD16" s="532">
        <f>(199.67*1.21+104.16)+600*1.21+480*1.21</f>
        <v>1652.5607</v>
      </c>
      <c r="AE16" s="532">
        <f>(199.67+100)*1.21</f>
        <v>362.60069999999996</v>
      </c>
      <c r="AF16" s="557">
        <f>199.67*1.21+1579*1.21/2</f>
        <v>1196.8957</v>
      </c>
      <c r="AG16" s="532">
        <f>(199.67+6.58)*1.21+600*1.21</f>
        <v>975.5625</v>
      </c>
      <c r="AH16" s="532">
        <f t="shared" ref="AH16" si="17">199.67*1.21</f>
        <v>241.60069999999999</v>
      </c>
      <c r="AI16" s="532">
        <f>199.67*1.21+50*1.21</f>
        <v>302.10069999999996</v>
      </c>
      <c r="AJ16" s="558">
        <f>(199.67+9.56)*1.21+600*1.21</f>
        <v>979.16830000000004</v>
      </c>
      <c r="AK16" s="531">
        <f t="shared" si="14"/>
        <v>5952.09</v>
      </c>
      <c r="AL16" s="532">
        <f>199.67*1.21</f>
        <v>241.60069999999999</v>
      </c>
      <c r="AM16" s="532">
        <f>199.67*1.21+48.97</f>
        <v>290.57069999999999</v>
      </c>
      <c r="AN16" s="532">
        <f>213.67*1.21</f>
        <v>258.54069999999996</v>
      </c>
      <c r="AO16" s="532">
        <f>213.67*1.21</f>
        <v>258.54069999999996</v>
      </c>
      <c r="AP16" s="541"/>
      <c r="AQ16" s="542">
        <f>(313.67+313.67+300)*1.21+29.04</f>
        <v>1151.1214</v>
      </c>
      <c r="AR16" s="542">
        <f>313.67*1.21+104.16</f>
        <v>483.70069999999998</v>
      </c>
      <c r="AS16" s="542">
        <f>313.67*1.21</f>
        <v>379.54070000000002</v>
      </c>
      <c r="AT16" s="542">
        <f>313.67*1.21</f>
        <v>379.54070000000002</v>
      </c>
      <c r="AU16" s="542">
        <v>379.54</v>
      </c>
      <c r="AV16" s="542">
        <v>430.54</v>
      </c>
      <c r="AW16" s="542">
        <f>386.78-1576.4+102.85+102.85+248.05+102.85</f>
        <v>-633.0200000000001</v>
      </c>
      <c r="AX16" s="519">
        <f t="shared" si="6"/>
        <v>3620.2163000000005</v>
      </c>
      <c r="AY16" s="542">
        <v>379.54</v>
      </c>
      <c r="AZ16" s="542">
        <f>379.54+270.23</f>
        <v>649.77</v>
      </c>
      <c r="BA16" s="542">
        <v>649.77</v>
      </c>
      <c r="BB16" s="516"/>
      <c r="BC16" s="516"/>
      <c r="BD16" s="542">
        <f>(150+252+15+20)*1.21*3</f>
        <v>1586.31</v>
      </c>
      <c r="BE16" s="542">
        <f>437*1.21-121*2+67.86+8.73</f>
        <v>363.36</v>
      </c>
      <c r="BF16" s="542">
        <f>437*1.21</f>
        <v>528.77</v>
      </c>
      <c r="BG16" s="542">
        <f>437*1.21+57.91</f>
        <v>586.67999999999995</v>
      </c>
      <c r="BH16" s="542">
        <f>437*1.21</f>
        <v>528.77</v>
      </c>
      <c r="BI16" s="542">
        <f>(437+300+27.95)*1.21</f>
        <v>925.58950000000004</v>
      </c>
      <c r="BJ16" s="542">
        <f>(437+100)*1.21</f>
        <v>649.77</v>
      </c>
      <c r="BK16" s="519">
        <f t="shared" si="15"/>
        <v>6848.3295000000016</v>
      </c>
      <c r="BL16" s="548">
        <f>437*1.21</f>
        <v>528.77</v>
      </c>
      <c r="BM16" s="542">
        <f>437*1.21</f>
        <v>528.77</v>
      </c>
      <c r="BN16" s="542">
        <f>437*1.21</f>
        <v>528.77</v>
      </c>
      <c r="BO16" s="542">
        <f>437*1.21</f>
        <v>528.77</v>
      </c>
      <c r="BP16" s="542">
        <f>437*1.21+29.04</f>
        <v>557.80999999999995</v>
      </c>
      <c r="BQ16" s="556">
        <f>(437+30)*1.21+67.86</f>
        <v>632.92999999999995</v>
      </c>
      <c r="BR16" s="542">
        <f>461.91*1.21</f>
        <v>558.91110000000003</v>
      </c>
      <c r="BS16" s="542">
        <f>461.91*1.21</f>
        <v>558.91110000000003</v>
      </c>
      <c r="BT16" s="542">
        <f>(461.91+14.99)*1.21+60.09</f>
        <v>637.13900000000001</v>
      </c>
      <c r="BU16" s="542">
        <f>(461.91+27.95)*1.21</f>
        <v>592.73059999999998</v>
      </c>
      <c r="BV16" s="542">
        <f>(461.91+200)*1.21</f>
        <v>800.91110000000003</v>
      </c>
      <c r="BW16" s="542">
        <f>461.91*1.21+199.8</f>
        <v>758.71109999999999</v>
      </c>
      <c r="BX16" s="519">
        <f t="shared" si="7"/>
        <v>7213.134</v>
      </c>
      <c r="BY16" s="544">
        <f>(461.91+27.95)*1.21</f>
        <v>592.73059999999998</v>
      </c>
      <c r="BZ16" s="544">
        <v>558.91</v>
      </c>
      <c r="CA16" s="544">
        <v>558.91</v>
      </c>
      <c r="CB16" s="544">
        <v>558.91</v>
      </c>
      <c r="CC16" s="544">
        <v>558.91</v>
      </c>
      <c r="CD16" s="544">
        <v>595.21</v>
      </c>
      <c r="CE16" s="544">
        <v>644.11</v>
      </c>
      <c r="CF16" s="544">
        <v>576.25</v>
      </c>
      <c r="CG16" s="544">
        <v>576.25</v>
      </c>
      <c r="CH16" s="544">
        <v>576.25</v>
      </c>
      <c r="CI16" s="544">
        <f>576.25+1302.25</f>
        <v>1878.5</v>
      </c>
      <c r="CJ16" s="533"/>
      <c r="CK16" s="519">
        <f t="shared" si="10"/>
        <v>7674.9405999999999</v>
      </c>
      <c r="CL16" s="615">
        <f>576.25</f>
        <v>576.25</v>
      </c>
      <c r="CM16" s="542">
        <f>576.25+(2.6*1.21+68.5)</f>
        <v>647.89599999999996</v>
      </c>
      <c r="CN16" s="544">
        <f>576.25</f>
        <v>576.25</v>
      </c>
      <c r="CO16" s="542">
        <f>476.24*1.21+29.04</f>
        <v>605.29039999999998</v>
      </c>
      <c r="CP16" s="544">
        <f>576.25+(1452/2)+1452/2</f>
        <v>2028.25</v>
      </c>
      <c r="CQ16" s="544">
        <f>576.25</f>
        <v>576.25</v>
      </c>
      <c r="CR16" s="544">
        <f>592.37+(300*1.21+67.86)</f>
        <v>1023.23</v>
      </c>
      <c r="CS16" s="544">
        <f>592.37</f>
        <v>592.37</v>
      </c>
      <c r="CT16" s="544">
        <f>592.37+450*1.21+90</f>
        <v>1226.8699999999999</v>
      </c>
      <c r="CU16" s="544">
        <f>592.37</f>
        <v>592.37</v>
      </c>
      <c r="CV16" s="544">
        <f>592.37</f>
        <v>592.37</v>
      </c>
      <c r="CW16" s="544">
        <f>592.37+544.5+29.04+70</f>
        <v>1235.9099999999999</v>
      </c>
      <c r="CX16" s="528">
        <f t="shared" si="11"/>
        <v>10273.306400000001</v>
      </c>
      <c r="CY16" s="544">
        <f>592.37</f>
        <v>592.37</v>
      </c>
      <c r="CZ16" s="544">
        <f>592.37+(592.37+2.6*1.21+60.01)</f>
        <v>1247.896</v>
      </c>
      <c r="DA16" s="533"/>
      <c r="DB16" s="544">
        <f>592.37+592.37</f>
        <v>1184.74</v>
      </c>
      <c r="DC16" s="533"/>
      <c r="DD16" s="544">
        <f>652.87</f>
        <v>652.87</v>
      </c>
      <c r="DE16" s="544">
        <f>710.15+787.49</f>
        <v>1497.6399999999999</v>
      </c>
      <c r="DF16" s="533"/>
      <c r="DG16" s="544">
        <f>726.99</f>
        <v>726.99</v>
      </c>
      <c r="DH16" s="536">
        <v>558.91</v>
      </c>
      <c r="DI16" s="536">
        <v>558.91</v>
      </c>
      <c r="DJ16" s="536">
        <v>558.91</v>
      </c>
      <c r="DK16" s="528">
        <f t="shared" si="8"/>
        <v>7579.235999999999</v>
      </c>
      <c r="DL16" s="546">
        <v>558.91</v>
      </c>
      <c r="DM16" s="546">
        <v>558.91</v>
      </c>
      <c r="DN16" s="546">
        <v>558.91</v>
      </c>
      <c r="DO16" s="546">
        <v>558.91</v>
      </c>
      <c r="DP16" s="546">
        <v>558.91</v>
      </c>
      <c r="DQ16" s="546">
        <v>558.91</v>
      </c>
      <c r="DR16" s="546">
        <v>558.91</v>
      </c>
      <c r="DS16" s="546">
        <v>558.91</v>
      </c>
      <c r="DT16" s="546">
        <v>558.91</v>
      </c>
      <c r="DU16" s="546">
        <v>558.91</v>
      </c>
      <c r="DV16" s="546">
        <v>558.91</v>
      </c>
      <c r="DW16" s="546">
        <v>558.91</v>
      </c>
      <c r="DX16" s="519">
        <f t="shared" si="9"/>
        <v>6706.9199999999992</v>
      </c>
    </row>
    <row r="17" spans="2:128" ht="15">
      <c r="B17" s="480" t="s">
        <v>361</v>
      </c>
      <c r="C17" s="512"/>
      <c r="D17" s="512"/>
      <c r="E17" s="512"/>
      <c r="F17" s="513"/>
      <c r="G17" s="513"/>
      <c r="H17" s="513"/>
      <c r="I17" s="513"/>
      <c r="J17" s="513"/>
      <c r="K17" s="513"/>
      <c r="L17" s="513"/>
      <c r="M17" s="512"/>
      <c r="N17" s="512"/>
      <c r="O17" s="514"/>
      <c r="P17" s="515"/>
      <c r="Q17" s="515"/>
      <c r="R17" s="515"/>
      <c r="S17" s="515"/>
      <c r="T17" s="515"/>
      <c r="U17" s="515"/>
      <c r="V17" s="515"/>
      <c r="W17" s="516"/>
      <c r="X17" s="532"/>
      <c r="Y17" s="532"/>
      <c r="Z17" s="532"/>
      <c r="AA17" s="532"/>
      <c r="AB17" s="529">
        <f t="shared" si="5"/>
        <v>0</v>
      </c>
      <c r="AC17" s="547"/>
      <c r="AD17" s="532"/>
      <c r="AE17" s="532"/>
      <c r="AF17" s="532"/>
      <c r="AG17" s="532"/>
      <c r="AH17" s="532"/>
      <c r="AI17" s="532"/>
      <c r="AJ17" s="532"/>
      <c r="AK17" s="531">
        <f t="shared" si="14"/>
        <v>0</v>
      </c>
      <c r="AL17" s="532"/>
      <c r="AM17" s="532"/>
      <c r="AN17" s="532"/>
      <c r="AO17" s="532"/>
      <c r="AP17" s="522"/>
      <c r="AQ17" s="522"/>
      <c r="AR17" s="522"/>
      <c r="AS17" s="522"/>
      <c r="AT17" s="516"/>
      <c r="AU17" s="516"/>
      <c r="AV17" s="516"/>
      <c r="AW17" s="515"/>
      <c r="AX17" s="519">
        <f t="shared" si="6"/>
        <v>0</v>
      </c>
      <c r="AY17" s="542"/>
      <c r="AZ17" s="515"/>
      <c r="BA17" s="515"/>
      <c r="BB17" s="515"/>
      <c r="BC17" s="515"/>
      <c r="BD17" s="515"/>
      <c r="BE17" s="516"/>
      <c r="BF17" s="516"/>
      <c r="BG17" s="516"/>
      <c r="BH17" s="516"/>
      <c r="BI17" s="516"/>
      <c r="BJ17" s="559"/>
      <c r="BK17" s="519">
        <f t="shared" si="15"/>
        <v>0</v>
      </c>
      <c r="BL17" s="521"/>
      <c r="BM17" s="522"/>
      <c r="BN17" s="522"/>
      <c r="BO17" s="522"/>
      <c r="BP17" s="522"/>
      <c r="BQ17" s="523"/>
      <c r="BR17" s="522"/>
      <c r="BS17" s="522"/>
      <c r="BT17" s="522"/>
      <c r="BU17" s="522"/>
      <c r="BV17" s="522"/>
      <c r="BW17" s="524"/>
      <c r="BX17" s="519">
        <f t="shared" si="7"/>
        <v>0</v>
      </c>
      <c r="BY17" s="525"/>
      <c r="BZ17" s="525"/>
      <c r="CA17" s="525"/>
      <c r="CB17" s="525"/>
      <c r="CC17" s="525"/>
      <c r="CD17" s="525"/>
      <c r="CE17" s="525"/>
      <c r="CF17" s="525"/>
      <c r="CG17" s="525"/>
      <c r="CH17" s="525"/>
      <c r="CI17" s="525"/>
      <c r="CJ17" s="525"/>
      <c r="CK17" s="519">
        <f t="shared" si="10"/>
        <v>0</v>
      </c>
      <c r="CL17" s="526"/>
      <c r="CM17" s="525"/>
      <c r="CN17" s="525"/>
      <c r="CO17" s="525"/>
      <c r="CP17" s="525"/>
      <c r="CQ17" s="525"/>
      <c r="CR17" s="525"/>
      <c r="CS17" s="525"/>
      <c r="CT17" s="525"/>
      <c r="CU17" s="525"/>
      <c r="CV17" s="525"/>
      <c r="CW17" s="525"/>
      <c r="CX17" s="528">
        <f t="shared" si="11"/>
        <v>0</v>
      </c>
      <c r="CY17" s="541"/>
      <c r="CZ17" s="541"/>
      <c r="DA17" s="541"/>
      <c r="DB17" s="541"/>
      <c r="DC17" s="541"/>
      <c r="DD17" s="541"/>
      <c r="DE17" s="541"/>
      <c r="DF17" s="541"/>
      <c r="DG17" s="560"/>
      <c r="DK17" s="528">
        <f t="shared" si="8"/>
        <v>0</v>
      </c>
      <c r="DX17" s="519">
        <f t="shared" si="9"/>
        <v>0</v>
      </c>
    </row>
    <row r="18" spans="2:128" ht="15">
      <c r="B18" s="480" t="s">
        <v>46</v>
      </c>
      <c r="C18" s="512"/>
      <c r="D18" s="512">
        <f>72.6+14520</f>
        <v>14592.6</v>
      </c>
      <c r="E18" s="512">
        <v>302.5</v>
      </c>
      <c r="F18" s="513"/>
      <c r="G18" s="513">
        <v>500</v>
      </c>
      <c r="H18" s="513"/>
      <c r="I18" s="513"/>
      <c r="J18" s="513"/>
      <c r="K18" s="513"/>
      <c r="L18" s="513"/>
      <c r="M18" s="512"/>
      <c r="N18" s="512"/>
      <c r="O18" s="514">
        <f t="shared" si="4"/>
        <v>15395.1</v>
      </c>
      <c r="P18" s="515"/>
      <c r="Q18" s="515">
        <f>423.5+181.5+423.5</f>
        <v>1028.5</v>
      </c>
      <c r="R18" s="515">
        <v>303</v>
      </c>
      <c r="S18" s="515">
        <v>75</v>
      </c>
      <c r="T18" s="515">
        <f>302.5+8470</f>
        <v>8772.5</v>
      </c>
      <c r="U18" s="515"/>
      <c r="V18" s="515">
        <v>181.5</v>
      </c>
      <c r="W18" s="516"/>
      <c r="X18" s="515"/>
      <c r="Y18" s="515"/>
      <c r="Z18" s="515"/>
      <c r="AA18" s="532">
        <v>363</v>
      </c>
      <c r="AB18" s="529">
        <f t="shared" si="5"/>
        <v>10723.5</v>
      </c>
      <c r="AC18" s="518"/>
      <c r="AD18" s="515"/>
      <c r="AE18" s="515"/>
      <c r="AF18" s="532">
        <f>377.12+376.34</f>
        <v>753.46</v>
      </c>
      <c r="AG18" s="532">
        <f>181.5+302.5+363</f>
        <v>847</v>
      </c>
      <c r="AH18" s="532">
        <v>363</v>
      </c>
      <c r="AI18" s="515"/>
      <c r="AJ18" s="515"/>
      <c r="AK18" s="531">
        <f t="shared" si="14"/>
        <v>1963.46</v>
      </c>
      <c r="AL18" s="532"/>
      <c r="AM18" s="532">
        <v>15.75</v>
      </c>
      <c r="AN18" s="532">
        <v>1644</v>
      </c>
      <c r="AO18" s="532">
        <f>3519.57*1.21+3500*1.21</f>
        <v>8493.6797000000006</v>
      </c>
      <c r="AP18" s="515"/>
      <c r="AQ18" s="532">
        <f>895.42*1.21+(594.34+250+647.74-1644)+700+525</f>
        <v>2156.5382</v>
      </c>
      <c r="AR18" s="541"/>
      <c r="AS18" s="516"/>
      <c r="AT18" s="541"/>
      <c r="AU18" s="542">
        <f>810.4</f>
        <v>810.4</v>
      </c>
      <c r="AV18" s="542">
        <v>229.9</v>
      </c>
      <c r="AW18" s="532">
        <v>484</v>
      </c>
      <c r="AX18" s="519">
        <f t="shared" si="6"/>
        <v>13834.267899999999</v>
      </c>
      <c r="AY18" s="542"/>
      <c r="AZ18" s="541"/>
      <c r="BA18" s="541"/>
      <c r="BB18" s="560">
        <f>241.88+363</f>
        <v>604.88</v>
      </c>
      <c r="BC18" s="561">
        <v>302.5</v>
      </c>
      <c r="BD18" s="522"/>
      <c r="BE18" s="541"/>
      <c r="BF18" s="561">
        <v>242</v>
      </c>
      <c r="BG18" s="561">
        <v>605</v>
      </c>
      <c r="BH18" s="553"/>
      <c r="BI18" s="562"/>
      <c r="BJ18" s="522"/>
      <c r="BK18" s="519">
        <f>SUM(AY18:BJ18)</f>
        <v>1754.38</v>
      </c>
      <c r="BL18" s="532">
        <f>1575*1.21</f>
        <v>1905.75</v>
      </c>
      <c r="BM18" s="541"/>
      <c r="BN18" s="541"/>
      <c r="BO18" s="532">
        <f>133*1.21</f>
        <v>160.93</v>
      </c>
      <c r="BP18" s="542">
        <v>1427.13</v>
      </c>
      <c r="BQ18" s="542">
        <f>145.89+268.78+501.89</f>
        <v>916.56</v>
      </c>
      <c r="BR18" s="542">
        <v>307.91000000000003</v>
      </c>
      <c r="BS18" s="541"/>
      <c r="BT18" s="541"/>
      <c r="BU18" s="541"/>
      <c r="BV18" s="541"/>
      <c r="BW18" s="522"/>
      <c r="BX18" s="519">
        <f>SUM(BL18:BW18)</f>
        <v>4718.28</v>
      </c>
      <c r="BY18" s="525"/>
      <c r="BZ18" s="544">
        <f>135.59+307.56+310.09+307.56</f>
        <v>1060.8</v>
      </c>
      <c r="CA18" s="544">
        <v>478.86</v>
      </c>
      <c r="CB18" s="533"/>
      <c r="CC18" s="525"/>
      <c r="CD18" s="525"/>
      <c r="CE18" s="525"/>
      <c r="CF18" s="544"/>
      <c r="CG18" s="525"/>
      <c r="CH18" s="544">
        <v>43.93</v>
      </c>
      <c r="CI18" s="545">
        <f>514.57</f>
        <v>514.57000000000005</v>
      </c>
      <c r="CJ18" s="545">
        <f>121</f>
        <v>121</v>
      </c>
      <c r="CK18" s="519">
        <f t="shared" si="10"/>
        <v>2219.16</v>
      </c>
      <c r="CL18" s="615"/>
      <c r="CM18" s="541"/>
      <c r="CN18" s="541"/>
      <c r="CO18" s="544">
        <v>526.91</v>
      </c>
      <c r="CP18" s="544">
        <v>443.47</v>
      </c>
      <c r="CQ18" s="541"/>
      <c r="CR18" s="544">
        <f>193.6+423.5</f>
        <v>617.1</v>
      </c>
      <c r="CS18" s="544">
        <v>278.49</v>
      </c>
      <c r="CT18" s="541"/>
      <c r="CU18" s="544">
        <f>437.34+1210+(298.89+56.49)</f>
        <v>2002.7199999999998</v>
      </c>
      <c r="CV18" s="533"/>
      <c r="CW18" s="544">
        <f>423.78+509.12+96.8</f>
        <v>1029.7</v>
      </c>
      <c r="CX18" s="528">
        <f>SUM(CL18:CW18)</f>
        <v>4898.3899999999994</v>
      </c>
      <c r="CY18" s="541"/>
      <c r="CZ18" s="544">
        <v>181.5</v>
      </c>
      <c r="DA18" s="541"/>
      <c r="DB18" s="541"/>
      <c r="DC18" s="544">
        <v>89.69</v>
      </c>
      <c r="DD18" s="544">
        <f>455.57+358.42+242</f>
        <v>1055.99</v>
      </c>
      <c r="DE18" s="544">
        <f>181.5+7526.98</f>
        <v>7708.48</v>
      </c>
      <c r="DF18" s="533"/>
      <c r="DG18" s="544"/>
      <c r="DH18" s="572">
        <v>127.51</v>
      </c>
      <c r="DI18" s="536">
        <v>700</v>
      </c>
      <c r="DK18" s="528">
        <f>SUM(CZ18:DJ18)</f>
        <v>9863.17</v>
      </c>
      <c r="DM18" s="546">
        <v>700</v>
      </c>
      <c r="DO18" s="546"/>
      <c r="DP18" s="546">
        <v>700</v>
      </c>
      <c r="DS18" s="546">
        <v>700</v>
      </c>
      <c r="DV18" s="546">
        <v>700</v>
      </c>
      <c r="DX18" s="519">
        <f t="shared" si="9"/>
        <v>2800</v>
      </c>
    </row>
    <row r="19" spans="2:128" ht="15">
      <c r="B19" s="480" t="s">
        <v>193</v>
      </c>
      <c r="C19" s="512"/>
      <c r="D19" s="512"/>
      <c r="E19" s="512"/>
      <c r="F19" s="513"/>
      <c r="G19" s="513"/>
      <c r="H19" s="513"/>
      <c r="I19" s="513"/>
      <c r="J19" s="513"/>
      <c r="K19" s="513"/>
      <c r="L19" s="513"/>
      <c r="M19" s="512"/>
      <c r="N19" s="512"/>
      <c r="O19" s="514"/>
      <c r="P19" s="515"/>
      <c r="Q19" s="515"/>
      <c r="R19" s="515"/>
      <c r="S19" s="515"/>
      <c r="T19" s="515"/>
      <c r="U19" s="515"/>
      <c r="V19" s="515"/>
      <c r="W19" s="516"/>
      <c r="X19" s="515"/>
      <c r="Y19" s="515"/>
      <c r="Z19" s="515"/>
      <c r="AA19" s="532"/>
      <c r="AB19" s="529">
        <f>SUM(P19:AA19)</f>
        <v>0</v>
      </c>
      <c r="AC19" s="518"/>
      <c r="AD19" s="515"/>
      <c r="AE19" s="515"/>
      <c r="AF19" s="532"/>
      <c r="AG19" s="532"/>
      <c r="AH19" s="532"/>
      <c r="AI19" s="515"/>
      <c r="AJ19" s="515"/>
      <c r="AK19" s="531">
        <f>SUM(AC19:AJ19)</f>
        <v>0</v>
      </c>
      <c r="AL19" s="532"/>
      <c r="AM19" s="532"/>
      <c r="AN19" s="532"/>
      <c r="AO19" s="532"/>
      <c r="AP19" s="515"/>
      <c r="AQ19" s="532"/>
      <c r="AR19" s="541"/>
      <c r="AS19" s="516"/>
      <c r="AT19" s="542">
        <f>1800*1.21</f>
        <v>2178</v>
      </c>
      <c r="AU19" s="542">
        <f>2783</f>
        <v>2783</v>
      </c>
      <c r="AV19" s="515"/>
      <c r="AW19" s="515"/>
      <c r="AX19" s="519">
        <f>SUM(AL19:AW19)</f>
        <v>4961</v>
      </c>
      <c r="AY19" s="542"/>
      <c r="AZ19" s="522"/>
      <c r="BA19" s="522"/>
      <c r="BB19" s="542">
        <f>500*1.21</f>
        <v>605</v>
      </c>
      <c r="BC19" s="522"/>
      <c r="BD19" s="522"/>
      <c r="BE19" s="522"/>
      <c r="BF19" s="522"/>
      <c r="BG19" s="542">
        <f>2300*1.21</f>
        <v>2783</v>
      </c>
      <c r="BH19" s="542"/>
      <c r="BI19" s="541"/>
      <c r="BJ19" s="524"/>
      <c r="BK19" s="519">
        <f t="shared" si="15"/>
        <v>3388</v>
      </c>
      <c r="BL19" s="521"/>
      <c r="BM19" s="522"/>
      <c r="BN19" s="522"/>
      <c r="BO19" s="522"/>
      <c r="BP19" s="522"/>
      <c r="BQ19" s="523"/>
      <c r="BR19" s="522"/>
      <c r="BS19" s="522"/>
      <c r="BT19" s="541"/>
      <c r="BU19" s="541"/>
      <c r="BV19" s="541"/>
      <c r="BW19" s="516"/>
      <c r="BX19" s="519">
        <f>SUM(BL19:BW19)</f>
        <v>0</v>
      </c>
      <c r="BY19" s="525"/>
      <c r="BZ19" s="563"/>
      <c r="CA19" s="525"/>
      <c r="CB19" s="525"/>
      <c r="CC19" s="525"/>
      <c r="CD19" s="545">
        <f>(1000+500+400+400)*1.21</f>
        <v>2783</v>
      </c>
      <c r="CE19" s="534"/>
      <c r="CF19" s="525"/>
      <c r="CG19" s="525"/>
      <c r="CH19" s="563"/>
      <c r="CI19" s="525"/>
      <c r="CJ19" s="525"/>
      <c r="CK19" s="519">
        <f t="shared" si="10"/>
        <v>2783</v>
      </c>
      <c r="CL19" s="543"/>
      <c r="CM19" s="545">
        <f>(1000+500+400+400)*1.21</f>
        <v>2783</v>
      </c>
      <c r="CN19" s="525"/>
      <c r="CO19" s="545">
        <v>250</v>
      </c>
      <c r="CP19" s="525"/>
      <c r="CQ19" s="525"/>
      <c r="CR19" s="525"/>
      <c r="CS19" s="525"/>
      <c r="CT19" s="525"/>
      <c r="CU19" s="544">
        <f>(1000+500+400+400)*1.21+250</f>
        <v>3033</v>
      </c>
      <c r="CV19" s="544"/>
      <c r="CW19" s="525"/>
      <c r="CX19" s="528">
        <f>SUM(CM19:CW19)</f>
        <v>6066</v>
      </c>
      <c r="CY19" s="541"/>
      <c r="CZ19" s="541"/>
      <c r="DA19" s="541"/>
      <c r="DB19" s="525"/>
      <c r="DC19" s="525"/>
      <c r="DD19" s="525"/>
      <c r="DE19" s="525"/>
      <c r="DF19" s="544">
        <f>(1000+500+500+500)*1.21</f>
        <v>3025</v>
      </c>
      <c r="DG19" s="560"/>
      <c r="DH19" s="584">
        <f>(1000+500+400+750)*1.21</f>
        <v>3206.5</v>
      </c>
      <c r="DK19" s="528">
        <f t="shared" si="8"/>
        <v>6231.5</v>
      </c>
      <c r="DU19" s="546">
        <v>2783</v>
      </c>
      <c r="DX19" s="519">
        <f t="shared" si="9"/>
        <v>2783</v>
      </c>
    </row>
    <row r="20" spans="2:128" ht="15">
      <c r="B20" s="480" t="s">
        <v>48</v>
      </c>
      <c r="C20" s="512"/>
      <c r="D20" s="512"/>
      <c r="E20" s="512"/>
      <c r="F20" s="513">
        <v>230</v>
      </c>
      <c r="G20" s="513">
        <f t="shared" ref="G20:N20" si="18">F20</f>
        <v>230</v>
      </c>
      <c r="H20" s="513">
        <f t="shared" si="18"/>
        <v>230</v>
      </c>
      <c r="I20" s="513">
        <f t="shared" si="18"/>
        <v>230</v>
      </c>
      <c r="J20" s="513">
        <f t="shared" si="18"/>
        <v>230</v>
      </c>
      <c r="K20" s="513">
        <f t="shared" si="18"/>
        <v>230</v>
      </c>
      <c r="L20" s="513">
        <f t="shared" si="18"/>
        <v>230</v>
      </c>
      <c r="M20" s="512"/>
      <c r="N20" s="512">
        <f t="shared" si="18"/>
        <v>0</v>
      </c>
      <c r="O20" s="514">
        <f t="shared" si="4"/>
        <v>1610</v>
      </c>
      <c r="P20" s="515"/>
      <c r="Q20" s="515"/>
      <c r="R20" s="515"/>
      <c r="S20" s="515"/>
      <c r="T20" s="515"/>
      <c r="U20" s="515"/>
      <c r="V20" s="515"/>
      <c r="W20" s="516"/>
      <c r="X20" s="532">
        <v>3054.54</v>
      </c>
      <c r="Y20" s="515"/>
      <c r="Z20" s="515"/>
      <c r="AA20" s="515"/>
      <c r="AB20" s="529">
        <f t="shared" si="5"/>
        <v>3054.54</v>
      </c>
      <c r="AC20" s="518"/>
      <c r="AD20" s="515"/>
      <c r="AE20" s="515"/>
      <c r="AF20" s="515"/>
      <c r="AG20" s="515"/>
      <c r="AH20" s="515"/>
      <c r="AI20" s="515"/>
      <c r="AJ20" s="515"/>
      <c r="AK20" s="531">
        <f t="shared" si="14"/>
        <v>0</v>
      </c>
      <c r="AL20" s="532"/>
      <c r="AM20" s="564">
        <f>3544/1.1759</f>
        <v>3013.8617229356241</v>
      </c>
      <c r="AN20" s="515"/>
      <c r="AO20" s="515"/>
      <c r="AP20" s="515"/>
      <c r="AQ20" s="515"/>
      <c r="AR20" s="515"/>
      <c r="AS20" s="515"/>
      <c r="AT20" s="515"/>
      <c r="AU20" s="515"/>
      <c r="AV20" s="515"/>
      <c r="AW20" s="515"/>
      <c r="AX20" s="519">
        <f t="shared" ref="AX20" si="19">SUM(AL20:AW20)</f>
        <v>3013.8617229356241</v>
      </c>
      <c r="AY20" s="542"/>
      <c r="AZ20" s="542">
        <f>3738/1.1606</f>
        <v>3220.747889022919</v>
      </c>
      <c r="BA20" s="522"/>
      <c r="BB20" s="522"/>
      <c r="BC20" s="522"/>
      <c r="BD20" s="522"/>
      <c r="BE20" s="522"/>
      <c r="BF20" s="522"/>
      <c r="BG20" s="522"/>
      <c r="BH20" s="516"/>
      <c r="BI20" s="522"/>
      <c r="BJ20" s="524"/>
      <c r="BK20" s="519">
        <f t="shared" si="15"/>
        <v>3220.747889022919</v>
      </c>
      <c r="BL20" s="521"/>
      <c r="BM20" s="542">
        <f>3924/0.996</f>
        <v>3939.7590361445782</v>
      </c>
      <c r="BN20" s="522"/>
      <c r="BO20" s="522"/>
      <c r="BP20" s="522"/>
      <c r="BQ20" s="523"/>
      <c r="BR20" s="522"/>
      <c r="BS20" s="522"/>
      <c r="BT20" s="522"/>
      <c r="BU20" s="522"/>
      <c r="BV20" s="522"/>
      <c r="BW20" s="524"/>
      <c r="BX20" s="519">
        <f t="shared" si="7"/>
        <v>3939.7590361445782</v>
      </c>
      <c r="BY20" s="525"/>
      <c r="BZ20" s="525"/>
      <c r="CA20" s="544">
        <f>4179/1.0815</f>
        <v>3864.0776699029129</v>
      </c>
      <c r="CB20" s="525"/>
      <c r="CC20" s="525"/>
      <c r="CD20" s="525"/>
      <c r="CE20" s="525"/>
      <c r="CF20" s="525"/>
      <c r="CG20" s="525"/>
      <c r="CH20" s="525"/>
      <c r="CI20" s="525"/>
      <c r="CJ20" s="525"/>
      <c r="CK20" s="519">
        <f t="shared" si="10"/>
        <v>3864.0776699029129</v>
      </c>
      <c r="CL20" s="526"/>
      <c r="CM20" s="541"/>
      <c r="CN20" s="541"/>
      <c r="CO20" s="544">
        <f>4020/1.0537</f>
        <v>3815.1276454398781</v>
      </c>
      <c r="CP20" s="525"/>
      <c r="CQ20" s="525"/>
      <c r="CR20" s="525"/>
      <c r="CS20" s="525"/>
      <c r="CT20" s="525"/>
      <c r="CU20" s="525"/>
      <c r="CV20" s="525"/>
      <c r="CW20" s="525"/>
      <c r="CX20" s="528">
        <f t="shared" si="11"/>
        <v>3815.1276454398781</v>
      </c>
      <c r="CY20" s="541"/>
      <c r="CZ20" s="541"/>
      <c r="DA20" s="541"/>
      <c r="DB20" s="541"/>
      <c r="DC20" s="544">
        <f>4261/1.0516</f>
        <v>4051.9208824648153</v>
      </c>
      <c r="DD20" s="525"/>
      <c r="DE20" s="525"/>
      <c r="DF20" s="525"/>
      <c r="DG20" s="534"/>
      <c r="DH20" s="527"/>
      <c r="DK20" s="528">
        <f t="shared" si="8"/>
        <v>4051.9208824648153</v>
      </c>
      <c r="DM20" s="546">
        <v>4000</v>
      </c>
      <c r="DX20" s="519">
        <f t="shared" si="9"/>
        <v>4000</v>
      </c>
    </row>
    <row r="21" spans="2:128" ht="15">
      <c r="B21" s="480" t="s">
        <v>462</v>
      </c>
      <c r="C21" s="512"/>
      <c r="D21" s="512"/>
      <c r="E21" s="512">
        <v>2725.42</v>
      </c>
      <c r="F21" s="513"/>
      <c r="G21" s="513"/>
      <c r="H21" s="513"/>
      <c r="I21" s="513"/>
      <c r="J21" s="513"/>
      <c r="K21" s="513"/>
      <c r="L21" s="513"/>
      <c r="M21" s="512"/>
      <c r="N21" s="512"/>
      <c r="O21" s="514">
        <f t="shared" si="4"/>
        <v>2725.42</v>
      </c>
      <c r="P21" s="515"/>
      <c r="Q21" s="515">
        <v>993.37</v>
      </c>
      <c r="R21" s="515"/>
      <c r="S21" s="515"/>
      <c r="T21" s="515"/>
      <c r="U21" s="515"/>
      <c r="V21" s="515"/>
      <c r="W21" s="516"/>
      <c r="X21" s="532">
        <f>3432.03+1090.91</f>
        <v>4522.9400000000005</v>
      </c>
      <c r="Y21" s="515"/>
      <c r="Z21" s="515"/>
      <c r="AA21" s="532">
        <f>1085/1.109338895</f>
        <v>978.0600003211822</v>
      </c>
      <c r="AB21" s="529">
        <f t="shared" si="5"/>
        <v>6494.3700003211825</v>
      </c>
      <c r="AC21" s="518"/>
      <c r="AD21" s="515"/>
      <c r="AE21" s="515"/>
      <c r="AF21" s="515"/>
      <c r="AG21" s="515"/>
      <c r="AH21" s="565">
        <f>1200/1.0792</f>
        <v>1111.934766493699</v>
      </c>
      <c r="AI21" s="515"/>
      <c r="AJ21" s="515"/>
      <c r="AK21" s="531">
        <f t="shared" si="14"/>
        <v>1111.934766493699</v>
      </c>
      <c r="AL21" s="564">
        <f>(3650+1280)/1.1626</f>
        <v>4240.4954412523648</v>
      </c>
      <c r="AM21" s="515"/>
      <c r="AN21" s="515"/>
      <c r="AO21" s="532">
        <f>1830/1.21180015+(42-13.5-15)</f>
        <v>1523.6500028696976</v>
      </c>
      <c r="AP21" s="515"/>
      <c r="AQ21" s="542">
        <f>(6000+36+18.03)/1.224046+2000/1.1748+15-(18.03+21)/1.224046</f>
        <v>6631.4484413930759</v>
      </c>
      <c r="AR21" s="515"/>
      <c r="AS21" s="515"/>
      <c r="AT21" s="515"/>
      <c r="AU21" s="542">
        <f>1200/1.20499</f>
        <v>995.858886795741</v>
      </c>
      <c r="AV21" s="532">
        <f>3650/1.15876</f>
        <v>3149.9188788014776</v>
      </c>
      <c r="AW21" s="541"/>
      <c r="AX21" s="519">
        <f>SUM(AL21:AW21)</f>
        <v>16541.371651112357</v>
      </c>
      <c r="AY21" s="542">
        <f>3410/1.1767</f>
        <v>2897.9349026939744</v>
      </c>
      <c r="AZ21" s="522"/>
      <c r="BA21" s="522"/>
      <c r="BB21" s="522"/>
      <c r="BC21" s="541"/>
      <c r="BD21" s="542">
        <f>8000/1.138449716</f>
        <v>7027.1000006117092</v>
      </c>
      <c r="BE21" s="542">
        <v>1265</v>
      </c>
      <c r="BF21" s="522"/>
      <c r="BG21" s="522"/>
      <c r="BH21" s="542">
        <f>1230/1.088</f>
        <v>1130.5147058823529</v>
      </c>
      <c r="BI21" s="542">
        <f>3780/1.0192</f>
        <v>3708.7912087912082</v>
      </c>
      <c r="BJ21" s="522"/>
      <c r="BK21" s="519">
        <f t="shared" si="15"/>
        <v>16029.340817979246</v>
      </c>
      <c r="BL21" s="521"/>
      <c r="BM21" s="522"/>
      <c r="BN21" s="542">
        <f>3410/0.9907</f>
        <v>3442.0106995054002</v>
      </c>
      <c r="BO21" s="542">
        <v>1265</v>
      </c>
      <c r="BP21" s="522"/>
      <c r="BQ21" s="543"/>
      <c r="BR21" s="542">
        <f>8720/1.076</f>
        <v>8104.0892193308546</v>
      </c>
      <c r="BS21" s="522"/>
      <c r="BT21" s="522"/>
      <c r="BU21" s="566">
        <v>0</v>
      </c>
      <c r="BV21" s="541"/>
      <c r="BW21" s="542"/>
      <c r="BX21" s="519">
        <f>SUM(BL21:BW21)</f>
        <v>12811.099918836255</v>
      </c>
      <c r="BY21" s="544">
        <f>1230/1.2451+375</f>
        <v>1362.87246004337</v>
      </c>
      <c r="BZ21" s="533"/>
      <c r="CA21" s="525"/>
      <c r="CB21" s="533"/>
      <c r="CC21" s="525"/>
      <c r="CD21" s="525"/>
      <c r="CE21" s="525"/>
      <c r="CF21" s="544">
        <f>17892/1.0734</f>
        <v>16668.529904974846</v>
      </c>
      <c r="CG21" s="525"/>
      <c r="CH21" s="525"/>
      <c r="CI21" s="541"/>
      <c r="CJ21" s="533"/>
      <c r="CK21" s="519">
        <f>SUM(BY21:CJ21)</f>
        <v>18031.402365018217</v>
      </c>
      <c r="CL21" s="543"/>
      <c r="CM21" s="541"/>
      <c r="CN21" s="541"/>
      <c r="CO21" s="544">
        <f>3000/1.0537</f>
        <v>2847.1101831640881</v>
      </c>
      <c r="CP21" s="541"/>
      <c r="CQ21" s="541"/>
      <c r="CR21" s="544">
        <f>19144.44/1.0627</f>
        <v>18014.905429566199</v>
      </c>
      <c r="CS21" s="541"/>
      <c r="CT21" s="854"/>
      <c r="CU21" s="541"/>
      <c r="CV21" s="541"/>
      <c r="CW21" s="854"/>
      <c r="CX21" s="528">
        <f>SUM(CR21:CW21)</f>
        <v>18014.905429566199</v>
      </c>
      <c r="CY21" s="541"/>
      <c r="CZ21" s="541"/>
      <c r="DA21" s="541"/>
      <c r="DB21" s="541"/>
      <c r="DC21" s="541"/>
      <c r="DD21" s="541"/>
      <c r="DE21" s="544">
        <f>20484.55/1.1525</f>
        <v>17774.01301518438</v>
      </c>
      <c r="DF21" s="541"/>
      <c r="DG21" s="560"/>
      <c r="DH21" s="584">
        <f>3000/1.15</f>
        <v>2608.6956521739135</v>
      </c>
      <c r="DI21" s="567">
        <v>1230</v>
      </c>
      <c r="DK21" s="528">
        <f>SUM(DF21:DJ21)</f>
        <v>3838.6956521739135</v>
      </c>
      <c r="DO21" s="567">
        <f>3000/1.05</f>
        <v>2857.1428571428569</v>
      </c>
      <c r="DX21" s="519">
        <f t="shared" si="9"/>
        <v>2857.1428571428569</v>
      </c>
    </row>
    <row r="22" spans="2:128" ht="15">
      <c r="B22" s="480" t="s">
        <v>463</v>
      </c>
      <c r="C22" s="512"/>
      <c r="D22" s="512"/>
      <c r="E22" s="512"/>
      <c r="F22" s="513"/>
      <c r="G22" s="513"/>
      <c r="H22" s="513"/>
      <c r="I22" s="513"/>
      <c r="J22" s="513"/>
      <c r="K22" s="513"/>
      <c r="L22" s="513"/>
      <c r="M22" s="512"/>
      <c r="N22" s="512"/>
      <c r="O22" s="514">
        <f t="shared" si="4"/>
        <v>0</v>
      </c>
      <c r="P22" s="515"/>
      <c r="Q22" s="515"/>
      <c r="R22" s="515"/>
      <c r="S22" s="515">
        <v>1600</v>
      </c>
      <c r="T22" s="515"/>
      <c r="U22" s="515"/>
      <c r="V22" s="515"/>
      <c r="W22" s="516"/>
      <c r="X22" s="515"/>
      <c r="Y22" s="515"/>
      <c r="Z22" s="515"/>
      <c r="AA22" s="515"/>
      <c r="AB22" s="529">
        <f t="shared" si="5"/>
        <v>1600</v>
      </c>
      <c r="AC22" s="518"/>
      <c r="AD22" s="515"/>
      <c r="AE22" s="515"/>
      <c r="AF22" s="532">
        <v>2000</v>
      </c>
      <c r="AG22" s="515"/>
      <c r="AH22" s="515"/>
      <c r="AI22" s="515"/>
      <c r="AJ22" s="515"/>
      <c r="AK22" s="531">
        <f t="shared" si="14"/>
        <v>2000</v>
      </c>
      <c r="AL22" s="532"/>
      <c r="AM22" s="515"/>
      <c r="AN22" s="532">
        <v>1500</v>
      </c>
      <c r="AO22" s="515"/>
      <c r="AP22" s="515"/>
      <c r="AQ22" s="515"/>
      <c r="AR22" s="522"/>
      <c r="AS22" s="515"/>
      <c r="AT22" s="532">
        <f>2000+1500</f>
        <v>3500</v>
      </c>
      <c r="AU22" s="515"/>
      <c r="AV22" s="515"/>
      <c r="AW22" s="515"/>
      <c r="AX22" s="519">
        <f t="shared" si="6"/>
        <v>5000</v>
      </c>
      <c r="AY22" s="542"/>
      <c r="AZ22" s="515"/>
      <c r="BA22" s="541"/>
      <c r="BB22" s="541"/>
      <c r="BC22" s="532">
        <v>240</v>
      </c>
      <c r="BD22" s="541"/>
      <c r="BE22" s="541"/>
      <c r="BF22" s="541"/>
      <c r="BG22" s="542">
        <f>975+975</f>
        <v>1950</v>
      </c>
      <c r="BH22" s="515"/>
      <c r="BI22" s="515"/>
      <c r="BJ22" s="520"/>
      <c r="BK22" s="519">
        <f t="shared" si="15"/>
        <v>2190</v>
      </c>
      <c r="BL22" s="521"/>
      <c r="BM22" s="522"/>
      <c r="BN22" s="541"/>
      <c r="BO22" s="541"/>
      <c r="BP22" s="532">
        <v>240</v>
      </c>
      <c r="BQ22" s="523"/>
      <c r="BR22" s="522"/>
      <c r="BS22" s="522"/>
      <c r="BT22" s="542">
        <f>1062.75+1062.75</f>
        <v>2125.5</v>
      </c>
      <c r="BU22" s="522"/>
      <c r="BV22" s="522"/>
      <c r="BW22" s="524"/>
      <c r="BX22" s="519">
        <f t="shared" si="7"/>
        <v>2365.5</v>
      </c>
      <c r="BY22" s="525"/>
      <c r="BZ22" s="525"/>
      <c r="CA22" s="525"/>
      <c r="CB22" s="525"/>
      <c r="CC22" s="525"/>
      <c r="CD22" s="544">
        <v>2000</v>
      </c>
      <c r="CE22" s="525"/>
      <c r="CF22" s="525"/>
      <c r="CG22" s="544">
        <v>2273.75</v>
      </c>
      <c r="CH22" s="525"/>
      <c r="CI22" s="525"/>
      <c r="CJ22" s="525"/>
      <c r="CK22" s="519">
        <f t="shared" si="10"/>
        <v>4273.75</v>
      </c>
      <c r="CL22" s="526"/>
      <c r="CM22" s="525"/>
      <c r="CN22" s="525"/>
      <c r="CO22" s="525"/>
      <c r="CP22" s="541"/>
      <c r="CQ22" s="544">
        <v>2300</v>
      </c>
      <c r="CR22" s="525"/>
      <c r="CS22" s="541"/>
      <c r="CT22" s="544">
        <v>2600</v>
      </c>
      <c r="CU22" s="525"/>
      <c r="CV22" s="525"/>
      <c r="CW22" s="525"/>
      <c r="CX22" s="528">
        <f t="shared" si="11"/>
        <v>4900</v>
      </c>
      <c r="CY22" s="541"/>
      <c r="CZ22" s="541"/>
      <c r="DA22" s="541"/>
      <c r="DB22" s="541"/>
      <c r="DC22" s="541"/>
      <c r="DD22" s="533"/>
      <c r="DE22" s="541"/>
      <c r="DF22" s="544">
        <v>3100</v>
      </c>
      <c r="DG22" s="560"/>
      <c r="DK22" s="528">
        <f t="shared" si="8"/>
        <v>3100</v>
      </c>
      <c r="DQ22" s="546">
        <v>2000</v>
      </c>
      <c r="DT22" s="572">
        <v>3100</v>
      </c>
      <c r="DX22" s="519">
        <f t="shared" si="9"/>
        <v>5100</v>
      </c>
    </row>
    <row r="23" spans="2:128" ht="15">
      <c r="B23" s="480" t="s">
        <v>195</v>
      </c>
      <c r="C23" s="512"/>
      <c r="D23" s="512"/>
      <c r="E23" s="512"/>
      <c r="F23" s="513"/>
      <c r="G23" s="513"/>
      <c r="H23" s="513"/>
      <c r="I23" s="513"/>
      <c r="J23" s="513"/>
      <c r="K23" s="513"/>
      <c r="L23" s="513"/>
      <c r="M23" s="512"/>
      <c r="N23" s="512"/>
      <c r="O23" s="514">
        <f t="shared" si="4"/>
        <v>0</v>
      </c>
      <c r="P23" s="515">
        <v>-17.850000000000001</v>
      </c>
      <c r="Q23" s="515">
        <f>-490.35+193.16</f>
        <v>-297.19000000000005</v>
      </c>
      <c r="R23" s="515">
        <f>-225.34+3413.21</f>
        <v>3187.87</v>
      </c>
      <c r="S23" s="515"/>
      <c r="T23" s="515">
        <f>-1928.22-131.25+1087.8+7.24</f>
        <v>-964.43000000000029</v>
      </c>
      <c r="U23" s="515">
        <v>-1274.7</v>
      </c>
      <c r="V23" s="515">
        <f>5273.77</f>
        <v>5273.77</v>
      </c>
      <c r="W23" s="516">
        <v>-3895.02</v>
      </c>
      <c r="X23" s="532">
        <f>-2701.72</f>
        <v>-2701.72</v>
      </c>
      <c r="Y23" s="532">
        <f>-1503.4</f>
        <v>-1503.4</v>
      </c>
      <c r="Z23" s="532">
        <v>234.08</v>
      </c>
      <c r="AA23" s="532">
        <f>205.85+1293.82-3007.48-1133.47</f>
        <v>-2641.28</v>
      </c>
      <c r="AB23" s="529">
        <f t="shared" si="5"/>
        <v>-4599.87</v>
      </c>
      <c r="AC23" s="518"/>
      <c r="AD23" s="515"/>
      <c r="AE23" s="515"/>
      <c r="AF23" s="532">
        <f>-1757.82</f>
        <v>-1757.82</v>
      </c>
      <c r="AG23" s="532">
        <f>-6799.75-2599.73</f>
        <v>-9399.48</v>
      </c>
      <c r="AH23" s="532">
        <v>-149.04</v>
      </c>
      <c r="AI23" s="532">
        <f>5532.53-2503.41</f>
        <v>3029.12</v>
      </c>
      <c r="AJ23" s="515"/>
      <c r="AK23" s="531">
        <f t="shared" si="14"/>
        <v>-8277.2200000000012</v>
      </c>
      <c r="AL23" s="532">
        <v>-2820.73</v>
      </c>
      <c r="AM23" s="532">
        <v>10560.38</v>
      </c>
      <c r="AN23" s="532">
        <v>-2793.64</v>
      </c>
      <c r="AO23" s="532">
        <v>-6970.42</v>
      </c>
      <c r="AP23" s="532">
        <v>-2563.85</v>
      </c>
      <c r="AQ23" s="532">
        <v>918.07</v>
      </c>
      <c r="AR23" s="532">
        <v>8180.2</v>
      </c>
      <c r="AS23" s="515"/>
      <c r="AT23" s="532">
        <f>2315.58+52.72</f>
        <v>2368.2999999999997</v>
      </c>
      <c r="AU23" s="532">
        <f>-17193.52+2754.41-282.76</f>
        <v>-14721.87</v>
      </c>
      <c r="AV23" s="532">
        <f>9146.69+8383.86</f>
        <v>17530.550000000003</v>
      </c>
      <c r="AW23" s="532">
        <f>-1344.4+6610.91+648.82</f>
        <v>5915.33</v>
      </c>
      <c r="AX23" s="519">
        <f t="shared" si="6"/>
        <v>15602.320000000002</v>
      </c>
      <c r="AY23" s="542"/>
      <c r="AZ23" s="515"/>
      <c r="BA23" s="515"/>
      <c r="BB23" s="532">
        <f>-(6963.8-157.2)+3034.69</f>
        <v>-3771.9100000000003</v>
      </c>
      <c r="BC23" s="542">
        <f>-(5030.09-2625)</f>
        <v>-2405.09</v>
      </c>
      <c r="BD23" s="542">
        <f>-(5646.53-1642.54)+2576.05+1242.79</f>
        <v>-185.14999999999964</v>
      </c>
      <c r="BE23" s="532">
        <v>-237.37</v>
      </c>
      <c r="BF23" s="532">
        <v>-4582.6099999999997</v>
      </c>
      <c r="BG23" s="532">
        <f>-4611.52+191.81+2175.68+1942.75</f>
        <v>-301.2800000000002</v>
      </c>
      <c r="BH23" s="542">
        <f>-103.6</f>
        <v>-103.6</v>
      </c>
      <c r="BI23" s="541"/>
      <c r="BJ23" s="532">
        <f>-2413.07</f>
        <v>-2413.0700000000002</v>
      </c>
      <c r="BK23" s="519">
        <f>SUM(AY23:BJ23)</f>
        <v>-14000.08</v>
      </c>
      <c r="BL23" s="532">
        <f>-9203.26-13942.94-12337.68</f>
        <v>-35483.880000000005</v>
      </c>
      <c r="BM23" s="515"/>
      <c r="BN23" s="568">
        <f>(4778.21+3667.53+2428.27)+(-7312.8-60.11)-9926.25-10125.68</f>
        <v>-16550.830000000002</v>
      </c>
      <c r="BO23" s="532">
        <f>-11339.06+2935.11+6152.25+6954.88+6336.17</f>
        <v>11039.350000000002</v>
      </c>
      <c r="BP23" s="532">
        <f>-9497.58</f>
        <v>-9497.58</v>
      </c>
      <c r="BQ23" s="568">
        <f>-14834.8+2854.63+3706.36</f>
        <v>-8273.8099999999977</v>
      </c>
      <c r="BR23" s="532">
        <f>-15472.99</f>
        <v>-15472.99</v>
      </c>
      <c r="BS23" s="515"/>
      <c r="BT23" s="532">
        <f>(-19049.98+167.66)</f>
        <v>-18882.32</v>
      </c>
      <c r="BU23" s="542">
        <f>-5113.31-34410.49</f>
        <v>-39523.799999999996</v>
      </c>
      <c r="BV23" s="532">
        <f>-5799.9+607.72+8959.67+9212.5+2988.74</f>
        <v>15968.730000000001</v>
      </c>
      <c r="BW23" s="532">
        <f>-31631.49+16403.48</f>
        <v>-15228.010000000002</v>
      </c>
      <c r="BX23" s="519">
        <f t="shared" si="7"/>
        <v>-131905.13999999998</v>
      </c>
      <c r="BY23" s="525"/>
      <c r="BZ23" s="534">
        <f>-10540.54</f>
        <v>-10540.54</v>
      </c>
      <c r="CA23" s="534">
        <f>-5016.39-(4659.34-61.33)</f>
        <v>-9614.4000000000015</v>
      </c>
      <c r="CB23" s="534">
        <v>-3628.38</v>
      </c>
      <c r="CC23" s="534">
        <v>-8805.44</v>
      </c>
      <c r="CD23" s="525"/>
      <c r="CE23" s="534">
        <v>-5831.05</v>
      </c>
      <c r="CF23" s="534">
        <v>-4256.5</v>
      </c>
      <c r="CG23" s="534">
        <f>-7846.44-4243.13</f>
        <v>-12089.57</v>
      </c>
      <c r="CH23" s="525"/>
      <c r="CI23" s="534">
        <f>-2466.72</f>
        <v>-2466.7199999999998</v>
      </c>
      <c r="CJ23" s="534">
        <f>-7922.52-7004.21</f>
        <v>-14926.73</v>
      </c>
      <c r="CK23" s="519">
        <f>SUM(BY23:CI23)</f>
        <v>-57232.600000000006</v>
      </c>
      <c r="CL23" s="543"/>
      <c r="CM23" s="534">
        <v>-7036.27</v>
      </c>
      <c r="CN23" s="534">
        <v>-4539.57</v>
      </c>
      <c r="CO23" s="525"/>
      <c r="CP23" s="534">
        <f>-2766.76-4000.76</f>
        <v>-6767.52</v>
      </c>
      <c r="CQ23" s="534">
        <v>-4442.34</v>
      </c>
      <c r="CR23" s="534">
        <v>-3270.38</v>
      </c>
      <c r="CS23" s="534">
        <v>-4671.3100000000004</v>
      </c>
      <c r="CT23" s="534">
        <f>-15000.32-18376.33</f>
        <v>-33376.65</v>
      </c>
      <c r="CU23" s="525"/>
      <c r="CV23" s="525"/>
      <c r="CW23" s="534">
        <f>-17549.4+4735.67</f>
        <v>-12813.730000000001</v>
      </c>
      <c r="CX23" s="528">
        <f>SUM(CM23:CV23)</f>
        <v>-64104.040000000008</v>
      </c>
      <c r="CY23" s="534">
        <f>-5460.77+2599.97</f>
        <v>-2860.8000000000006</v>
      </c>
      <c r="CZ23" s="541"/>
      <c r="DA23" s="534">
        <v>20244.14</v>
      </c>
      <c r="DB23" s="534">
        <f>-3243.37-5811.94</f>
        <v>-9055.31</v>
      </c>
      <c r="DC23" s="541"/>
      <c r="DD23" s="534">
        <f>-2853.75</f>
        <v>-2853.75</v>
      </c>
      <c r="DE23" s="534">
        <f>-7997.65</f>
        <v>-7997.65</v>
      </c>
      <c r="DF23" s="525"/>
      <c r="DG23" s="534">
        <f>-5168.87-4216.89</f>
        <v>-9385.76</v>
      </c>
      <c r="DH23" s="782">
        <f>-5180.25+8274.86</f>
        <v>3094.6100000000006</v>
      </c>
      <c r="DI23" s="527">
        <v>-25975.4</v>
      </c>
      <c r="DJ23" s="527">
        <v>-4058.44</v>
      </c>
      <c r="DK23" s="528">
        <f>SUM(CY23:DJ23)</f>
        <v>-38848.36</v>
      </c>
      <c r="DX23" s="519">
        <f t="shared" si="9"/>
        <v>0</v>
      </c>
    </row>
    <row r="24" spans="2:128" ht="15">
      <c r="B24" s="480" t="s">
        <v>196</v>
      </c>
      <c r="C24" s="512"/>
      <c r="D24" s="512"/>
      <c r="E24" s="512"/>
      <c r="F24" s="513"/>
      <c r="G24" s="513"/>
      <c r="H24" s="513"/>
      <c r="I24" s="513"/>
      <c r="J24" s="513"/>
      <c r="K24" s="513"/>
      <c r="L24" s="513"/>
      <c r="M24" s="512"/>
      <c r="N24" s="512"/>
      <c r="O24" s="514">
        <f t="shared" si="4"/>
        <v>0</v>
      </c>
      <c r="P24" s="515"/>
      <c r="Q24" s="515"/>
      <c r="R24" s="515"/>
      <c r="S24" s="515">
        <v>2657.05</v>
      </c>
      <c r="T24" s="515"/>
      <c r="U24" s="515"/>
      <c r="V24" s="515">
        <v>-2469.94</v>
      </c>
      <c r="W24" s="516"/>
      <c r="X24" s="532"/>
      <c r="Y24" s="532">
        <f>6053.41</f>
        <v>6053.41</v>
      </c>
      <c r="Z24" s="532"/>
      <c r="AA24" s="532"/>
      <c r="AB24" s="529">
        <f t="shared" si="5"/>
        <v>6240.52</v>
      </c>
      <c r="AC24" s="547">
        <v>6893.49</v>
      </c>
      <c r="AD24" s="515"/>
      <c r="AE24" s="515"/>
      <c r="AF24" s="532"/>
      <c r="AG24" s="532">
        <f>7065.63</f>
        <v>7065.63</v>
      </c>
      <c r="AH24" s="515"/>
      <c r="AI24" s="532">
        <v>6864.49</v>
      </c>
      <c r="AJ24" s="515"/>
      <c r="AK24" s="531">
        <f t="shared" si="14"/>
        <v>20823.61</v>
      </c>
      <c r="AL24" s="532"/>
      <c r="AM24" s="532">
        <v>7143.48</v>
      </c>
      <c r="AN24" s="515"/>
      <c r="AO24" s="515"/>
      <c r="AP24" s="542">
        <v>5826.81</v>
      </c>
      <c r="AQ24" s="522"/>
      <c r="AR24" s="542">
        <f>8429.64-5826.81</f>
        <v>2602.829999999999</v>
      </c>
      <c r="AS24" s="542">
        <f>9854.3-703.46</f>
        <v>9150.84</v>
      </c>
      <c r="AT24" s="522"/>
      <c r="AU24" s="522"/>
      <c r="AV24" s="542">
        <f>10254.14</f>
        <v>10254.14</v>
      </c>
      <c r="AW24" s="542">
        <f>-823.92</f>
        <v>-823.92</v>
      </c>
      <c r="AX24" s="519">
        <f t="shared" si="6"/>
        <v>34154.18</v>
      </c>
      <c r="AY24" s="542"/>
      <c r="AZ24" s="542">
        <v>10039.379999999999</v>
      </c>
      <c r="BA24" s="522"/>
      <c r="BB24" s="542">
        <v>-237.59</v>
      </c>
      <c r="BC24" s="542">
        <v>10792.67</v>
      </c>
      <c r="BD24" s="542">
        <v>-1338.53</v>
      </c>
      <c r="BE24" s="522"/>
      <c r="BF24" s="542">
        <v>10200.620000000001</v>
      </c>
      <c r="BG24" s="542">
        <v>-789.8</v>
      </c>
      <c r="BH24" s="553"/>
      <c r="BI24" s="542">
        <v>12531.59</v>
      </c>
      <c r="BJ24" s="555">
        <v>-385.47</v>
      </c>
      <c r="BK24" s="519">
        <f t="shared" si="15"/>
        <v>40812.870000000003</v>
      </c>
      <c r="BL24" s="521"/>
      <c r="BM24" s="542">
        <v>18046.59</v>
      </c>
      <c r="BN24" s="556">
        <v>-5680.89</v>
      </c>
      <c r="BO24" s="522"/>
      <c r="BP24" s="542">
        <v>11632.67</v>
      </c>
      <c r="BQ24" s="556">
        <f>175.21-2015.57-175.21</f>
        <v>-2015.57</v>
      </c>
      <c r="BR24" s="516"/>
      <c r="BS24" s="542">
        <f>12102.52</f>
        <v>12102.52</v>
      </c>
      <c r="BT24" s="541"/>
      <c r="BU24" s="541"/>
      <c r="BV24" s="542">
        <f>-1028.48+13140.02-1893.55</f>
        <v>10217.990000000002</v>
      </c>
      <c r="BW24" s="524"/>
      <c r="BX24" s="519">
        <f t="shared" si="7"/>
        <v>44303.310000000012</v>
      </c>
      <c r="BY24" s="525"/>
      <c r="BZ24" s="544">
        <v>11833.83</v>
      </c>
      <c r="CA24" s="525"/>
      <c r="CB24" s="525"/>
      <c r="CC24" s="544">
        <f>12418.39-(1.56+24)</f>
        <v>12392.83</v>
      </c>
      <c r="CD24" s="525"/>
      <c r="CE24" s="544">
        <v>206.64</v>
      </c>
      <c r="CF24" s="544">
        <f>(13276.21-(26.46+26.46+24.7))+45</f>
        <v>13243.589999999998</v>
      </c>
      <c r="CG24" s="525"/>
      <c r="CH24" s="525"/>
      <c r="CI24" s="534">
        <f>13194.02</f>
        <v>13194.02</v>
      </c>
      <c r="CJ24" s="525"/>
      <c r="CK24" s="519">
        <f t="shared" si="10"/>
        <v>50870.91</v>
      </c>
      <c r="CL24" s="526"/>
      <c r="CM24" s="544">
        <v>11657.96</v>
      </c>
      <c r="CN24" s="525"/>
      <c r="CO24" s="525"/>
      <c r="CP24" s="544">
        <v>11991.57</v>
      </c>
      <c r="CQ24" s="525"/>
      <c r="CR24" s="525"/>
      <c r="CS24" s="544">
        <v>11873.37</v>
      </c>
      <c r="CT24" s="525"/>
      <c r="CU24" s="525"/>
      <c r="CV24" s="544">
        <v>14262.77</v>
      </c>
      <c r="CW24" s="525"/>
      <c r="CX24" s="528">
        <f t="shared" si="11"/>
        <v>49785.67</v>
      </c>
      <c r="CY24" s="541"/>
      <c r="CZ24" s="544">
        <v>11926.61</v>
      </c>
      <c r="DA24" s="525"/>
      <c r="DB24" s="525"/>
      <c r="DC24" s="544">
        <v>11803.14</v>
      </c>
      <c r="DD24" s="525"/>
      <c r="DE24" s="525"/>
      <c r="DF24" s="544">
        <v>11936.81</v>
      </c>
      <c r="DG24" s="534"/>
      <c r="DH24" s="527"/>
      <c r="DI24" s="536">
        <f>1650*3+2075*3+89.85*3</f>
        <v>11444.55</v>
      </c>
      <c r="DJ24" s="527"/>
      <c r="DK24" s="528">
        <f t="shared" si="8"/>
        <v>47111.11</v>
      </c>
      <c r="DM24" s="536">
        <f>1650*3+2075*3+89.85*3</f>
        <v>11444.55</v>
      </c>
      <c r="DP24" s="536">
        <f>1650*3+2075*3+89.85*3</f>
        <v>11444.55</v>
      </c>
      <c r="DS24" s="536">
        <f>1650*3+2075*3+89.85*3</f>
        <v>11444.55</v>
      </c>
      <c r="DV24" s="546">
        <f>1650*3+2075*3+89.85*3</f>
        <v>11444.55</v>
      </c>
      <c r="DX24" s="519">
        <f t="shared" si="9"/>
        <v>45778.2</v>
      </c>
    </row>
    <row r="25" spans="2:128" ht="15">
      <c r="B25" s="480" t="s">
        <v>197</v>
      </c>
      <c r="C25" s="512"/>
      <c r="D25" s="512"/>
      <c r="E25" s="512"/>
      <c r="F25" s="513"/>
      <c r="G25" s="513"/>
      <c r="H25" s="513"/>
      <c r="I25" s="513"/>
      <c r="J25" s="513"/>
      <c r="K25" s="513"/>
      <c r="L25" s="513"/>
      <c r="M25" s="512"/>
      <c r="N25" s="512"/>
      <c r="O25" s="514">
        <f t="shared" si="4"/>
        <v>0</v>
      </c>
      <c r="P25" s="515"/>
      <c r="Q25" s="515"/>
      <c r="R25" s="515"/>
      <c r="S25" s="515"/>
      <c r="T25" s="515"/>
      <c r="U25" s="515"/>
      <c r="V25" s="515">
        <f>3095.49</f>
        <v>3095.49</v>
      </c>
      <c r="W25" s="516"/>
      <c r="X25" s="532"/>
      <c r="Y25" s="532"/>
      <c r="Z25" s="532"/>
      <c r="AA25" s="532">
        <f>557.19*2</f>
        <v>1114.3800000000001</v>
      </c>
      <c r="AB25" s="529">
        <f>SUM(P25:AA25)</f>
        <v>4209.87</v>
      </c>
      <c r="AC25" s="547"/>
      <c r="AD25" s="515"/>
      <c r="AE25" s="515"/>
      <c r="AF25" s="532"/>
      <c r="AG25" s="532">
        <f>557.19</f>
        <v>557.19000000000005</v>
      </c>
      <c r="AH25" s="515"/>
      <c r="AI25" s="532">
        <v>14219.73</v>
      </c>
      <c r="AJ25" s="515"/>
      <c r="AK25" s="531">
        <f t="shared" si="14"/>
        <v>14776.92</v>
      </c>
      <c r="AL25" s="532"/>
      <c r="AM25" s="532">
        <v>2760.14</v>
      </c>
      <c r="AN25" s="515"/>
      <c r="AO25" s="532">
        <v>2760.14</v>
      </c>
      <c r="AP25" s="515"/>
      <c r="AQ25" s="515"/>
      <c r="AR25" s="515"/>
      <c r="AS25" s="532">
        <f>-624.19</f>
        <v>-624.19000000000005</v>
      </c>
      <c r="AT25" s="515"/>
      <c r="AU25" s="515"/>
      <c r="AV25" s="515"/>
      <c r="AW25" s="515"/>
      <c r="AX25" s="519">
        <f t="shared" si="6"/>
        <v>4896.09</v>
      </c>
      <c r="AY25" s="542"/>
      <c r="AZ25" s="541"/>
      <c r="BA25" s="541"/>
      <c r="BB25" s="515"/>
      <c r="BC25" s="515"/>
      <c r="BD25" s="515"/>
      <c r="BE25" s="569">
        <f>32326.09-2760.14*2+734.65</f>
        <v>27540.460000000003</v>
      </c>
      <c r="BF25" s="532">
        <v>5818.7</v>
      </c>
      <c r="BG25" s="541"/>
      <c r="BH25" s="553"/>
      <c r="BI25" s="541"/>
      <c r="BJ25" s="542"/>
      <c r="BK25" s="519">
        <f>SUM(AY25:BJ25)</f>
        <v>33359.160000000003</v>
      </c>
      <c r="BL25" s="541"/>
      <c r="BM25" s="542">
        <v>5818.7</v>
      </c>
      <c r="BN25" s="541"/>
      <c r="BO25" s="542">
        <v>5818.7</v>
      </c>
      <c r="BP25" s="541"/>
      <c r="BQ25" s="523"/>
      <c r="BR25" s="542">
        <f>(233541.66-5818.7*1)-29971.42</f>
        <v>197751.53999999998</v>
      </c>
      <c r="BS25" s="542">
        <v>1008</v>
      </c>
      <c r="BT25" s="541"/>
      <c r="BU25" s="542">
        <f>(227071.42-197100)+143.44</f>
        <v>30114.860000000011</v>
      </c>
      <c r="BV25" s="541"/>
      <c r="BW25" s="522"/>
      <c r="BX25" s="519">
        <f>SUM(BL25:BW25)</f>
        <v>240511.8</v>
      </c>
      <c r="BY25" s="533"/>
      <c r="BZ25" s="544">
        <v>1008</v>
      </c>
      <c r="CA25" s="525"/>
      <c r="CB25" s="544">
        <v>1008</v>
      </c>
      <c r="CC25" s="525"/>
      <c r="CD25" s="525"/>
      <c r="CE25" s="525"/>
      <c r="CF25" s="525"/>
      <c r="CG25" s="525"/>
      <c r="CH25" s="544">
        <f>2146.28*0.18</f>
        <v>386.3304</v>
      </c>
      <c r="CI25" s="544">
        <f>(-5818.7*2-1008)+4298.08</f>
        <v>-8347.32</v>
      </c>
      <c r="CJ25" s="533"/>
      <c r="CK25" s="519">
        <f>SUM(BY25:CJ25)</f>
        <v>-5944.9895999999999</v>
      </c>
      <c r="CL25" s="543"/>
      <c r="CM25" s="544">
        <f>2146.28*0.18</f>
        <v>386.3304</v>
      </c>
      <c r="CN25" s="541"/>
      <c r="CO25" s="544">
        <f>2146.28*0.18</f>
        <v>386.3304</v>
      </c>
      <c r="CP25" s="541"/>
      <c r="CQ25" s="570">
        <f>(227071.42*0.18-1008-1008-1008)*3*0</f>
        <v>0</v>
      </c>
      <c r="CR25" s="544">
        <f>90028.04-1008-1008-386.33</f>
        <v>87625.709999999992</v>
      </c>
      <c r="CS25" s="544">
        <f>90028.04*0.18</f>
        <v>16205.047199999999</v>
      </c>
      <c r="CT25" s="525"/>
      <c r="CU25" s="525"/>
      <c r="CV25" s="563"/>
      <c r="CW25" s="525"/>
      <c r="CX25" s="528">
        <f>SUM(CI25:CW25)</f>
        <v>90311.108399999997</v>
      </c>
      <c r="CY25" s="541"/>
      <c r="CZ25" s="544">
        <f>90028.04*0.18</f>
        <v>16205.047199999999</v>
      </c>
      <c r="DA25" s="525"/>
      <c r="DB25" s="544">
        <f>90028.04*0.18</f>
        <v>16205.047199999999</v>
      </c>
      <c r="DC25" s="525"/>
      <c r="DD25" s="525"/>
      <c r="DE25" s="544">
        <f>416286.06*0.25-386-386-16205.05</f>
        <v>87094.464999999997</v>
      </c>
      <c r="DF25" s="544">
        <f>104071.52*0.18</f>
        <v>18732.873599999999</v>
      </c>
      <c r="DG25" s="534"/>
      <c r="DH25" s="527"/>
      <c r="DI25" s="527"/>
      <c r="DJ25" s="527"/>
      <c r="DK25" s="528">
        <f t="shared" si="8"/>
        <v>138237.43299999999</v>
      </c>
      <c r="DM25" s="572">
        <f>104071.52*0.18</f>
        <v>18732.873599999999</v>
      </c>
      <c r="DO25" s="572">
        <f>104071.52*0.18</f>
        <v>18732.873599999999</v>
      </c>
      <c r="DR25" s="571"/>
      <c r="DX25" s="519">
        <f t="shared" si="9"/>
        <v>37465.747199999998</v>
      </c>
    </row>
    <row r="26" spans="2:128" ht="15">
      <c r="B26" s="480" t="s">
        <v>198</v>
      </c>
      <c r="C26" s="512">
        <v>64.650000000000006</v>
      </c>
      <c r="D26" s="512"/>
      <c r="E26" s="512">
        <v>-2551.29</v>
      </c>
      <c r="F26" s="513">
        <v>-5597.55</v>
      </c>
      <c r="G26" s="513">
        <f>4000*0.21-1500*0.21</f>
        <v>525</v>
      </c>
      <c r="H26" s="513"/>
      <c r="I26" s="513">
        <f>2500*0.21</f>
        <v>525</v>
      </c>
      <c r="J26" s="513">
        <f t="shared" ref="J26:L26" si="20">2500*0.21</f>
        <v>525</v>
      </c>
      <c r="K26" s="513">
        <f t="shared" si="20"/>
        <v>525</v>
      </c>
      <c r="L26" s="513">
        <f t="shared" si="20"/>
        <v>525</v>
      </c>
      <c r="M26" s="512"/>
      <c r="N26" s="512">
        <v>-93.4</v>
      </c>
      <c r="O26" s="514">
        <f t="shared" si="4"/>
        <v>-5552.59</v>
      </c>
      <c r="P26" s="515"/>
      <c r="Q26" s="515"/>
      <c r="R26" s="515"/>
      <c r="S26" s="515"/>
      <c r="T26" s="515"/>
      <c r="U26" s="515"/>
      <c r="V26" s="515"/>
      <c r="W26" s="516"/>
      <c r="X26" s="532">
        <f>40.8</f>
        <v>40.799999999999997</v>
      </c>
      <c r="Y26" s="532"/>
      <c r="Z26" s="532"/>
      <c r="AB26" s="529">
        <f t="shared" si="5"/>
        <v>40.799999999999997</v>
      </c>
      <c r="AC26" s="547"/>
      <c r="AD26" s="515"/>
      <c r="AE26" s="515"/>
      <c r="AF26" s="532"/>
      <c r="AG26" s="532"/>
      <c r="AH26" s="532">
        <v>-76.64</v>
      </c>
      <c r="AI26" s="515"/>
      <c r="AJ26" s="515"/>
      <c r="AK26" s="531">
        <f t="shared" si="14"/>
        <v>-76.64</v>
      </c>
      <c r="AL26" s="532"/>
      <c r="AM26" s="541"/>
      <c r="AN26" s="515"/>
      <c r="AO26" s="515"/>
      <c r="AP26" s="541"/>
      <c r="AQ26" s="532">
        <f>4.6+25</f>
        <v>29.6</v>
      </c>
      <c r="AR26" s="515"/>
      <c r="AS26" s="515"/>
      <c r="AT26" s="515"/>
      <c r="AU26" s="515"/>
      <c r="AV26" s="515"/>
      <c r="AW26" s="515"/>
      <c r="AX26" s="519">
        <f t="shared" si="6"/>
        <v>29.6</v>
      </c>
      <c r="AY26" s="542"/>
      <c r="AZ26" s="515"/>
      <c r="BA26" s="515"/>
      <c r="BB26" s="515"/>
      <c r="BC26" s="515"/>
      <c r="BD26" s="515"/>
      <c r="BE26" s="515"/>
      <c r="BF26" s="515"/>
      <c r="BG26" s="515"/>
      <c r="BH26" s="516"/>
      <c r="BI26" s="532">
        <f>645.94+32.3</f>
        <v>678.24</v>
      </c>
      <c r="BJ26" s="520"/>
      <c r="BK26" s="519">
        <f t="shared" si="15"/>
        <v>678.24</v>
      </c>
      <c r="BL26" s="521"/>
      <c r="BM26" s="522"/>
      <c r="BN26" s="532">
        <f>613.64</f>
        <v>613.64</v>
      </c>
      <c r="BO26" s="542">
        <v>15.75</v>
      </c>
      <c r="BP26" s="522"/>
      <c r="BQ26" s="523"/>
      <c r="BR26" s="522"/>
      <c r="BS26" s="541"/>
      <c r="BT26" s="560">
        <v>132.99</v>
      </c>
      <c r="BU26" s="532">
        <f>613.64</f>
        <v>613.64</v>
      </c>
      <c r="BV26" s="522"/>
      <c r="BW26" s="524"/>
      <c r="BX26" s="519">
        <f t="shared" si="7"/>
        <v>1376.02</v>
      </c>
      <c r="BY26" s="525"/>
      <c r="BZ26" s="534">
        <f>978+931.43</f>
        <v>1909.4299999999998</v>
      </c>
      <c r="CA26" s="544">
        <f>613.64</f>
        <v>613.64</v>
      </c>
      <c r="CB26" s="525"/>
      <c r="CC26" s="525"/>
      <c r="CD26" s="525"/>
      <c r="CE26" s="525"/>
      <c r="CF26" s="525"/>
      <c r="CG26" s="534">
        <v>127.66</v>
      </c>
      <c r="CH26" s="534">
        <f>623.45+44.1</f>
        <v>667.55000000000007</v>
      </c>
      <c r="CI26" s="525"/>
      <c r="CJ26" s="525"/>
      <c r="CK26" s="519">
        <f t="shared" si="10"/>
        <v>3318.2799999999997</v>
      </c>
      <c r="CL26" s="526"/>
      <c r="CM26" s="534">
        <f>411.24+80.12+922.87</f>
        <v>1414.23</v>
      </c>
      <c r="CN26" s="544">
        <v>623.45000000000005</v>
      </c>
      <c r="CO26" s="525"/>
      <c r="CP26" s="525"/>
      <c r="CQ26" s="525"/>
      <c r="CR26" s="534">
        <v>3144</v>
      </c>
      <c r="CS26" s="534">
        <v>130.93</v>
      </c>
      <c r="CT26" s="534">
        <f>9211.28+7103.57+527.62+5526.76</f>
        <v>22369.230000000003</v>
      </c>
      <c r="CU26" s="534">
        <f>623.45+9.56+9.56+9.56+9.56+9.56</f>
        <v>671.24999999999977</v>
      </c>
      <c r="CV26" s="525"/>
      <c r="CW26" s="525"/>
      <c r="CX26" s="528">
        <f t="shared" si="11"/>
        <v>28353.090000000004</v>
      </c>
      <c r="CY26" s="541"/>
      <c r="CZ26" s="534">
        <v>100</v>
      </c>
      <c r="DA26" s="544">
        <f>623.45</f>
        <v>623.45000000000005</v>
      </c>
      <c r="DB26" s="541"/>
      <c r="DC26" s="533"/>
      <c r="DD26" s="541"/>
      <c r="DE26" s="534">
        <v>4957.84</v>
      </c>
      <c r="DF26" s="541"/>
      <c r="DG26" s="534">
        <v>127.66</v>
      </c>
      <c r="DH26" s="782">
        <f>616.93</f>
        <v>616.92999999999995</v>
      </c>
      <c r="DI26" s="536">
        <f>922.87</f>
        <v>922.87</v>
      </c>
      <c r="DJ26" s="527"/>
      <c r="DK26" s="528">
        <f t="shared" si="8"/>
        <v>7348.75</v>
      </c>
      <c r="DX26" s="519">
        <f t="shared" si="9"/>
        <v>0</v>
      </c>
    </row>
    <row r="27" spans="2:128" ht="15">
      <c r="B27" s="480" t="s">
        <v>199</v>
      </c>
      <c r="C27" s="512">
        <f>6.09+3.95+5.91-3.95+0.67</f>
        <v>12.67</v>
      </c>
      <c r="D27" s="512">
        <f>70+0.67</f>
        <v>70.67</v>
      </c>
      <c r="E27" s="512">
        <v>0.79</v>
      </c>
      <c r="F27" s="513"/>
      <c r="G27" s="513"/>
      <c r="H27" s="513"/>
      <c r="I27" s="513"/>
      <c r="J27" s="513"/>
      <c r="K27" s="513"/>
      <c r="L27" s="513"/>
      <c r="M27" s="512"/>
      <c r="N27" s="512">
        <v>-3.95</v>
      </c>
      <c r="O27" s="514">
        <f t="shared" si="4"/>
        <v>80.180000000000007</v>
      </c>
      <c r="P27" s="515">
        <v>12</v>
      </c>
      <c r="Q27" s="515">
        <f>12.1+3.95+3.95-12-12.1+50</f>
        <v>45.9</v>
      </c>
      <c r="R27" s="515">
        <f>-50-3.95-3.95</f>
        <v>-57.900000000000006</v>
      </c>
      <c r="S27" s="515"/>
      <c r="T27" s="515">
        <v>28.28</v>
      </c>
      <c r="U27" s="515"/>
      <c r="V27" s="515">
        <v>77.599999999999994</v>
      </c>
      <c r="W27" s="516">
        <f>0.3+15+21.77</f>
        <v>37.07</v>
      </c>
      <c r="X27" s="532">
        <f>87.56-43.78-7.5-10.89</f>
        <v>25.39</v>
      </c>
      <c r="Y27" s="515"/>
      <c r="Z27" s="515"/>
      <c r="AA27" s="515"/>
      <c r="AB27" s="529">
        <f t="shared" si="5"/>
        <v>168.33999999999997</v>
      </c>
      <c r="AC27" s="547">
        <f>1+25+7.5</f>
        <v>33.5</v>
      </c>
      <c r="AD27" s="532">
        <f>80+1</f>
        <v>81</v>
      </c>
      <c r="AE27" s="532">
        <v>78</v>
      </c>
      <c r="AF27" s="532">
        <f>250+20/1.0849+145.8/1.0849</f>
        <v>402.82514517467052</v>
      </c>
      <c r="AG27" s="532">
        <f>77.6+1+72.9/1.0849+20.61/1.0905</f>
        <v>164.69472053725374</v>
      </c>
      <c r="AH27" s="532">
        <f>0.3+52.29/1.0898+145.8/1.0975</f>
        <v>181.12866137900792</v>
      </c>
      <c r="AI27" s="532">
        <f>80+20/1.0981</f>
        <v>98.213277479282397</v>
      </c>
      <c r="AJ27" s="532">
        <v>145.09</v>
      </c>
      <c r="AK27" s="531">
        <f t="shared" si="14"/>
        <v>1184.4518045702146</v>
      </c>
      <c r="AL27" s="532">
        <f>-145.09+7</f>
        <v>-138.09</v>
      </c>
      <c r="AM27" s="532">
        <f>4.78+1200+20/1.1094</f>
        <v>1222.8077627546422</v>
      </c>
      <c r="AN27" s="532"/>
      <c r="AO27" s="532">
        <f>269.25</f>
        <v>269.25</v>
      </c>
      <c r="AP27" s="532">
        <f>80+25*4+220/1.225+403.18/1.2240464+145.8/1.1094</f>
        <v>820.39716564059165</v>
      </c>
      <c r="AQ27" s="542">
        <f>-214/1.224046-(192.5+18.18)/1.224046-80-12.5*4</f>
        <v>-476.94774542786791</v>
      </c>
      <c r="AR27" s="561">
        <f>274.8/1.1338</f>
        <v>242.37078849885344</v>
      </c>
      <c r="AS27" s="542">
        <f>14.4/1.224+7.39/1.2018+1.39+14.85+68.7/1.1338</f>
        <v>94.746512675896383</v>
      </c>
      <c r="AT27" s="542">
        <f>15+15+7.41/1.20388+7.49/1.20499-7.5-7.5+5517.46/1.13377</f>
        <v>4893.8429535076702</v>
      </c>
      <c r="AU27" s="542">
        <f>1+2+(18.27/1.20499)+(65.57/1.20499)+(556.38/1.1539)+(30/1.1539)+30+(55/1.205)</f>
        <v>656.39277971111983</v>
      </c>
      <c r="AV27" s="542">
        <f>1+178.97+2.43+1200+(171.75/1.153899)</f>
        <v>1531.2431829822194</v>
      </c>
      <c r="AW27" s="542">
        <f>10.34+(34.35/1.153899)</f>
        <v>40.108636596443887</v>
      </c>
      <c r="AX27" s="519">
        <f>SUM(AL27:AW27)</f>
        <v>9156.1220369395687</v>
      </c>
      <c r="AY27" s="542">
        <f>3+3+716.07/1.1539+673.17/1.1629+78.3+120</f>
        <v>1403.7368263502306</v>
      </c>
      <c r="AZ27" s="542">
        <f>7.12/1.1637-120+24.88+12.13+31.33/1.1637</f>
        <v>-49.948838188536577</v>
      </c>
      <c r="BA27" s="541"/>
      <c r="BB27" s="561">
        <f>70-70+3+78.3+504.47</f>
        <v>585.77</v>
      </c>
      <c r="BC27" s="542">
        <f>12.28+30.45/1.1374</f>
        <v>39.051584315104627</v>
      </c>
      <c r="BD27" s="561">
        <f>1+88.78</f>
        <v>89.78</v>
      </c>
      <c r="BE27" s="561">
        <f>1+4.43+88.92</f>
        <v>94.35</v>
      </c>
      <c r="BF27" s="542">
        <f>12.29+59.28+(832.3+173.64)</f>
        <v>1077.51</v>
      </c>
      <c r="BG27" s="561">
        <f>238.84+1.63</f>
        <v>240.47</v>
      </c>
      <c r="BH27" s="542">
        <f>-(752.3+143.64)+225.51+15+0.91+28.85/1.0784</f>
        <v>-627.76740356083087</v>
      </c>
      <c r="BI27" s="542">
        <f>292.78+11.93+6.13+0.36+12</f>
        <v>323.2</v>
      </c>
      <c r="BJ27" s="542">
        <f>12+782.17</f>
        <v>794.17</v>
      </c>
      <c r="BK27" s="519">
        <f>SUM(AY27:BJ27)</f>
        <v>3970.3221689159673</v>
      </c>
      <c r="BL27" s="542">
        <f>-287.24+1.09+12</f>
        <v>-274.15000000000003</v>
      </c>
      <c r="BM27" s="542">
        <f>16.53+12+11.89+26.77</f>
        <v>67.19</v>
      </c>
      <c r="BN27" s="542">
        <f>660.5+12+0.54</f>
        <v>673.04</v>
      </c>
      <c r="BO27" s="542">
        <f>112.21+27.91+12+0.36</f>
        <v>152.48000000000002</v>
      </c>
      <c r="BP27" s="560">
        <f>4.05+13.22+0.18+12</f>
        <v>29.45</v>
      </c>
      <c r="BQ27" s="560">
        <f>1.09+12</f>
        <v>13.09</v>
      </c>
      <c r="BR27" s="542">
        <f>26.61+12+762/1.075+762/1.0596</f>
        <v>1466.5865071505702</v>
      </c>
      <c r="BS27" s="561">
        <f>0.73-0.73-1.09-0.18-0.36-0.54+12+100/1.0821</f>
        <v>102.24290084095739</v>
      </c>
      <c r="BT27" s="561">
        <f>12</f>
        <v>12</v>
      </c>
      <c r="BU27" s="542">
        <f>27.72+12</f>
        <v>39.72</v>
      </c>
      <c r="BV27" s="542">
        <f>18.73+18.73+12</f>
        <v>49.46</v>
      </c>
      <c r="BW27" s="542">
        <f>12+63.26-63.26</f>
        <v>11.999999999999993</v>
      </c>
      <c r="BX27" s="519">
        <f>SUM(BL27:BW27)</f>
        <v>2343.1094079915274</v>
      </c>
      <c r="BY27" s="544">
        <f>12</f>
        <v>12</v>
      </c>
      <c r="BZ27" s="534">
        <f>12+48.59+349.54+95.95+52.82+48.43+73.95/1.0815</f>
        <v>675.70725381414695</v>
      </c>
      <c r="CA27" s="534">
        <f>15.08+1051.8/1.0813+12</f>
        <v>999.79802460001861</v>
      </c>
      <c r="CB27" s="534">
        <v>12</v>
      </c>
      <c r="CC27" s="534">
        <f>12+40+40+572.86/1.0866</f>
        <v>619.20412295232836</v>
      </c>
      <c r="CD27" s="534">
        <f>12+90.34+66.31</f>
        <v>168.65</v>
      </c>
      <c r="CE27" s="534">
        <f>89.68+12+103.05/1.0866+153.85+8.82</f>
        <v>359.18710657095522</v>
      </c>
      <c r="CF27" s="534">
        <f>39.45+119.6+2.09+68.7/1.0866+12.64</f>
        <v>237.0047377139702</v>
      </c>
      <c r="CG27" s="534">
        <f>103.05/1.0866+12</f>
        <v>106.83710657095527</v>
      </c>
      <c r="CH27" s="534">
        <f>46.65+33.1+150.62+111.49+8.03+68.7/1.0866+100+12</f>
        <v>525.11473771397016</v>
      </c>
      <c r="CI27" s="534">
        <f>12.71-100+7.42+174.08+118.26+3.03+1143/1.0857+24.04+12</f>
        <v>1304.3170102238187</v>
      </c>
      <c r="CJ27" s="544">
        <f>2.7+12+2286/1.1021</f>
        <v>2088.9219399328549</v>
      </c>
      <c r="CK27" s="519">
        <f>SUM(BY27:CJ27)</f>
        <v>7108.7420400930177</v>
      </c>
      <c r="CL27" s="615">
        <f>6.34+3.95+16.28+2.77+50.95+27.22+12</f>
        <v>119.51</v>
      </c>
      <c r="CM27" s="544">
        <f>20.12+12+206.1/1.1034+23.77+21.16</f>
        <v>263.8362969004894</v>
      </c>
      <c r="CN27" s="544">
        <f>892.14/1.0951+299.55+12+30/1.0951</f>
        <v>1153.6100858369098</v>
      </c>
      <c r="CO27" s="544">
        <f>228.8+12</f>
        <v>240.8</v>
      </c>
      <c r="CP27" s="534">
        <f>3+3+(12+12+12)+(293.14+293.14+146.57+123.28)+293.29/1.0637+12+40+40+35.47</f>
        <v>1301.3262386011093</v>
      </c>
      <c r="CQ27" s="534">
        <f>12+12+275.4/1.0281+32.25</f>
        <v>324.12277502188499</v>
      </c>
      <c r="CR27" s="534">
        <f>-12-12-12-12-12+32.9+137.37+12</f>
        <v>122.27000000000001</v>
      </c>
      <c r="CS27" s="534">
        <f>189.89+1125+12+103.05/1.0281</f>
        <v>1427.1234403268163</v>
      </c>
      <c r="CT27" s="534">
        <f>207.4+12+128.93+160.39</f>
        <v>508.72</v>
      </c>
      <c r="CU27" s="534">
        <f>38.78+144.83+132.27+137.4/1.0465+12</f>
        <v>459.17479216435737</v>
      </c>
      <c r="CV27" s="534">
        <f>30/1.0465+12+22.77</f>
        <v>63.436985188724321</v>
      </c>
      <c r="CW27" s="534">
        <f>12+103.05/1.0465</f>
        <v>110.47109412326803</v>
      </c>
      <c r="CX27" s="528">
        <f t="shared" si="11"/>
        <v>6094.4017081635593</v>
      </c>
      <c r="CY27" s="534">
        <f>12+34.35/1.0465</f>
        <v>44.823698041089344</v>
      </c>
      <c r="CZ27" s="534">
        <f>202.56+12+34.35/1.0465</f>
        <v>247.38369804108936</v>
      </c>
      <c r="DA27" s="534">
        <f>26+187+247.32/1.0465+12</f>
        <v>461.3306258958433</v>
      </c>
      <c r="DB27" s="534">
        <f>-27.82+3+12</f>
        <v>-12.82</v>
      </c>
      <c r="DC27" s="534">
        <f>722.93+360.43+2.41+56+56+40+40+12</f>
        <v>1289.77</v>
      </c>
      <c r="DD27" s="534">
        <f>-56-56+20.61/1.0648+3+3+12</f>
        <v>-74.644252441773105</v>
      </c>
      <c r="DE27" s="534">
        <f>-56.97+950+151.9+3+12+20.61/1.0648</f>
        <v>1079.2857475582271</v>
      </c>
      <c r="DF27" s="534">
        <f>12+80.61/1.0825</f>
        <v>86.466512702078518</v>
      </c>
      <c r="DG27" s="534">
        <f>747.69+247.04+30/1.0825+20.61/1.0868+12+2</f>
        <v>1055.4075566720869</v>
      </c>
      <c r="DH27" s="782">
        <f>15+0.91</f>
        <v>15.91</v>
      </c>
      <c r="DK27" s="528">
        <f t="shared" si="8"/>
        <v>4192.9135864686414</v>
      </c>
      <c r="DX27" s="519">
        <f t="shared" si="9"/>
        <v>0</v>
      </c>
    </row>
    <row r="28" spans="2:128" ht="13.5" customHeight="1">
      <c r="B28" s="480" t="s">
        <v>203</v>
      </c>
      <c r="C28" s="512"/>
      <c r="D28" s="512"/>
      <c r="E28" s="512"/>
      <c r="F28" s="513"/>
      <c r="G28" s="513"/>
      <c r="H28" s="513"/>
      <c r="I28" s="513"/>
      <c r="J28" s="513"/>
      <c r="K28" s="513"/>
      <c r="L28" s="513"/>
      <c r="M28" s="512"/>
      <c r="N28" s="512"/>
      <c r="O28" s="514">
        <f t="shared" si="4"/>
        <v>0</v>
      </c>
      <c r="P28" s="515"/>
      <c r="Q28" s="515"/>
      <c r="R28" s="515"/>
      <c r="S28" s="515">
        <v>1217.1099999999999</v>
      </c>
      <c r="T28" s="515">
        <v>64.2</v>
      </c>
      <c r="U28" s="515"/>
      <c r="V28" s="515"/>
      <c r="W28" s="516"/>
      <c r="X28" s="515"/>
      <c r="Y28" s="515"/>
      <c r="Z28" s="515"/>
      <c r="AA28" s="515"/>
      <c r="AB28" s="529">
        <f t="shared" si="5"/>
        <v>1281.31</v>
      </c>
      <c r="AC28" s="518"/>
      <c r="AD28" s="515"/>
      <c r="AE28" s="515"/>
      <c r="AF28" s="515"/>
      <c r="AG28" s="515"/>
      <c r="AH28" s="515"/>
      <c r="AI28" s="515"/>
      <c r="AJ28" s="515"/>
      <c r="AK28" s="531">
        <f t="shared" si="14"/>
        <v>0</v>
      </c>
      <c r="AL28" s="532"/>
      <c r="AM28" s="515"/>
      <c r="AN28" s="515"/>
      <c r="AO28" s="515"/>
      <c r="AP28" s="515"/>
      <c r="AQ28" s="515"/>
      <c r="AR28" s="515"/>
      <c r="AS28" s="515"/>
      <c r="AT28" s="515"/>
      <c r="AU28" s="515"/>
      <c r="AV28" s="515"/>
      <c r="AW28" s="515"/>
      <c r="AX28" s="519">
        <f t="shared" si="6"/>
        <v>0</v>
      </c>
      <c r="AY28" s="518"/>
      <c r="AZ28" s="515"/>
      <c r="BA28" s="515"/>
      <c r="BB28" s="515"/>
      <c r="BC28" s="515"/>
      <c r="BD28" s="515"/>
      <c r="BE28" s="515"/>
      <c r="BF28" s="515"/>
      <c r="BG28" s="515"/>
      <c r="BH28" s="515"/>
      <c r="BI28" s="515"/>
      <c r="BJ28" s="520"/>
      <c r="BK28" s="519">
        <f t="shared" si="15"/>
        <v>0</v>
      </c>
      <c r="BL28" s="521"/>
      <c r="BM28" s="522"/>
      <c r="BN28" s="522"/>
      <c r="BO28" s="522"/>
      <c r="BP28" s="522"/>
      <c r="BQ28" s="522"/>
      <c r="BR28" s="522"/>
      <c r="BS28" s="522"/>
      <c r="BT28" s="522"/>
      <c r="BU28" s="522"/>
      <c r="BV28" s="522"/>
      <c r="BW28" s="524"/>
      <c r="BX28" s="519">
        <f t="shared" si="7"/>
        <v>0</v>
      </c>
      <c r="BY28" s="525"/>
      <c r="BZ28" s="525"/>
      <c r="CA28" s="525"/>
      <c r="CB28" s="525"/>
      <c r="CC28" s="525"/>
      <c r="CD28" s="525"/>
      <c r="CE28" s="525"/>
      <c r="CF28" s="525"/>
      <c r="CG28" s="534">
        <v>411.3</v>
      </c>
      <c r="CH28" s="525"/>
      <c r="CI28" s="525"/>
      <c r="CJ28" s="644">
        <f>287-50</f>
        <v>237</v>
      </c>
      <c r="CK28" s="519">
        <f>SUM(BY28:CJ28)</f>
        <v>648.29999999999995</v>
      </c>
      <c r="CL28" s="644"/>
      <c r="CM28" s="525"/>
      <c r="CN28" s="525"/>
      <c r="CO28" s="525"/>
      <c r="CP28" s="525"/>
      <c r="CQ28" s="525"/>
      <c r="CR28" s="525"/>
      <c r="CS28" s="525"/>
      <c r="CT28" s="525"/>
      <c r="CU28" s="534">
        <v>829.83</v>
      </c>
      <c r="CV28" s="525"/>
      <c r="CW28" s="525"/>
      <c r="CX28" s="528">
        <f>SUM(CL28:CW28)</f>
        <v>829.83</v>
      </c>
      <c r="CY28" s="541"/>
      <c r="CZ28" s="534">
        <v>484.39</v>
      </c>
      <c r="DA28" s="541"/>
      <c r="DB28" s="541"/>
      <c r="DC28" s="541"/>
      <c r="DD28" s="541"/>
      <c r="DE28" s="541"/>
      <c r="DF28" s="541"/>
      <c r="DG28" s="541"/>
      <c r="DH28" s="782">
        <f>1042.71+218.97</f>
        <v>1261.68</v>
      </c>
      <c r="DK28" s="528">
        <f t="shared" si="8"/>
        <v>1746.0700000000002</v>
      </c>
      <c r="DX28" s="519">
        <f t="shared" si="9"/>
        <v>0</v>
      </c>
    </row>
    <row r="29" spans="2:128" ht="15">
      <c r="B29" s="480" t="s">
        <v>204</v>
      </c>
      <c r="C29" s="512"/>
      <c r="D29" s="512"/>
      <c r="E29" s="512"/>
      <c r="F29" s="513"/>
      <c r="G29" s="513"/>
      <c r="H29" s="513"/>
      <c r="I29" s="513"/>
      <c r="J29" s="513"/>
      <c r="K29" s="513"/>
      <c r="L29" s="513"/>
      <c r="M29" s="512"/>
      <c r="N29" s="512"/>
      <c r="O29" s="514">
        <f t="shared" si="4"/>
        <v>0</v>
      </c>
      <c r="P29" s="515"/>
      <c r="Q29" s="515"/>
      <c r="R29" s="515"/>
      <c r="S29" s="515"/>
      <c r="T29" s="515"/>
      <c r="U29" s="515"/>
      <c r="V29" s="515"/>
      <c r="W29" s="516"/>
      <c r="X29" s="515"/>
      <c r="Y29" s="515"/>
      <c r="Z29" s="515"/>
      <c r="AA29" s="515"/>
      <c r="AB29" s="529">
        <f t="shared" si="5"/>
        <v>0</v>
      </c>
      <c r="AC29" s="547">
        <v>200</v>
      </c>
      <c r="AD29" s="515"/>
      <c r="AE29" s="515"/>
      <c r="AF29" s="515"/>
      <c r="AG29" s="515"/>
      <c r="AH29" s="515"/>
      <c r="AI29" s="515"/>
      <c r="AJ29" s="515"/>
      <c r="AK29" s="531">
        <f t="shared" si="14"/>
        <v>200</v>
      </c>
      <c r="AL29" s="532"/>
      <c r="AM29" s="515"/>
      <c r="AN29" s="515"/>
      <c r="AO29" s="542">
        <f>389.47+389.8</f>
        <v>779.27</v>
      </c>
      <c r="AP29" s="542">
        <f>354.84+336.36+343.07</f>
        <v>1034.27</v>
      </c>
      <c r="AQ29" s="542">
        <f>347.82+194.57+309.1</f>
        <v>851.49</v>
      </c>
      <c r="AR29" s="515"/>
      <c r="AS29" s="515"/>
      <c r="AT29" s="532">
        <f>312.33</f>
        <v>312.33</v>
      </c>
      <c r="AU29" s="515"/>
      <c r="AV29" s="515"/>
      <c r="AW29" s="515"/>
      <c r="AX29" s="519">
        <f t="shared" si="6"/>
        <v>2977.3599999999997</v>
      </c>
      <c r="AY29" s="518"/>
      <c r="AZ29" s="515"/>
      <c r="BA29" s="515"/>
      <c r="BB29" s="532">
        <f>2406.07+715</f>
        <v>3121.07</v>
      </c>
      <c r="BC29" s="522"/>
      <c r="BD29" s="541"/>
      <c r="BE29" s="515"/>
      <c r="BF29" s="515"/>
      <c r="BG29" s="532">
        <v>339.63</v>
      </c>
      <c r="BH29" s="515"/>
      <c r="BI29" s="515"/>
      <c r="BJ29" s="573">
        <v>162.44999999999999</v>
      </c>
      <c r="BK29" s="519">
        <f t="shared" si="15"/>
        <v>3623.15</v>
      </c>
      <c r="BL29" s="521"/>
      <c r="BM29" s="522"/>
      <c r="BN29" s="522"/>
      <c r="BO29" s="541"/>
      <c r="BP29" s="542">
        <v>4526.01</v>
      </c>
      <c r="BQ29" s="522"/>
      <c r="BR29" s="542">
        <v>466.75</v>
      </c>
      <c r="BS29" s="542">
        <v>-466.75</v>
      </c>
      <c r="BT29" s="522"/>
      <c r="BU29" s="522"/>
      <c r="BV29" s="522"/>
      <c r="BW29" s="524"/>
      <c r="BX29" s="519">
        <f t="shared" si="7"/>
        <v>4526.01</v>
      </c>
      <c r="BY29" s="525"/>
      <c r="BZ29" s="525"/>
      <c r="CA29" s="544">
        <f>933.15-855.94</f>
        <v>77.209999999999923</v>
      </c>
      <c r="CB29" s="544">
        <f>477.95</f>
        <v>477.95</v>
      </c>
      <c r="CC29" s="525"/>
      <c r="CD29" s="533"/>
      <c r="CE29" s="545">
        <f>933.15-77.21</f>
        <v>855.93999999999994</v>
      </c>
      <c r="CF29" s="525"/>
      <c r="CG29" s="544">
        <v>121.01</v>
      </c>
      <c r="CH29" s="525"/>
      <c r="CI29" s="541"/>
      <c r="CJ29" s="525"/>
      <c r="CK29" s="519">
        <f t="shared" si="10"/>
        <v>1532.11</v>
      </c>
      <c r="CL29" s="543"/>
      <c r="CM29" s="545">
        <v>477.88</v>
      </c>
      <c r="CN29" s="545">
        <v>444.07</v>
      </c>
      <c r="CO29" s="545">
        <v>400.91</v>
      </c>
      <c r="CP29" s="533"/>
      <c r="CQ29" s="525"/>
      <c r="CR29" s="525"/>
      <c r="CS29" s="525"/>
      <c r="CT29" s="525"/>
      <c r="CU29" s="525"/>
      <c r="CV29" s="525"/>
      <c r="CW29" s="525"/>
      <c r="CX29" s="528">
        <f>SUM(CM29:CW29)</f>
        <v>1322.8600000000001</v>
      </c>
      <c r="CY29" s="541"/>
      <c r="CZ29" s="541"/>
      <c r="DA29" s="541"/>
      <c r="DB29" s="541"/>
      <c r="DC29" s="541"/>
      <c r="DD29" s="541"/>
      <c r="DE29" s="541"/>
      <c r="DF29" s="541"/>
      <c r="DG29" s="541"/>
      <c r="DK29" s="528">
        <f t="shared" si="8"/>
        <v>0</v>
      </c>
      <c r="DX29" s="519">
        <f t="shared" si="9"/>
        <v>0</v>
      </c>
    </row>
    <row r="30" spans="2:128" ht="15" hidden="1">
      <c r="B30" s="480" t="s">
        <v>205</v>
      </c>
      <c r="C30" s="512"/>
      <c r="D30" s="512"/>
      <c r="E30" s="512"/>
      <c r="F30" s="513"/>
      <c r="G30" s="513"/>
      <c r="H30" s="513"/>
      <c r="I30" s="513"/>
      <c r="J30" s="513"/>
      <c r="K30" s="513"/>
      <c r="L30" s="513"/>
      <c r="M30" s="512"/>
      <c r="N30" s="512"/>
      <c r="O30" s="514">
        <f t="shared" si="4"/>
        <v>0</v>
      </c>
      <c r="P30" s="515"/>
      <c r="Q30" s="515"/>
      <c r="R30" s="515"/>
      <c r="S30" s="515"/>
      <c r="T30" s="515"/>
      <c r="U30" s="515"/>
      <c r="V30" s="515"/>
      <c r="W30" s="516"/>
      <c r="X30" s="515"/>
      <c r="Y30" s="515"/>
      <c r="Z30" s="515"/>
      <c r="AA30" s="515"/>
      <c r="AB30" s="529">
        <f t="shared" si="5"/>
        <v>0</v>
      </c>
      <c r="AC30" s="518"/>
      <c r="AD30" s="515"/>
      <c r="AE30" s="515"/>
      <c r="AF30" s="532">
        <v>4200</v>
      </c>
      <c r="AG30" s="515"/>
      <c r="AH30" s="515"/>
      <c r="AI30" s="532">
        <v>-4200</v>
      </c>
      <c r="AJ30" s="515"/>
      <c r="AK30" s="531">
        <f t="shared" si="14"/>
        <v>0</v>
      </c>
      <c r="AL30" s="532"/>
      <c r="AM30" s="515"/>
      <c r="AN30" s="515"/>
      <c r="AO30" s="515"/>
      <c r="AP30" s="515"/>
      <c r="AQ30" s="515"/>
      <c r="AR30" s="515"/>
      <c r="AS30" s="515"/>
      <c r="AT30" s="515"/>
      <c r="AU30" s="515"/>
      <c r="AV30" s="515"/>
      <c r="AW30" s="515"/>
      <c r="AX30" s="519">
        <f t="shared" si="6"/>
        <v>0</v>
      </c>
      <c r="AY30" s="518"/>
      <c r="AZ30" s="515"/>
      <c r="BA30" s="515"/>
      <c r="BB30" s="515"/>
      <c r="BC30" s="515"/>
      <c r="BD30" s="515"/>
      <c r="BE30" s="515"/>
      <c r="BF30" s="515"/>
      <c r="BG30" s="515"/>
      <c r="BH30" s="515"/>
      <c r="BI30" s="515"/>
      <c r="BJ30" s="520"/>
      <c r="BK30" s="519">
        <f t="shared" si="15"/>
        <v>0</v>
      </c>
      <c r="BL30" s="521"/>
      <c r="BM30" s="522"/>
      <c r="BN30" s="522"/>
      <c r="BO30" s="522"/>
      <c r="BP30" s="522"/>
      <c r="BQ30" s="522"/>
      <c r="BR30" s="522"/>
      <c r="BS30" s="522"/>
      <c r="BT30" s="522"/>
      <c r="BU30" s="522"/>
      <c r="BV30" s="522"/>
      <c r="BW30" s="524"/>
      <c r="BX30" s="519">
        <f t="shared" si="7"/>
        <v>0</v>
      </c>
      <c r="BY30" s="525"/>
      <c r="BZ30" s="525"/>
      <c r="CA30" s="525"/>
      <c r="CB30" s="525"/>
      <c r="CC30" s="525"/>
      <c r="CD30" s="525"/>
      <c r="CE30" s="527"/>
      <c r="CF30" s="525"/>
      <c r="CG30" s="525"/>
      <c r="CH30" s="525"/>
      <c r="CI30" s="527"/>
      <c r="CJ30" s="525"/>
      <c r="CK30" s="519">
        <f t="shared" si="10"/>
        <v>0</v>
      </c>
      <c r="CL30" s="526"/>
      <c r="CM30" s="527"/>
      <c r="CN30" s="527"/>
      <c r="CO30" s="527"/>
      <c r="CP30" s="525"/>
      <c r="CQ30" s="525"/>
      <c r="CR30" s="525"/>
      <c r="CS30" s="525"/>
      <c r="CT30" s="525"/>
      <c r="CU30" s="525"/>
      <c r="CV30" s="527"/>
      <c r="CW30" s="525"/>
      <c r="CX30" s="528">
        <f t="shared" si="11"/>
        <v>0</v>
      </c>
      <c r="CY30" s="541"/>
      <c r="CZ30" s="541"/>
      <c r="DA30" s="541"/>
      <c r="DC30" s="541"/>
      <c r="DD30" s="541"/>
      <c r="DE30" s="541"/>
      <c r="DF30" s="541"/>
      <c r="DG30" s="541"/>
      <c r="DK30" s="528">
        <f t="shared" si="8"/>
        <v>0</v>
      </c>
      <c r="DX30" s="519">
        <f t="shared" si="9"/>
        <v>0</v>
      </c>
    </row>
    <row r="31" spans="2:128" ht="15" hidden="1">
      <c r="B31" s="480" t="s">
        <v>206</v>
      </c>
      <c r="C31" s="512"/>
      <c r="D31" s="512"/>
      <c r="E31" s="512"/>
      <c r="F31" s="513"/>
      <c r="G31" s="513"/>
      <c r="H31" s="513"/>
      <c r="I31" s="513"/>
      <c r="J31" s="513"/>
      <c r="K31" s="513"/>
      <c r="L31" s="513"/>
      <c r="M31" s="512"/>
      <c r="N31" s="512"/>
      <c r="O31" s="514">
        <f t="shared" si="4"/>
        <v>0</v>
      </c>
      <c r="P31" s="515"/>
      <c r="Q31" s="515"/>
      <c r="R31" s="515"/>
      <c r="S31" s="515"/>
      <c r="T31" s="515"/>
      <c r="U31" s="515"/>
      <c r="V31" s="515"/>
      <c r="W31" s="516"/>
      <c r="X31" s="515"/>
      <c r="Y31" s="515"/>
      <c r="Z31" s="515"/>
      <c r="AA31" s="515"/>
      <c r="AB31" s="529">
        <f t="shared" si="5"/>
        <v>0</v>
      </c>
      <c r="AC31" s="518"/>
      <c r="AD31" s="515"/>
      <c r="AE31" s="532">
        <f>600+126-90</f>
        <v>636</v>
      </c>
      <c r="AF31" s="515"/>
      <c r="AG31" s="515"/>
      <c r="AH31" s="515"/>
      <c r="AI31" s="515"/>
      <c r="AJ31" s="515"/>
      <c r="AK31" s="531">
        <f t="shared" si="14"/>
        <v>636</v>
      </c>
      <c r="AL31" s="532"/>
      <c r="AM31" s="515"/>
      <c r="AN31" s="515"/>
      <c r="AO31" s="515"/>
      <c r="AP31" s="515"/>
      <c r="AQ31" s="515"/>
      <c r="AR31" s="515"/>
      <c r="AS31" s="515"/>
      <c r="AT31" s="515"/>
      <c r="AU31" s="515"/>
      <c r="AV31" s="515"/>
      <c r="AW31" s="515"/>
      <c r="AX31" s="519">
        <f t="shared" si="6"/>
        <v>0</v>
      </c>
      <c r="AY31" s="518"/>
      <c r="AZ31" s="515"/>
      <c r="BA31" s="515"/>
      <c r="BB31" s="515"/>
      <c r="BC31" s="515"/>
      <c r="BD31" s="515"/>
      <c r="BE31" s="515"/>
      <c r="BF31" s="515"/>
      <c r="BG31" s="515"/>
      <c r="BH31" s="515"/>
      <c r="BI31" s="515"/>
      <c r="BJ31" s="520"/>
      <c r="BK31" s="519">
        <f t="shared" si="15"/>
        <v>0</v>
      </c>
      <c r="BL31" s="521"/>
      <c r="BM31" s="522"/>
      <c r="BN31" s="522"/>
      <c r="BO31" s="522"/>
      <c r="BP31" s="522"/>
      <c r="BQ31" s="522"/>
      <c r="BR31" s="522"/>
      <c r="BS31" s="522"/>
      <c r="BT31" s="522"/>
      <c r="BU31" s="522"/>
      <c r="BV31" s="522"/>
      <c r="BW31" s="524"/>
      <c r="BX31" s="519">
        <f t="shared" si="7"/>
        <v>0</v>
      </c>
      <c r="BY31" s="525"/>
      <c r="BZ31" s="525"/>
      <c r="CA31" s="525"/>
      <c r="CB31" s="525"/>
      <c r="CC31" s="525"/>
      <c r="CD31" s="525"/>
      <c r="CE31" s="527"/>
      <c r="CF31" s="525"/>
      <c r="CG31" s="525"/>
      <c r="CH31" s="525"/>
      <c r="CI31" s="527"/>
      <c r="CJ31" s="525"/>
      <c r="CK31" s="519">
        <f t="shared" si="10"/>
        <v>0</v>
      </c>
      <c r="CL31" s="526"/>
      <c r="CM31" s="527"/>
      <c r="CN31" s="527"/>
      <c r="CO31" s="527"/>
      <c r="CP31" s="525"/>
      <c r="CQ31" s="525"/>
      <c r="CR31" s="525"/>
      <c r="CS31" s="525"/>
      <c r="CT31" s="525"/>
      <c r="CU31" s="525"/>
      <c r="CV31" s="527"/>
      <c r="CW31" s="525"/>
      <c r="CX31" s="528">
        <f t="shared" si="11"/>
        <v>0</v>
      </c>
      <c r="CY31" s="541"/>
      <c r="CZ31" s="541"/>
      <c r="DA31" s="541"/>
      <c r="DC31" s="541"/>
      <c r="DD31" s="541"/>
      <c r="DE31" s="541"/>
      <c r="DF31" s="541"/>
      <c r="DG31" s="541"/>
      <c r="DK31" s="528">
        <f t="shared" si="8"/>
        <v>0</v>
      </c>
      <c r="DX31" s="519">
        <f t="shared" si="9"/>
        <v>0</v>
      </c>
    </row>
    <row r="32" spans="2:128" ht="15">
      <c r="B32" s="480" t="s">
        <v>207</v>
      </c>
      <c r="C32" s="512"/>
      <c r="D32" s="512"/>
      <c r="E32" s="512"/>
      <c r="F32" s="513"/>
      <c r="G32" s="513"/>
      <c r="H32" s="513"/>
      <c r="I32" s="513"/>
      <c r="J32" s="513"/>
      <c r="K32" s="513"/>
      <c r="L32" s="513"/>
      <c r="M32" s="512"/>
      <c r="N32" s="512"/>
      <c r="O32" s="514">
        <f t="shared" si="4"/>
        <v>0</v>
      </c>
      <c r="P32" s="515"/>
      <c r="Q32" s="515"/>
      <c r="R32" s="515"/>
      <c r="S32" s="515"/>
      <c r="T32" s="515"/>
      <c r="U32" s="515"/>
      <c r="V32" s="515"/>
      <c r="W32" s="516"/>
      <c r="X32" s="515"/>
      <c r="Y32" s="515"/>
      <c r="Z32" s="515"/>
      <c r="AA32" s="515"/>
      <c r="AB32" s="529">
        <f t="shared" si="5"/>
        <v>0</v>
      </c>
      <c r="AC32" s="547">
        <f>9.78</f>
        <v>9.7799999999999994</v>
      </c>
      <c r="AD32" s="515"/>
      <c r="AE32" s="532">
        <f>8*1.21</f>
        <v>9.68</v>
      </c>
      <c r="AF32" s="532">
        <f>5.12</f>
        <v>5.12</v>
      </c>
      <c r="AG32" s="515"/>
      <c r="AH32" s="515"/>
      <c r="AI32" s="515"/>
      <c r="AJ32" s="515"/>
      <c r="AK32" s="531">
        <f t="shared" si="14"/>
        <v>24.580000000000002</v>
      </c>
      <c r="AL32" s="532"/>
      <c r="AM32" s="515"/>
      <c r="AN32" s="515"/>
      <c r="AO32" s="515"/>
      <c r="AP32" s="532">
        <v>10.67</v>
      </c>
      <c r="AQ32" s="532">
        <v>18.61</v>
      </c>
      <c r="AR32" s="532">
        <v>26.56</v>
      </c>
      <c r="AS32" s="532">
        <v>4.68</v>
      </c>
      <c r="AT32" s="515"/>
      <c r="AU32" s="532">
        <v>5.63</v>
      </c>
      <c r="AV32" s="515"/>
      <c r="AW32" s="532">
        <v>20.93</v>
      </c>
      <c r="AX32" s="519">
        <f t="shared" si="6"/>
        <v>87.080000000000013</v>
      </c>
      <c r="AY32" s="518"/>
      <c r="AZ32" s="515"/>
      <c r="BA32" s="515"/>
      <c r="BB32" s="515"/>
      <c r="BC32" s="532">
        <v>9.3699999999999992</v>
      </c>
      <c r="BD32" s="515"/>
      <c r="BE32" s="515"/>
      <c r="BF32" s="542">
        <v>165.5</v>
      </c>
      <c r="BG32" s="532">
        <v>8.26</v>
      </c>
      <c r="BH32" s="515"/>
      <c r="BI32" s="515"/>
      <c r="BJ32" s="520"/>
      <c r="BK32" s="519">
        <f t="shared" si="15"/>
        <v>183.13</v>
      </c>
      <c r="BL32" s="521"/>
      <c r="BM32" s="542">
        <v>13.18</v>
      </c>
      <c r="BN32" s="532">
        <v>7.15</v>
      </c>
      <c r="BO32" s="522"/>
      <c r="BP32" s="532">
        <v>5.37</v>
      </c>
      <c r="BQ32" s="522"/>
      <c r="BR32" s="522"/>
      <c r="BS32" s="532">
        <v>7.39</v>
      </c>
      <c r="BT32" s="522"/>
      <c r="BU32" s="532">
        <v>5.67</v>
      </c>
      <c r="BV32" s="532">
        <v>6.23</v>
      </c>
      <c r="BW32" s="524"/>
      <c r="BX32" s="519">
        <f t="shared" si="7"/>
        <v>44.989999999999995</v>
      </c>
      <c r="BY32" s="525"/>
      <c r="BZ32" s="525"/>
      <c r="CA32" s="525"/>
      <c r="CB32" s="525"/>
      <c r="CC32" s="534">
        <v>11.16</v>
      </c>
      <c r="CD32" s="525"/>
      <c r="CE32" s="525"/>
      <c r="CF32" s="525"/>
      <c r="CG32" s="525"/>
      <c r="CH32" s="525"/>
      <c r="CI32" s="534">
        <f>5.97+35</f>
        <v>40.97</v>
      </c>
      <c r="CJ32" s="542">
        <f>10.22+202.74</f>
        <v>212.96</v>
      </c>
      <c r="CK32" s="519">
        <f t="shared" si="10"/>
        <v>265.09000000000003</v>
      </c>
      <c r="CL32" s="526"/>
      <c r="CM32" s="525"/>
      <c r="CN32" s="526"/>
      <c r="CO32" s="542">
        <v>98.31</v>
      </c>
      <c r="CP32" s="534">
        <v>28.04</v>
      </c>
      <c r="CQ32" s="525"/>
      <c r="CR32" s="534">
        <v>40.85</v>
      </c>
      <c r="CS32" s="534">
        <v>26.97</v>
      </c>
      <c r="CT32" s="534">
        <v>62.24</v>
      </c>
      <c r="CU32" s="534">
        <v>54.37</v>
      </c>
      <c r="CV32" s="534">
        <v>74.31</v>
      </c>
      <c r="CW32" s="525"/>
      <c r="CX32" s="528">
        <f t="shared" si="11"/>
        <v>385.09</v>
      </c>
      <c r="CY32" s="541"/>
      <c r="CZ32" s="541"/>
      <c r="DA32" s="806">
        <v>382.06</v>
      </c>
      <c r="DB32" s="560">
        <v>-382.06</v>
      </c>
      <c r="DC32" s="541"/>
      <c r="DD32" s="541"/>
      <c r="DE32" s="806">
        <v>14.34</v>
      </c>
      <c r="DF32" s="541"/>
      <c r="DG32" s="541"/>
      <c r="DK32" s="528">
        <f t="shared" si="8"/>
        <v>14.34</v>
      </c>
      <c r="DX32" s="519">
        <f t="shared" si="9"/>
        <v>0</v>
      </c>
    </row>
    <row r="33" spans="2:128" ht="15">
      <c r="B33" s="480" t="s">
        <v>574</v>
      </c>
      <c r="C33" s="512"/>
      <c r="D33" s="512"/>
      <c r="E33" s="512"/>
      <c r="F33" s="513"/>
      <c r="G33" s="513"/>
      <c r="H33" s="513"/>
      <c r="I33" s="513"/>
      <c r="J33" s="513"/>
      <c r="K33" s="513"/>
      <c r="L33" s="513"/>
      <c r="M33" s="512"/>
      <c r="N33" s="512"/>
      <c r="O33" s="514">
        <f t="shared" si="4"/>
        <v>0</v>
      </c>
      <c r="P33" s="515"/>
      <c r="Q33" s="515"/>
      <c r="R33" s="515"/>
      <c r="S33" s="515"/>
      <c r="T33" s="515"/>
      <c r="U33" s="515"/>
      <c r="V33" s="515"/>
      <c r="W33" s="516"/>
      <c r="X33" s="515"/>
      <c r="Y33" s="515"/>
      <c r="Z33" s="515"/>
      <c r="AA33" s="515"/>
      <c r="AB33" s="529">
        <f t="shared" si="5"/>
        <v>0</v>
      </c>
      <c r="AC33" s="518"/>
      <c r="AD33" s="515"/>
      <c r="AE33" s="532">
        <v>168.26</v>
      </c>
      <c r="AF33" s="532">
        <f>114.38+3.3</f>
        <v>117.67999999999999</v>
      </c>
      <c r="AG33" s="515"/>
      <c r="AH33" s="532">
        <f>110.8+104.45</f>
        <v>215.25</v>
      </c>
      <c r="AI33" s="532">
        <v>113.53</v>
      </c>
      <c r="AJ33" s="515"/>
      <c r="AK33" s="531">
        <f t="shared" si="14"/>
        <v>614.72</v>
      </c>
      <c r="AL33" s="532">
        <f>106.58+119.03</f>
        <v>225.61</v>
      </c>
      <c r="AM33" s="515"/>
      <c r="AN33" s="532">
        <v>104.97</v>
      </c>
      <c r="AO33" s="532">
        <f>121.81+5.53</f>
        <v>127.34</v>
      </c>
      <c r="AP33" s="522"/>
      <c r="AQ33" s="532">
        <v>106.6</v>
      </c>
      <c r="AR33" s="542">
        <f>126.43+168.18</f>
        <v>294.61</v>
      </c>
      <c r="AS33" s="542">
        <v>170.33</v>
      </c>
      <c r="AT33" s="542">
        <v>176.6</v>
      </c>
      <c r="AU33" s="542">
        <v>183.21</v>
      </c>
      <c r="AV33" s="542">
        <v>185.18</v>
      </c>
      <c r="AW33" s="532">
        <f>178.86</f>
        <v>178.86</v>
      </c>
      <c r="AX33" s="519">
        <f t="shared" si="6"/>
        <v>1753.31</v>
      </c>
      <c r="AY33" s="532">
        <v>180.16</v>
      </c>
      <c r="AZ33" s="532">
        <v>181.51</v>
      </c>
      <c r="BA33" s="522"/>
      <c r="BB33" s="542">
        <f>176.26+177.87</f>
        <v>354.13</v>
      </c>
      <c r="BC33" s="542">
        <v>181.42</v>
      </c>
      <c r="BD33" s="522"/>
      <c r="BE33" s="542">
        <f>194.14+182.59</f>
        <v>376.73</v>
      </c>
      <c r="BF33" s="542">
        <v>177.11</v>
      </c>
      <c r="BG33" s="542">
        <v>177.34</v>
      </c>
      <c r="BH33" s="542">
        <v>2.5</v>
      </c>
      <c r="BI33" s="542">
        <f>200.65+28.45</f>
        <v>229.1</v>
      </c>
      <c r="BJ33" s="555">
        <f>(198.74+25.98)+14.94</f>
        <v>239.66</v>
      </c>
      <c r="BK33" s="519">
        <f t="shared" si="15"/>
        <v>2099.66</v>
      </c>
      <c r="BL33" s="542">
        <f>299.64</f>
        <v>299.64</v>
      </c>
      <c r="BM33" s="542">
        <f>95.42+80.66+63.98+425.91</f>
        <v>665.97</v>
      </c>
      <c r="BN33" s="522"/>
      <c r="BO33" s="542">
        <f>63.98+452.96+63.98+456.97</f>
        <v>1037.8899999999999</v>
      </c>
      <c r="BP33" s="542">
        <f>63.98+477.9</f>
        <v>541.88</v>
      </c>
      <c r="BQ33" s="542">
        <f>67.24+499.78</f>
        <v>567.02</v>
      </c>
      <c r="BR33" s="542">
        <f>68.2+496.55</f>
        <v>564.75</v>
      </c>
      <c r="BS33" s="542">
        <f>68.2+495.48</f>
        <v>563.68000000000006</v>
      </c>
      <c r="BT33" s="542">
        <f>68.2+525.08</f>
        <v>593.28000000000009</v>
      </c>
      <c r="BU33" s="542">
        <f>65.99+523.99</f>
        <v>589.98</v>
      </c>
      <c r="BV33" s="542">
        <v>480.35</v>
      </c>
      <c r="BW33" s="542">
        <f>80.01+651.54</f>
        <v>731.55</v>
      </c>
      <c r="BX33" s="519">
        <f t="shared" si="7"/>
        <v>6635.9900000000007</v>
      </c>
      <c r="BY33" s="544">
        <f>671.3-2000</f>
        <v>-1328.7</v>
      </c>
      <c r="BZ33" s="544">
        <v>499.4</v>
      </c>
      <c r="CA33" s="544">
        <v>777.2</v>
      </c>
      <c r="CB33" s="544">
        <f>488.11-80.01</f>
        <v>408.1</v>
      </c>
      <c r="CC33" s="544">
        <v>592.61</v>
      </c>
      <c r="CD33" s="544">
        <v>506.37</v>
      </c>
      <c r="CE33" s="544">
        <v>509.88</v>
      </c>
      <c r="CF33" s="544">
        <v>513.77</v>
      </c>
      <c r="CG33" s="544">
        <v>513.09</v>
      </c>
      <c r="CH33" s="544">
        <v>524.35</v>
      </c>
      <c r="CI33" s="544">
        <v>518.29</v>
      </c>
      <c r="CJ33" s="544">
        <v>603.61</v>
      </c>
      <c r="CK33" s="519">
        <f t="shared" si="10"/>
        <v>4637.97</v>
      </c>
      <c r="CL33" s="615">
        <v>517.01</v>
      </c>
      <c r="CM33" s="544">
        <v>521.12</v>
      </c>
      <c r="CN33" s="544">
        <v>522.04999999999995</v>
      </c>
      <c r="CO33" s="544">
        <f>553.31</f>
        <v>553.30999999999995</v>
      </c>
      <c r="CP33" s="544">
        <f>535.36-2000</f>
        <v>-1464.6399999999999</v>
      </c>
      <c r="CQ33" s="544">
        <v>545.89</v>
      </c>
      <c r="CR33" s="544">
        <f>637.95+96.82</f>
        <v>734.77</v>
      </c>
      <c r="CS33" s="544">
        <v>258.99</v>
      </c>
      <c r="CT33" s="544">
        <v>257.2</v>
      </c>
      <c r="CU33" s="544">
        <f>379.94+257.2</f>
        <v>637.14</v>
      </c>
      <c r="CV33" s="544">
        <f>534.63+257.45</f>
        <v>792.07999999999993</v>
      </c>
      <c r="CW33" s="544">
        <f>746.12+257.21</f>
        <v>1003.3299999999999</v>
      </c>
      <c r="CX33" s="528">
        <f t="shared" si="11"/>
        <v>4878.25</v>
      </c>
      <c r="CY33" s="544">
        <f>258.06+697.48</f>
        <v>955.54</v>
      </c>
      <c r="CZ33" s="544">
        <f>261.19+538.92</f>
        <v>800.1099999999999</v>
      </c>
      <c r="DA33" s="544">
        <f>261.54+563.2</f>
        <v>824.74</v>
      </c>
      <c r="DB33" s="544">
        <f>782.7+261.54</f>
        <v>1044.24</v>
      </c>
      <c r="DC33" s="544">
        <f>365.14+443.86</f>
        <v>809</v>
      </c>
      <c r="DD33" s="544">
        <f>373.87+627.38</f>
        <v>1001.25</v>
      </c>
      <c r="DE33" s="544">
        <f>373.87+497.57</f>
        <v>871.44</v>
      </c>
      <c r="DF33" s="544">
        <f>373.87+909.71</f>
        <v>1283.58</v>
      </c>
      <c r="DG33" s="544">
        <f>508.07+373.87</f>
        <v>881.94</v>
      </c>
      <c r="DH33" s="536">
        <v>800</v>
      </c>
      <c r="DI33" s="536">
        <f>330*1.21-150*7</f>
        <v>-650.70000000000005</v>
      </c>
      <c r="DJ33" s="536">
        <v>800</v>
      </c>
      <c r="DK33" s="528">
        <f t="shared" si="8"/>
        <v>9421.14</v>
      </c>
      <c r="DL33" s="536">
        <f t="shared" ref="DL33:DW33" si="21">330*1.21</f>
        <v>399.3</v>
      </c>
      <c r="DM33" s="536">
        <f t="shared" si="21"/>
        <v>399.3</v>
      </c>
      <c r="DN33" s="536">
        <f>330*1.21-150*12</f>
        <v>-1400.7</v>
      </c>
      <c r="DO33" s="536">
        <f t="shared" si="21"/>
        <v>399.3</v>
      </c>
      <c r="DP33" s="536">
        <f t="shared" si="21"/>
        <v>399.3</v>
      </c>
      <c r="DQ33" s="536">
        <f t="shared" si="21"/>
        <v>399.3</v>
      </c>
      <c r="DR33" s="536">
        <f t="shared" si="21"/>
        <v>399.3</v>
      </c>
      <c r="DS33" s="536">
        <f t="shared" si="21"/>
        <v>399.3</v>
      </c>
      <c r="DT33" s="536">
        <f t="shared" si="21"/>
        <v>399.3</v>
      </c>
      <c r="DU33" s="536">
        <f t="shared" si="21"/>
        <v>399.3</v>
      </c>
      <c r="DV33" s="536">
        <f t="shared" si="21"/>
        <v>399.3</v>
      </c>
      <c r="DW33" s="536">
        <f t="shared" si="21"/>
        <v>399.3</v>
      </c>
      <c r="DX33" s="519">
        <f t="shared" si="9"/>
        <v>2991.6000000000004</v>
      </c>
    </row>
    <row r="34" spans="2:128" ht="15">
      <c r="B34" s="480" t="s">
        <v>209</v>
      </c>
      <c r="C34" s="512"/>
      <c r="D34" s="512"/>
      <c r="E34" s="512"/>
      <c r="F34" s="513"/>
      <c r="G34" s="513"/>
      <c r="H34" s="513"/>
      <c r="I34" s="513"/>
      <c r="J34" s="513"/>
      <c r="K34" s="513"/>
      <c r="L34" s="513"/>
      <c r="M34" s="512"/>
      <c r="N34" s="512"/>
      <c r="O34" s="514">
        <f t="shared" si="4"/>
        <v>0</v>
      </c>
      <c r="P34" s="515"/>
      <c r="Q34" s="515"/>
      <c r="R34" s="515"/>
      <c r="S34" s="515"/>
      <c r="T34" s="515"/>
      <c r="U34" s="515"/>
      <c r="V34" s="515"/>
      <c r="W34" s="516"/>
      <c r="X34" s="515"/>
      <c r="Y34" s="515"/>
      <c r="Z34" s="515"/>
      <c r="AA34" s="515"/>
      <c r="AB34" s="529">
        <f t="shared" si="5"/>
        <v>0</v>
      </c>
      <c r="AC34" s="518"/>
      <c r="AD34" s="515"/>
      <c r="AE34" s="532"/>
      <c r="AF34" s="574"/>
      <c r="AG34" s="515"/>
      <c r="AH34" s="515"/>
      <c r="AI34" s="532">
        <f>180.11+180.11</f>
        <v>360.22</v>
      </c>
      <c r="AJ34" s="532">
        <f>180.11</f>
        <v>180.11</v>
      </c>
      <c r="AK34" s="531">
        <f t="shared" si="14"/>
        <v>540.33000000000004</v>
      </c>
      <c r="AL34" s="532">
        <f>180.11</f>
        <v>180.11</v>
      </c>
      <c r="AM34" s="532">
        <f>180.11</f>
        <v>180.11</v>
      </c>
      <c r="AN34" s="532">
        <f>180.11</f>
        <v>180.11</v>
      </c>
      <c r="AO34" s="532">
        <f>180.11</f>
        <v>180.11</v>
      </c>
      <c r="AP34" s="532">
        <f>180.11</f>
        <v>180.11</v>
      </c>
      <c r="AQ34" s="532">
        <v>182.84</v>
      </c>
      <c r="AR34" s="532">
        <v>182.84</v>
      </c>
      <c r="AS34" s="532">
        <v>182.84</v>
      </c>
      <c r="AT34" s="532">
        <v>182.84</v>
      </c>
      <c r="AU34" s="532">
        <v>182.84</v>
      </c>
      <c r="AV34" s="532">
        <v>182.84</v>
      </c>
      <c r="AW34" s="532">
        <v>182.84</v>
      </c>
      <c r="AX34" s="519">
        <f>SUM(AL34:AW34)</f>
        <v>2180.4299999999998</v>
      </c>
      <c r="AY34" s="542">
        <v>182.84</v>
      </c>
      <c r="AZ34" s="542">
        <v>182.84</v>
      </c>
      <c r="BA34" s="556">
        <v>182.84</v>
      </c>
      <c r="BB34" s="556">
        <v>182.86</v>
      </c>
      <c r="BC34" s="542">
        <v>182.84</v>
      </c>
      <c r="BD34" s="542">
        <v>191.07</v>
      </c>
      <c r="BE34" s="542">
        <v>191.07</v>
      </c>
      <c r="BF34" s="542">
        <v>191.07</v>
      </c>
      <c r="BG34" s="542">
        <v>191.07</v>
      </c>
      <c r="BH34" s="542">
        <v>191.07</v>
      </c>
      <c r="BI34" s="542">
        <v>191.07</v>
      </c>
      <c r="BJ34" s="542">
        <v>191.07</v>
      </c>
      <c r="BK34" s="519">
        <f t="shared" ref="BK34:BK55" si="22">SUM(AY34:BJ34)</f>
        <v>2251.71</v>
      </c>
      <c r="BL34" s="542">
        <v>191.07</v>
      </c>
      <c r="BM34" s="542">
        <v>191.07</v>
      </c>
      <c r="BN34" s="542">
        <v>191.07</v>
      </c>
      <c r="BO34" s="542">
        <v>191.07</v>
      </c>
      <c r="BP34" s="542">
        <v>191.07</v>
      </c>
      <c r="BQ34" s="542">
        <v>203.1</v>
      </c>
      <c r="BR34" s="542">
        <f>203.1+13.62</f>
        <v>216.72</v>
      </c>
      <c r="BS34" s="542">
        <f>203.1+13.64</f>
        <v>216.74</v>
      </c>
      <c r="BT34" s="542">
        <f>203.1+13.64</f>
        <v>216.74</v>
      </c>
      <c r="BU34" s="542">
        <f>203.1+13.62</f>
        <v>216.72</v>
      </c>
      <c r="BV34" s="542">
        <f>203.1+13.62</f>
        <v>216.72</v>
      </c>
      <c r="BW34" s="542">
        <f>203.11+13.62</f>
        <v>216.73000000000002</v>
      </c>
      <c r="BX34" s="519">
        <f t="shared" si="7"/>
        <v>2458.8199999999997</v>
      </c>
      <c r="BY34" s="544">
        <f>203.1+13.64</f>
        <v>216.74</v>
      </c>
      <c r="BZ34" s="544">
        <f>203.11+13.62</f>
        <v>216.73000000000002</v>
      </c>
      <c r="CA34" s="544">
        <f>203.1+13.64</f>
        <v>216.74</v>
      </c>
      <c r="CB34" s="544">
        <f>203.11+13.62</f>
        <v>216.73000000000002</v>
      </c>
      <c r="CC34" s="544">
        <f>203.1+13.64</f>
        <v>216.74</v>
      </c>
      <c r="CD34" s="544">
        <f>209.22+13.63</f>
        <v>222.85</v>
      </c>
      <c r="CE34" s="544">
        <f>209.22+14.57</f>
        <v>223.79</v>
      </c>
      <c r="CF34" s="544">
        <f>209.22+14.58</f>
        <v>223.8</v>
      </c>
      <c r="CG34" s="544">
        <f>209.22+14.57</f>
        <v>223.79</v>
      </c>
      <c r="CH34" s="544">
        <f>209.22+14.57</f>
        <v>223.79</v>
      </c>
      <c r="CI34" s="544">
        <f>209.22+14.57</f>
        <v>223.79</v>
      </c>
      <c r="CJ34" s="544">
        <f>209.22+14.57</f>
        <v>223.79</v>
      </c>
      <c r="CK34" s="519">
        <f t="shared" si="10"/>
        <v>2649.2799999999997</v>
      </c>
      <c r="CL34" s="615">
        <f>209.22+14.58</f>
        <v>223.8</v>
      </c>
      <c r="CM34" s="615">
        <f>209.22+14.57</f>
        <v>223.79</v>
      </c>
      <c r="CN34" s="544">
        <f>209.22+14.58</f>
        <v>223.8</v>
      </c>
      <c r="CO34" s="544">
        <f>209.22+14.57</f>
        <v>223.79</v>
      </c>
      <c r="CP34" s="544">
        <f>209.22+14.58</f>
        <v>223.8</v>
      </c>
      <c r="CQ34" s="544">
        <f>225.17+14.57</f>
        <v>239.73999999999998</v>
      </c>
      <c r="CR34" s="544">
        <f>225.17+15.57</f>
        <v>240.73999999999998</v>
      </c>
      <c r="CS34" s="544">
        <f>225.17+15.58</f>
        <v>240.75</v>
      </c>
      <c r="CT34" s="544">
        <f>225.17+15.57</f>
        <v>240.73999999999998</v>
      </c>
      <c r="CU34" s="544">
        <f>225.17+15.57</f>
        <v>240.73999999999998</v>
      </c>
      <c r="CV34" s="544">
        <f>225.17+15.57</f>
        <v>240.73999999999998</v>
      </c>
      <c r="CW34" s="544">
        <f>225.17+15.57</f>
        <v>240.73999999999998</v>
      </c>
      <c r="CX34" s="528">
        <f t="shared" si="11"/>
        <v>2803.1699999999992</v>
      </c>
      <c r="CY34" s="544">
        <f>225.17+15.58</f>
        <v>240.75</v>
      </c>
      <c r="CZ34" s="544">
        <f>225.17+15.57</f>
        <v>240.73999999999998</v>
      </c>
      <c r="DA34" s="544">
        <f>225.17+15.57</f>
        <v>240.73999999999998</v>
      </c>
      <c r="DB34" s="544">
        <f>225.17+15.57</f>
        <v>240.73999999999998</v>
      </c>
      <c r="DC34" s="544">
        <f>225.17+15.59</f>
        <v>240.76</v>
      </c>
      <c r="DD34" s="544">
        <f>249.22+15.58</f>
        <v>264.8</v>
      </c>
      <c r="DE34" s="544">
        <f>249.22+16.36</f>
        <v>265.58</v>
      </c>
      <c r="DF34" s="544">
        <f>249.22+16.36</f>
        <v>265.58</v>
      </c>
      <c r="DG34" s="544">
        <f>249.22+16.36</f>
        <v>265.58</v>
      </c>
      <c r="DH34" s="536">
        <v>224</v>
      </c>
      <c r="DI34" s="536">
        <v>224</v>
      </c>
      <c r="DJ34" s="536">
        <v>224</v>
      </c>
      <c r="DK34" s="528">
        <f t="shared" si="8"/>
        <v>2937.27</v>
      </c>
      <c r="DX34" s="519">
        <f t="shared" si="9"/>
        <v>0</v>
      </c>
    </row>
    <row r="35" spans="2:128" ht="15">
      <c r="B35" s="480" t="s">
        <v>343</v>
      </c>
      <c r="C35" s="512"/>
      <c r="D35" s="512"/>
      <c r="E35" s="512"/>
      <c r="F35" s="513"/>
      <c r="G35" s="513"/>
      <c r="H35" s="513"/>
      <c r="I35" s="513"/>
      <c r="J35" s="513"/>
      <c r="K35" s="513"/>
      <c r="L35" s="513"/>
      <c r="M35" s="512"/>
      <c r="N35" s="512"/>
      <c r="O35" s="514"/>
      <c r="P35" s="515"/>
      <c r="Q35" s="515"/>
      <c r="R35" s="515"/>
      <c r="S35" s="515"/>
      <c r="T35" s="515"/>
      <c r="U35" s="515"/>
      <c r="V35" s="515"/>
      <c r="W35" s="516"/>
      <c r="X35" s="515"/>
      <c r="Y35" s="515"/>
      <c r="Z35" s="515"/>
      <c r="AA35" s="515"/>
      <c r="AB35" s="529">
        <f t="shared" si="5"/>
        <v>0</v>
      </c>
      <c r="AC35" s="518"/>
      <c r="AD35" s="515"/>
      <c r="AE35" s="532"/>
      <c r="AF35" s="574"/>
      <c r="AG35" s="515"/>
      <c r="AH35" s="515"/>
      <c r="AI35" s="532"/>
      <c r="AJ35" s="532"/>
      <c r="AK35" s="531">
        <f t="shared" si="14"/>
        <v>0</v>
      </c>
      <c r="AL35" s="532"/>
      <c r="AM35" s="532"/>
      <c r="AN35" s="532"/>
      <c r="AO35" s="532"/>
      <c r="AP35" s="532"/>
      <c r="AQ35" s="532"/>
      <c r="AR35" s="532"/>
      <c r="AS35" s="532"/>
      <c r="AT35" s="532"/>
      <c r="AU35" s="532"/>
      <c r="AV35" s="532"/>
      <c r="AW35" s="532"/>
      <c r="AX35" s="519">
        <f>SUM(AL35:AW35)</f>
        <v>0</v>
      </c>
      <c r="AY35" s="542"/>
      <c r="AZ35" s="542"/>
      <c r="BA35" s="556"/>
      <c r="BB35" s="542">
        <f>361.77+602.41</f>
        <v>964.18</v>
      </c>
      <c r="BC35" s="516"/>
      <c r="BD35" s="541"/>
      <c r="BE35" s="516"/>
      <c r="BF35" s="516"/>
      <c r="BG35" s="516"/>
      <c r="BH35" s="516"/>
      <c r="BI35" s="516"/>
      <c r="BJ35" s="559"/>
      <c r="BK35" s="519">
        <f t="shared" si="22"/>
        <v>964.18</v>
      </c>
      <c r="BL35" s="521"/>
      <c r="BM35" s="522"/>
      <c r="BN35" s="522"/>
      <c r="BO35" s="542">
        <v>969.01</v>
      </c>
      <c r="BP35" s="522"/>
      <c r="BQ35" s="522"/>
      <c r="BR35" s="522"/>
      <c r="BS35" s="522"/>
      <c r="BT35" s="522"/>
      <c r="BU35" s="522"/>
      <c r="BV35" s="522"/>
      <c r="BW35" s="524"/>
      <c r="BX35" s="519">
        <f t="shared" si="7"/>
        <v>969.01</v>
      </c>
      <c r="BY35" s="525"/>
      <c r="BZ35" s="525"/>
      <c r="CA35" s="525"/>
      <c r="CB35" s="544">
        <v>996.85</v>
      </c>
      <c r="CC35" s="544">
        <v>-100</v>
      </c>
      <c r="CD35" s="525"/>
      <c r="CE35" s="525"/>
      <c r="CF35" s="525"/>
      <c r="CG35" s="525"/>
      <c r="CH35" s="544">
        <v>-100</v>
      </c>
      <c r="CI35" s="544">
        <v>-240.33</v>
      </c>
      <c r="CJ35" s="525"/>
      <c r="CK35" s="519">
        <f t="shared" si="10"/>
        <v>556.52</v>
      </c>
      <c r="CL35" s="526"/>
      <c r="CM35" s="544"/>
      <c r="CN35" s="525"/>
      <c r="CO35" s="533"/>
      <c r="CP35" s="525"/>
      <c r="CQ35" s="525"/>
      <c r="CR35" s="525"/>
      <c r="CS35" s="525"/>
      <c r="CT35" s="525"/>
      <c r="CU35" s="525"/>
      <c r="CV35" s="525"/>
      <c r="CW35" s="525"/>
      <c r="CX35" s="528">
        <f t="shared" si="11"/>
        <v>0</v>
      </c>
      <c r="CY35" s="541"/>
      <c r="CZ35" s="541"/>
      <c r="DA35" s="541"/>
      <c r="DB35" s="541"/>
      <c r="DC35" s="541"/>
      <c r="DD35" s="541"/>
      <c r="DE35" s="541"/>
      <c r="DF35" s="541"/>
      <c r="DG35" s="541"/>
      <c r="DK35" s="528">
        <f t="shared" si="8"/>
        <v>0</v>
      </c>
      <c r="DX35" s="519">
        <f t="shared" si="9"/>
        <v>0</v>
      </c>
    </row>
    <row r="36" spans="2:128" ht="15">
      <c r="B36" s="480" t="s">
        <v>530</v>
      </c>
      <c r="C36" s="512"/>
      <c r="D36" s="512"/>
      <c r="E36" s="512"/>
      <c r="F36" s="513"/>
      <c r="G36" s="513"/>
      <c r="H36" s="513"/>
      <c r="I36" s="513"/>
      <c r="J36" s="513"/>
      <c r="K36" s="513"/>
      <c r="L36" s="513"/>
      <c r="M36" s="512"/>
      <c r="N36" s="512"/>
      <c r="O36" s="514"/>
      <c r="P36" s="515"/>
      <c r="Q36" s="515"/>
      <c r="R36" s="515"/>
      <c r="S36" s="515"/>
      <c r="T36" s="515"/>
      <c r="U36" s="515"/>
      <c r="V36" s="515"/>
      <c r="W36" s="516"/>
      <c r="X36" s="515"/>
      <c r="Y36" s="515"/>
      <c r="Z36" s="515"/>
      <c r="AA36" s="515"/>
      <c r="AB36" s="529"/>
      <c r="AC36" s="518"/>
      <c r="AD36" s="515"/>
      <c r="AE36" s="532"/>
      <c r="AF36" s="574"/>
      <c r="AG36" s="515"/>
      <c r="AH36" s="515"/>
      <c r="AI36" s="532"/>
      <c r="AJ36" s="532"/>
      <c r="AK36" s="531"/>
      <c r="AL36" s="532"/>
      <c r="AM36" s="532"/>
      <c r="AN36" s="532"/>
      <c r="AO36" s="532"/>
      <c r="AP36" s="532"/>
      <c r="AQ36" s="532"/>
      <c r="AR36" s="532"/>
      <c r="AS36" s="532"/>
      <c r="AT36" s="532"/>
      <c r="AU36" s="532"/>
      <c r="AV36" s="532"/>
      <c r="AW36" s="532"/>
      <c r="AX36" s="519"/>
      <c r="AY36" s="542"/>
      <c r="AZ36" s="542"/>
      <c r="BA36" s="556"/>
      <c r="BB36" s="542"/>
      <c r="BC36" s="516"/>
      <c r="BD36" s="541"/>
      <c r="BE36" s="516"/>
      <c r="BF36" s="516"/>
      <c r="BG36" s="516"/>
      <c r="BH36" s="516"/>
      <c r="BI36" s="516"/>
      <c r="BJ36" s="559"/>
      <c r="BK36" s="519"/>
      <c r="BL36" s="521"/>
      <c r="BM36" s="522"/>
      <c r="BN36" s="522"/>
      <c r="BO36" s="542"/>
      <c r="BP36" s="522"/>
      <c r="BQ36" s="522"/>
      <c r="BR36" s="522"/>
      <c r="BS36" s="522"/>
      <c r="BT36" s="522"/>
      <c r="BU36" s="522"/>
      <c r="BV36" s="522"/>
      <c r="BW36" s="524"/>
      <c r="BX36" s="519">
        <f t="shared" si="7"/>
        <v>0</v>
      </c>
      <c r="BY36" s="525"/>
      <c r="BZ36" s="525"/>
      <c r="CA36" s="525"/>
      <c r="CB36" s="544"/>
      <c r="CC36" s="544"/>
      <c r="CD36" s="525"/>
      <c r="CE36" s="525"/>
      <c r="CF36" s="525"/>
      <c r="CG36" s="525"/>
      <c r="CH36" s="544">
        <v>1025.79</v>
      </c>
      <c r="CI36" s="525"/>
      <c r="CJ36" s="525"/>
      <c r="CK36" s="519">
        <f t="shared" si="10"/>
        <v>1025.79</v>
      </c>
      <c r="CL36" s="526"/>
      <c r="CM36" s="544"/>
      <c r="CN36" s="525"/>
      <c r="CO36" s="533"/>
      <c r="CP36" s="544">
        <v>100</v>
      </c>
      <c r="CQ36" s="525"/>
      <c r="CR36" s="525"/>
      <c r="CS36" s="525"/>
      <c r="CT36" s="525"/>
      <c r="CU36" s="544">
        <v>1002.4</v>
      </c>
      <c r="CV36" s="525"/>
      <c r="CW36" s="525"/>
      <c r="CX36" s="528">
        <f t="shared" si="11"/>
        <v>1102.4000000000001</v>
      </c>
      <c r="CY36" s="541"/>
      <c r="CZ36" s="541"/>
      <c r="DA36" s="541"/>
      <c r="DB36" s="541"/>
      <c r="DC36" s="541"/>
      <c r="DD36" s="541"/>
      <c r="DE36" s="541"/>
      <c r="DF36" s="541"/>
      <c r="DG36" s="541"/>
      <c r="DH36" s="552">
        <v>1002</v>
      </c>
      <c r="DK36" s="528">
        <f t="shared" si="8"/>
        <v>1002</v>
      </c>
      <c r="DX36" s="519">
        <f t="shared" si="9"/>
        <v>0</v>
      </c>
    </row>
    <row r="37" spans="2:128" ht="15">
      <c r="B37" s="480" t="s">
        <v>210</v>
      </c>
      <c r="C37" s="512"/>
      <c r="D37" s="512"/>
      <c r="E37" s="512"/>
      <c r="F37" s="513"/>
      <c r="G37" s="513"/>
      <c r="H37" s="513"/>
      <c r="I37" s="513"/>
      <c r="J37" s="513"/>
      <c r="K37" s="513"/>
      <c r="L37" s="513"/>
      <c r="M37" s="512"/>
      <c r="N37" s="512"/>
      <c r="O37" s="514"/>
      <c r="P37" s="515"/>
      <c r="Q37" s="515"/>
      <c r="R37" s="515"/>
      <c r="S37" s="515"/>
      <c r="T37" s="515"/>
      <c r="U37" s="515"/>
      <c r="V37" s="515"/>
      <c r="W37" s="516"/>
      <c r="X37" s="515"/>
      <c r="Y37" s="515"/>
      <c r="Z37" s="515"/>
      <c r="AA37" s="515"/>
      <c r="AB37" s="529">
        <f t="shared" si="5"/>
        <v>0</v>
      </c>
      <c r="AC37" s="518"/>
      <c r="AD37" s="515"/>
      <c r="AE37" s="532"/>
      <c r="AF37" s="574"/>
      <c r="AG37" s="515"/>
      <c r="AH37" s="515"/>
      <c r="AI37" s="532"/>
      <c r="AJ37" s="532"/>
      <c r="AK37" s="531">
        <f t="shared" si="14"/>
        <v>0</v>
      </c>
      <c r="AL37" s="532"/>
      <c r="AM37" s="532"/>
      <c r="AN37" s="532"/>
      <c r="AO37" s="532"/>
      <c r="AP37" s="532"/>
      <c r="AQ37" s="532"/>
      <c r="AR37" s="532"/>
      <c r="AS37" s="532"/>
      <c r="AT37" s="532"/>
      <c r="AU37" s="532"/>
      <c r="AV37" s="532"/>
      <c r="AW37" s="532"/>
      <c r="AX37" s="519">
        <f t="shared" ref="AX37:AX52" si="23">SUM(AL37:AW37)</f>
        <v>0</v>
      </c>
      <c r="AY37" s="542"/>
      <c r="AZ37" s="542"/>
      <c r="BA37" s="556"/>
      <c r="BB37" s="542"/>
      <c r="BC37" s="516"/>
      <c r="BD37" s="542">
        <v>281.3</v>
      </c>
      <c r="BE37" s="516"/>
      <c r="BF37" s="516"/>
      <c r="BG37" s="516"/>
      <c r="BH37" s="516"/>
      <c r="BI37" s="516"/>
      <c r="BJ37" s="555">
        <f>546.19-281.3</f>
        <v>264.89000000000004</v>
      </c>
      <c r="BK37" s="519">
        <f t="shared" si="22"/>
        <v>546.19000000000005</v>
      </c>
      <c r="BL37" s="521"/>
      <c r="BM37" s="522"/>
      <c r="BN37" s="522"/>
      <c r="BO37" s="522"/>
      <c r="BP37" s="522"/>
      <c r="BQ37" s="542">
        <v>301.91000000000003</v>
      </c>
      <c r="BR37" s="522"/>
      <c r="BS37" s="522"/>
      <c r="BT37" s="522"/>
      <c r="BU37" s="522"/>
      <c r="BV37" s="522"/>
      <c r="BW37" s="555">
        <f>587.18-301.91</f>
        <v>285.26999999999992</v>
      </c>
      <c r="BX37" s="519">
        <f t="shared" si="7"/>
        <v>587.17999999999995</v>
      </c>
      <c r="BY37" s="525"/>
      <c r="BZ37" s="525"/>
      <c r="CA37" s="525"/>
      <c r="CB37" s="525"/>
      <c r="CC37" s="525"/>
      <c r="CD37" s="544">
        <v>316.69</v>
      </c>
      <c r="CE37" s="525"/>
      <c r="CF37" s="525"/>
      <c r="CG37" s="525"/>
      <c r="CH37" s="525"/>
      <c r="CI37" s="525"/>
      <c r="CJ37" s="544">
        <f>616.55-316.69</f>
        <v>299.85999999999996</v>
      </c>
      <c r="CK37" s="519">
        <f t="shared" si="10"/>
        <v>616.54999999999995</v>
      </c>
      <c r="CL37" s="526"/>
      <c r="CM37" s="544"/>
      <c r="CN37" s="525"/>
      <c r="CO37" s="525"/>
      <c r="CP37" s="525"/>
      <c r="CQ37" s="544">
        <v>333.74</v>
      </c>
      <c r="CR37" s="525"/>
      <c r="CS37" s="525"/>
      <c r="CT37" s="525"/>
      <c r="CU37" s="525"/>
      <c r="CV37" s="525"/>
      <c r="CW37" s="544">
        <f>650.48-333.74</f>
        <v>316.74</v>
      </c>
      <c r="CX37" s="528">
        <f t="shared" si="11"/>
        <v>650.48</v>
      </c>
      <c r="CY37" s="541"/>
      <c r="CZ37" s="541"/>
      <c r="DA37" s="541"/>
      <c r="DB37" s="541"/>
      <c r="DC37" s="541"/>
      <c r="DD37" s="544">
        <f>348.49-101.96</f>
        <v>246.53000000000003</v>
      </c>
      <c r="DE37" s="525"/>
      <c r="DF37" s="525"/>
      <c r="DG37" s="525"/>
      <c r="DH37" s="527"/>
      <c r="DI37" s="527"/>
      <c r="DJ37" s="572">
        <f>(679.75-101.96)-246.53</f>
        <v>331.26</v>
      </c>
      <c r="DK37" s="528">
        <f t="shared" si="8"/>
        <v>577.79</v>
      </c>
      <c r="DX37" s="519">
        <f t="shared" si="9"/>
        <v>0</v>
      </c>
    </row>
    <row r="38" spans="2:128" ht="15">
      <c r="B38" s="480" t="s">
        <v>334</v>
      </c>
      <c r="C38" s="512"/>
      <c r="D38" s="512"/>
      <c r="E38" s="512"/>
      <c r="F38" s="513"/>
      <c r="G38" s="513"/>
      <c r="H38" s="513"/>
      <c r="I38" s="513"/>
      <c r="J38" s="513"/>
      <c r="K38" s="513"/>
      <c r="L38" s="513"/>
      <c r="M38" s="512"/>
      <c r="N38" s="512"/>
      <c r="O38" s="514"/>
      <c r="P38" s="515"/>
      <c r="Q38" s="515"/>
      <c r="R38" s="515"/>
      <c r="S38" s="515"/>
      <c r="T38" s="515"/>
      <c r="U38" s="515"/>
      <c r="V38" s="515"/>
      <c r="W38" s="516"/>
      <c r="X38" s="515"/>
      <c r="Y38" s="515"/>
      <c r="Z38" s="515"/>
      <c r="AA38" s="515"/>
      <c r="AB38" s="529">
        <f t="shared" si="5"/>
        <v>0</v>
      </c>
      <c r="AC38" s="518"/>
      <c r="AD38" s="515"/>
      <c r="AE38" s="532"/>
      <c r="AF38" s="574"/>
      <c r="AG38" s="515"/>
      <c r="AH38" s="515"/>
      <c r="AI38" s="532"/>
      <c r="AJ38" s="532"/>
      <c r="AK38" s="531">
        <f t="shared" si="14"/>
        <v>0</v>
      </c>
      <c r="AL38" s="532"/>
      <c r="AM38" s="532"/>
      <c r="AN38" s="532"/>
      <c r="AO38" s="532"/>
      <c r="AP38" s="532"/>
      <c r="AQ38" s="532"/>
      <c r="AR38" s="532"/>
      <c r="AS38" s="532"/>
      <c r="AT38" s="532"/>
      <c r="AU38" s="532"/>
      <c r="AV38" s="532"/>
      <c r="AW38" s="532"/>
      <c r="AX38" s="519">
        <f t="shared" si="23"/>
        <v>0</v>
      </c>
      <c r="AY38" s="542"/>
      <c r="AZ38" s="542"/>
      <c r="BA38" s="556"/>
      <c r="BB38" s="542"/>
      <c r="BC38" s="516"/>
      <c r="BD38" s="542"/>
      <c r="BE38" s="516"/>
      <c r="BF38" s="516"/>
      <c r="BG38" s="516"/>
      <c r="BH38" s="516"/>
      <c r="BI38" s="542">
        <v>393.95</v>
      </c>
      <c r="BJ38" s="559"/>
      <c r="BK38" s="519">
        <f t="shared" si="22"/>
        <v>393.95</v>
      </c>
      <c r="BL38" s="521"/>
      <c r="BM38" s="522"/>
      <c r="BN38" s="522"/>
      <c r="BO38" s="522"/>
      <c r="BP38" s="522"/>
      <c r="BQ38" s="522"/>
      <c r="BR38" s="522"/>
      <c r="BS38" s="522"/>
      <c r="BT38" s="522"/>
      <c r="BU38" s="522"/>
      <c r="BV38" s="542">
        <v>393.95</v>
      </c>
      <c r="BW38" s="524"/>
      <c r="BX38" s="519">
        <f t="shared" si="7"/>
        <v>393.95</v>
      </c>
      <c r="BY38" s="525"/>
      <c r="BZ38" s="525"/>
      <c r="CA38" s="525"/>
      <c r="CB38" s="525"/>
      <c r="CC38" s="525"/>
      <c r="CD38" s="525"/>
      <c r="CE38" s="525"/>
      <c r="CF38" s="525"/>
      <c r="CG38" s="525"/>
      <c r="CH38" s="525"/>
      <c r="CI38" s="544">
        <v>393.95</v>
      </c>
      <c r="CJ38" s="525"/>
      <c r="CK38" s="519">
        <f t="shared" si="10"/>
        <v>393.95</v>
      </c>
      <c r="CL38" s="526"/>
      <c r="CM38" s="544"/>
      <c r="CN38" s="525"/>
      <c r="CO38" s="525"/>
      <c r="CP38" s="525"/>
      <c r="CQ38" s="525"/>
      <c r="CR38" s="525"/>
      <c r="CS38" s="525"/>
      <c r="CT38" s="551"/>
      <c r="CU38" s="525"/>
      <c r="CV38" s="533"/>
      <c r="CW38" s="525"/>
      <c r="CX38" s="528">
        <f t="shared" si="11"/>
        <v>0</v>
      </c>
      <c r="CY38" s="541"/>
      <c r="CZ38" s="541"/>
      <c r="DA38" s="541"/>
      <c r="DB38" s="541"/>
      <c r="DC38" s="541"/>
      <c r="DD38" s="541"/>
      <c r="DE38" s="541"/>
      <c r="DF38" s="541"/>
      <c r="DG38" s="541"/>
      <c r="DK38" s="528">
        <f t="shared" si="8"/>
        <v>0</v>
      </c>
      <c r="DX38" s="519">
        <f t="shared" si="9"/>
        <v>0</v>
      </c>
    </row>
    <row r="39" spans="2:128" ht="15">
      <c r="B39" s="480" t="s">
        <v>351</v>
      </c>
      <c r="C39" s="512"/>
      <c r="D39" s="512"/>
      <c r="E39" s="512"/>
      <c r="F39" s="513"/>
      <c r="G39" s="513"/>
      <c r="H39" s="513"/>
      <c r="I39" s="513"/>
      <c r="J39" s="513"/>
      <c r="K39" s="513"/>
      <c r="L39" s="513"/>
      <c r="M39" s="512"/>
      <c r="N39" s="512"/>
      <c r="O39" s="514"/>
      <c r="P39" s="515"/>
      <c r="Q39" s="515"/>
      <c r="R39" s="515"/>
      <c r="S39" s="515"/>
      <c r="T39" s="515"/>
      <c r="U39" s="515"/>
      <c r="V39" s="515"/>
      <c r="W39" s="516"/>
      <c r="X39" s="515"/>
      <c r="Y39" s="515"/>
      <c r="Z39" s="515"/>
      <c r="AA39" s="515"/>
      <c r="AB39" s="529">
        <f t="shared" si="5"/>
        <v>0</v>
      </c>
      <c r="AC39" s="518"/>
      <c r="AD39" s="515"/>
      <c r="AE39" s="532"/>
      <c r="AF39" s="574"/>
      <c r="AG39" s="515"/>
      <c r="AH39" s="515"/>
      <c r="AI39" s="532"/>
      <c r="AJ39" s="532"/>
      <c r="AK39" s="531">
        <f t="shared" si="14"/>
        <v>0</v>
      </c>
      <c r="AL39" s="532"/>
      <c r="AM39" s="532"/>
      <c r="AN39" s="532"/>
      <c r="AO39" s="532"/>
      <c r="AP39" s="532"/>
      <c r="AQ39" s="532"/>
      <c r="AR39" s="532"/>
      <c r="AS39" s="532"/>
      <c r="AT39" s="532"/>
      <c r="AU39" s="532"/>
      <c r="AV39" s="532"/>
      <c r="AW39" s="532"/>
      <c r="AX39" s="519"/>
      <c r="AY39" s="542"/>
      <c r="AZ39" s="542"/>
      <c r="BA39" s="556"/>
      <c r="BB39" s="542"/>
      <c r="BC39" s="516"/>
      <c r="BD39" s="542"/>
      <c r="BE39" s="516"/>
      <c r="BF39" s="516"/>
      <c r="BG39" s="516"/>
      <c r="BH39" s="516"/>
      <c r="BI39" s="542"/>
      <c r="BJ39" s="516"/>
      <c r="BK39" s="519">
        <f t="shared" si="22"/>
        <v>0</v>
      </c>
      <c r="BL39" s="522"/>
      <c r="BM39" s="522"/>
      <c r="BN39" s="522"/>
      <c r="BO39" s="522"/>
      <c r="BP39" s="522"/>
      <c r="BQ39" s="522"/>
      <c r="BR39" s="542">
        <v>393.95</v>
      </c>
      <c r="BS39" s="522"/>
      <c r="BT39" s="522"/>
      <c r="BU39" s="522"/>
      <c r="BV39" s="522"/>
      <c r="BW39" s="522"/>
      <c r="BX39" s="519">
        <f t="shared" si="7"/>
        <v>393.95</v>
      </c>
      <c r="BY39" s="525"/>
      <c r="BZ39" s="525"/>
      <c r="CA39" s="525"/>
      <c r="CB39" s="525"/>
      <c r="CC39" s="525"/>
      <c r="CD39" s="525"/>
      <c r="CE39" s="525"/>
      <c r="CF39" s="544">
        <v>393.95</v>
      </c>
      <c r="CG39" s="525"/>
      <c r="CH39" s="525"/>
      <c r="CI39" s="533"/>
      <c r="CJ39" s="525"/>
      <c r="CK39" s="519">
        <f t="shared" si="10"/>
        <v>393.95</v>
      </c>
      <c r="CL39" s="526"/>
      <c r="CM39" s="544"/>
      <c r="CN39" s="525"/>
      <c r="CO39" s="525"/>
      <c r="CP39" s="541"/>
      <c r="CQ39" s="525"/>
      <c r="CR39" s="544">
        <v>393.95</v>
      </c>
      <c r="CS39" s="541"/>
      <c r="CT39" s="533"/>
      <c r="CU39" s="525"/>
      <c r="CV39" s="525"/>
      <c r="CW39" s="525"/>
      <c r="CX39" s="528">
        <f t="shared" si="11"/>
        <v>393.95</v>
      </c>
      <c r="CY39" s="541"/>
      <c r="CZ39" s="541"/>
      <c r="DA39" s="541"/>
      <c r="DB39" s="541"/>
      <c r="DC39" s="541"/>
      <c r="DD39" s="541"/>
      <c r="DE39" s="551"/>
      <c r="DF39" s="541"/>
      <c r="DG39" s="541"/>
      <c r="DK39" s="528">
        <f t="shared" si="8"/>
        <v>0</v>
      </c>
      <c r="DX39" s="519">
        <f t="shared" si="9"/>
        <v>0</v>
      </c>
    </row>
    <row r="40" spans="2:128" ht="15">
      <c r="B40" s="480" t="s">
        <v>333</v>
      </c>
      <c r="C40" s="512"/>
      <c r="D40" s="512"/>
      <c r="E40" s="512"/>
      <c r="F40" s="513"/>
      <c r="G40" s="513"/>
      <c r="H40" s="513"/>
      <c r="I40" s="513"/>
      <c r="J40" s="513"/>
      <c r="K40" s="513"/>
      <c r="L40" s="513"/>
      <c r="M40" s="512"/>
      <c r="N40" s="512"/>
      <c r="O40" s="514"/>
      <c r="P40" s="515"/>
      <c r="Q40" s="515"/>
      <c r="R40" s="515"/>
      <c r="S40" s="515"/>
      <c r="T40" s="515"/>
      <c r="U40" s="515"/>
      <c r="V40" s="515"/>
      <c r="W40" s="516"/>
      <c r="X40" s="515"/>
      <c r="Y40" s="515"/>
      <c r="Z40" s="515"/>
      <c r="AA40" s="515"/>
      <c r="AB40" s="529">
        <f t="shared" si="5"/>
        <v>0</v>
      </c>
      <c r="AC40" s="518"/>
      <c r="AD40" s="515"/>
      <c r="AE40" s="532"/>
      <c r="AF40" s="574"/>
      <c r="AG40" s="515"/>
      <c r="AH40" s="515"/>
      <c r="AI40" s="532"/>
      <c r="AJ40" s="532"/>
      <c r="AK40" s="531">
        <f t="shared" si="14"/>
        <v>0</v>
      </c>
      <c r="AL40" s="532"/>
      <c r="AM40" s="532"/>
      <c r="AN40" s="532"/>
      <c r="AO40" s="532"/>
      <c r="AP40" s="532"/>
      <c r="AQ40" s="532"/>
      <c r="AR40" s="532"/>
      <c r="AS40" s="532"/>
      <c r="AT40" s="532"/>
      <c r="AU40" s="532"/>
      <c r="AV40" s="532"/>
      <c r="AW40" s="532"/>
      <c r="AX40" s="519">
        <f t="shared" si="23"/>
        <v>0</v>
      </c>
      <c r="AY40" s="542"/>
      <c r="AZ40" s="542"/>
      <c r="BA40" s="556"/>
      <c r="BB40" s="542"/>
      <c r="BC40" s="516"/>
      <c r="BD40" s="542"/>
      <c r="BE40" s="516"/>
      <c r="BF40" s="516"/>
      <c r="BG40" s="516"/>
      <c r="BH40" s="516"/>
      <c r="BI40" s="542">
        <v>79.44</v>
      </c>
      <c r="BJ40" s="542">
        <v>103.2</v>
      </c>
      <c r="BK40" s="519">
        <f t="shared" si="22"/>
        <v>182.64</v>
      </c>
      <c r="BL40" s="542">
        <v>103.2</v>
      </c>
      <c r="BM40" s="516"/>
      <c r="BN40" s="516"/>
      <c r="BO40" s="516"/>
      <c r="BP40" s="516"/>
      <c r="BQ40" s="516"/>
      <c r="BR40" s="516"/>
      <c r="BS40" s="516"/>
      <c r="BT40" s="516"/>
      <c r="BU40" s="516"/>
      <c r="BV40" s="516"/>
      <c r="BW40" s="516"/>
      <c r="BX40" s="519">
        <f t="shared" si="7"/>
        <v>103.2</v>
      </c>
      <c r="BY40" s="563"/>
      <c r="BZ40" s="525"/>
      <c r="CA40" s="525"/>
      <c r="CB40" s="525"/>
      <c r="CC40" s="525"/>
      <c r="CD40" s="525"/>
      <c r="CE40" s="525"/>
      <c r="CF40" s="525"/>
      <c r="CG40" s="525"/>
      <c r="CH40" s="525"/>
      <c r="CI40" s="525"/>
      <c r="CJ40" s="525"/>
      <c r="CK40" s="519">
        <f t="shared" si="10"/>
        <v>0</v>
      </c>
      <c r="CL40" s="535"/>
      <c r="CM40" s="544"/>
      <c r="CN40" s="525"/>
      <c r="CO40" s="525"/>
      <c r="CP40" s="525"/>
      <c r="CQ40" s="525"/>
      <c r="CR40" s="525"/>
      <c r="CS40" s="525"/>
      <c r="CT40" s="525"/>
      <c r="CU40" s="525"/>
      <c r="CV40" s="525"/>
      <c r="CW40" s="525"/>
      <c r="CX40" s="528">
        <f t="shared" si="11"/>
        <v>0</v>
      </c>
      <c r="CY40" s="541"/>
      <c r="CZ40" s="541"/>
      <c r="DA40" s="541"/>
      <c r="DB40" s="541"/>
      <c r="DC40" s="541"/>
      <c r="DD40" s="541"/>
      <c r="DE40" s="541"/>
      <c r="DF40" s="541"/>
      <c r="DG40" s="541"/>
      <c r="DK40" s="528">
        <f t="shared" si="8"/>
        <v>0</v>
      </c>
      <c r="DX40" s="519">
        <f t="shared" si="9"/>
        <v>0</v>
      </c>
    </row>
    <row r="41" spans="2:128" ht="15">
      <c r="B41" s="480" t="s">
        <v>662</v>
      </c>
      <c r="C41" s="512"/>
      <c r="D41" s="512"/>
      <c r="E41" s="512"/>
      <c r="F41" s="513"/>
      <c r="G41" s="513"/>
      <c r="H41" s="513"/>
      <c r="I41" s="513"/>
      <c r="J41" s="513"/>
      <c r="K41" s="513"/>
      <c r="L41" s="513"/>
      <c r="M41" s="512"/>
      <c r="N41" s="512"/>
      <c r="O41" s="514"/>
      <c r="P41" s="515"/>
      <c r="Q41" s="515"/>
      <c r="R41" s="515"/>
      <c r="S41" s="515"/>
      <c r="T41" s="515"/>
      <c r="U41" s="515"/>
      <c r="V41" s="515"/>
      <c r="W41" s="516"/>
      <c r="X41" s="515"/>
      <c r="Y41" s="515"/>
      <c r="Z41" s="515"/>
      <c r="AA41" s="515"/>
      <c r="AB41" s="529"/>
      <c r="AC41" s="518"/>
      <c r="AD41" s="515"/>
      <c r="AE41" s="532"/>
      <c r="AF41" s="574"/>
      <c r="AG41" s="515"/>
      <c r="AH41" s="515"/>
      <c r="AI41" s="532"/>
      <c r="AJ41" s="532"/>
      <c r="AK41" s="531"/>
      <c r="AL41" s="532"/>
      <c r="AM41" s="532"/>
      <c r="AN41" s="532"/>
      <c r="AO41" s="532"/>
      <c r="AP41" s="532"/>
      <c r="AQ41" s="532"/>
      <c r="AR41" s="532"/>
      <c r="AS41" s="532"/>
      <c r="AT41" s="532"/>
      <c r="AU41" s="532"/>
      <c r="AV41" s="532"/>
      <c r="AW41" s="532"/>
      <c r="AX41" s="519"/>
      <c r="AY41" s="542"/>
      <c r="AZ41" s="542"/>
      <c r="BA41" s="556"/>
      <c r="BB41" s="542"/>
      <c r="BC41" s="516"/>
      <c r="BD41" s="542"/>
      <c r="BE41" s="516"/>
      <c r="BF41" s="516"/>
      <c r="BG41" s="516"/>
      <c r="BH41" s="516"/>
      <c r="BI41" s="542"/>
      <c r="BJ41" s="542"/>
      <c r="BK41" s="519"/>
      <c r="BL41" s="542"/>
      <c r="BM41" s="516"/>
      <c r="BN41" s="516"/>
      <c r="BO41" s="516"/>
      <c r="BP41" s="516"/>
      <c r="BQ41" s="516"/>
      <c r="BR41" s="516"/>
      <c r="BS41" s="516"/>
      <c r="BT41" s="516"/>
      <c r="BU41" s="516"/>
      <c r="BV41" s="516"/>
      <c r="BW41" s="516"/>
      <c r="BX41" s="519"/>
      <c r="BY41" s="563"/>
      <c r="BZ41" s="525"/>
      <c r="CA41" s="525"/>
      <c r="CB41" s="525"/>
      <c r="CC41" s="525"/>
      <c r="CD41" s="525"/>
      <c r="CE41" s="525"/>
      <c r="CF41" s="525"/>
      <c r="CG41" s="525"/>
      <c r="CH41" s="525"/>
      <c r="CI41" s="525"/>
      <c r="CJ41" s="525"/>
      <c r="CK41" s="519"/>
      <c r="CL41" s="535"/>
      <c r="CM41" s="544"/>
      <c r="CN41" s="525"/>
      <c r="CO41" s="525"/>
      <c r="CP41" s="525"/>
      <c r="CQ41" s="525"/>
      <c r="CR41" s="525"/>
      <c r="CS41" s="525"/>
      <c r="CT41" s="525"/>
      <c r="CU41" s="525"/>
      <c r="CV41" s="525"/>
      <c r="CW41" s="525"/>
      <c r="CX41" s="528">
        <f t="shared" si="11"/>
        <v>0</v>
      </c>
      <c r="CY41" s="541"/>
      <c r="CZ41" s="541"/>
      <c r="DA41" s="541"/>
      <c r="DB41" s="806">
        <v>68.12</v>
      </c>
      <c r="DC41" s="806">
        <v>69.37</v>
      </c>
      <c r="DD41" s="806">
        <v>67.97</v>
      </c>
      <c r="DE41" s="806">
        <v>67.97</v>
      </c>
      <c r="DF41" s="806">
        <v>67.97</v>
      </c>
      <c r="DG41" s="806">
        <v>67.97</v>
      </c>
      <c r="DH41" s="792">
        <v>69.37</v>
      </c>
      <c r="DI41" s="792">
        <v>69.37</v>
      </c>
      <c r="DJ41" s="792">
        <v>69.37</v>
      </c>
      <c r="DK41" s="528">
        <f t="shared" si="8"/>
        <v>617.48</v>
      </c>
      <c r="DL41" s="792">
        <v>69.37</v>
      </c>
      <c r="DM41" s="792">
        <v>68.12</v>
      </c>
      <c r="DN41" s="792">
        <v>68.12</v>
      </c>
      <c r="DO41" s="961">
        <v>69.37</v>
      </c>
      <c r="DX41" s="519">
        <f t="shared" si="9"/>
        <v>274.98</v>
      </c>
    </row>
    <row r="42" spans="2:128" ht="15">
      <c r="B42" s="480" t="s">
        <v>665</v>
      </c>
      <c r="C42" s="512"/>
      <c r="D42" s="512"/>
      <c r="E42" s="512"/>
      <c r="F42" s="513"/>
      <c r="G42" s="513"/>
      <c r="H42" s="513"/>
      <c r="I42" s="513"/>
      <c r="J42" s="513"/>
      <c r="K42" s="513"/>
      <c r="L42" s="513"/>
      <c r="M42" s="512"/>
      <c r="N42" s="512"/>
      <c r="O42" s="514"/>
      <c r="P42" s="515"/>
      <c r="Q42" s="515"/>
      <c r="R42" s="515"/>
      <c r="S42" s="515"/>
      <c r="T42" s="515"/>
      <c r="U42" s="515"/>
      <c r="V42" s="515"/>
      <c r="W42" s="516"/>
      <c r="X42" s="515"/>
      <c r="Y42" s="515"/>
      <c r="Z42" s="515"/>
      <c r="AA42" s="515"/>
      <c r="AB42" s="529"/>
      <c r="AC42" s="518"/>
      <c r="AD42" s="515"/>
      <c r="AE42" s="532"/>
      <c r="AF42" s="574"/>
      <c r="AG42" s="515"/>
      <c r="AH42" s="515"/>
      <c r="AI42" s="532"/>
      <c r="AJ42" s="532"/>
      <c r="AK42" s="531"/>
      <c r="AL42" s="532"/>
      <c r="AM42" s="532"/>
      <c r="AN42" s="532"/>
      <c r="AO42" s="532"/>
      <c r="AP42" s="532"/>
      <c r="AQ42" s="532"/>
      <c r="AR42" s="532"/>
      <c r="AS42" s="532"/>
      <c r="AT42" s="532"/>
      <c r="AU42" s="532"/>
      <c r="AV42" s="532"/>
      <c r="AW42" s="532"/>
      <c r="AX42" s="519"/>
      <c r="AY42" s="542"/>
      <c r="AZ42" s="542"/>
      <c r="BA42" s="556"/>
      <c r="BB42" s="542"/>
      <c r="BC42" s="516"/>
      <c r="BD42" s="542"/>
      <c r="BE42" s="516"/>
      <c r="BF42" s="516"/>
      <c r="BG42" s="516"/>
      <c r="BH42" s="516"/>
      <c r="BI42" s="542"/>
      <c r="BJ42" s="542"/>
      <c r="BK42" s="519"/>
      <c r="BL42" s="542"/>
      <c r="BM42" s="516"/>
      <c r="BN42" s="516"/>
      <c r="BO42" s="516"/>
      <c r="BP42" s="516"/>
      <c r="BQ42" s="516"/>
      <c r="BR42" s="516"/>
      <c r="BS42" s="516"/>
      <c r="BT42" s="516"/>
      <c r="BU42" s="516"/>
      <c r="BV42" s="516"/>
      <c r="BW42" s="516"/>
      <c r="BX42" s="519"/>
      <c r="BY42" s="563"/>
      <c r="BZ42" s="525"/>
      <c r="CA42" s="525"/>
      <c r="CB42" s="525"/>
      <c r="CC42" s="525"/>
      <c r="CD42" s="525"/>
      <c r="CE42" s="525"/>
      <c r="CF42" s="525"/>
      <c r="CG42" s="525"/>
      <c r="CH42" s="525"/>
      <c r="CI42" s="525"/>
      <c r="CJ42" s="525"/>
      <c r="CK42" s="519"/>
      <c r="CL42" s="535"/>
      <c r="CM42" s="544"/>
      <c r="CN42" s="525"/>
      <c r="CO42" s="525"/>
      <c r="CP42" s="525"/>
      <c r="CQ42" s="525"/>
      <c r="CR42" s="525"/>
      <c r="CS42" s="525"/>
      <c r="CT42" s="525"/>
      <c r="CU42" s="525"/>
      <c r="CV42" s="525"/>
      <c r="CW42" s="525"/>
      <c r="CX42" s="528">
        <f t="shared" si="11"/>
        <v>0</v>
      </c>
      <c r="CY42" s="541"/>
      <c r="CZ42" s="541"/>
      <c r="DA42" s="541"/>
      <c r="DB42" s="806"/>
      <c r="DC42" s="806">
        <f>108.73-58.93</f>
        <v>49.800000000000004</v>
      </c>
      <c r="DD42" s="806">
        <f>49.8+26.69</f>
        <v>76.489999999999995</v>
      </c>
      <c r="DE42" s="806">
        <f>99.6</f>
        <v>99.6</v>
      </c>
      <c r="DF42" s="806">
        <f>99.6</f>
        <v>99.6</v>
      </c>
      <c r="DG42" s="806">
        <f>99.6</f>
        <v>99.6</v>
      </c>
      <c r="DH42" s="792">
        <v>99.6</v>
      </c>
      <c r="DI42" s="792">
        <v>99.6</v>
      </c>
      <c r="DJ42" s="792">
        <v>99.6</v>
      </c>
      <c r="DK42" s="528">
        <f t="shared" si="8"/>
        <v>723.8900000000001</v>
      </c>
      <c r="DL42" s="792">
        <v>99.6</v>
      </c>
      <c r="DM42" s="792">
        <v>99.6</v>
      </c>
      <c r="DN42" s="792">
        <v>99.6</v>
      </c>
      <c r="DO42" s="792">
        <v>99.6</v>
      </c>
      <c r="DP42" s="792">
        <v>99.6</v>
      </c>
      <c r="DQ42" s="792">
        <v>99.6</v>
      </c>
      <c r="DR42" s="792">
        <v>99.6</v>
      </c>
      <c r="DS42" s="792">
        <v>99.6</v>
      </c>
      <c r="DT42" s="792">
        <v>99.6</v>
      </c>
      <c r="DU42" s="792">
        <v>99.6</v>
      </c>
      <c r="DV42" s="792">
        <v>99.6</v>
      </c>
      <c r="DW42" s="792">
        <v>99.6</v>
      </c>
      <c r="DX42" s="519">
        <f t="shared" si="9"/>
        <v>1195.2</v>
      </c>
    </row>
    <row r="43" spans="2:128" ht="15">
      <c r="B43" s="480" t="s">
        <v>455</v>
      </c>
      <c r="C43" s="512"/>
      <c r="D43" s="512"/>
      <c r="E43" s="512"/>
      <c r="F43" s="513"/>
      <c r="G43" s="513"/>
      <c r="H43" s="513"/>
      <c r="I43" s="513"/>
      <c r="J43" s="513"/>
      <c r="K43" s="513"/>
      <c r="L43" s="513"/>
      <c r="M43" s="512"/>
      <c r="N43" s="512"/>
      <c r="O43" s="514"/>
      <c r="P43" s="515"/>
      <c r="Q43" s="515"/>
      <c r="R43" s="515"/>
      <c r="S43" s="515"/>
      <c r="T43" s="515"/>
      <c r="U43" s="515"/>
      <c r="V43" s="515"/>
      <c r="W43" s="516"/>
      <c r="X43" s="515"/>
      <c r="Y43" s="515"/>
      <c r="Z43" s="515"/>
      <c r="AA43" s="515"/>
      <c r="AB43" s="529"/>
      <c r="AC43" s="518"/>
      <c r="AD43" s="515"/>
      <c r="AE43" s="532"/>
      <c r="AF43" s="574"/>
      <c r="AG43" s="515"/>
      <c r="AH43" s="515"/>
      <c r="AI43" s="532"/>
      <c r="AJ43" s="532"/>
      <c r="AK43" s="531"/>
      <c r="AL43" s="532"/>
      <c r="AM43" s="532"/>
      <c r="AN43" s="532"/>
      <c r="AO43" s="532"/>
      <c r="AP43" s="532"/>
      <c r="AQ43" s="532"/>
      <c r="AR43" s="532"/>
      <c r="AS43" s="532"/>
      <c r="AT43" s="532"/>
      <c r="AU43" s="532"/>
      <c r="AV43" s="532"/>
      <c r="AW43" s="532"/>
      <c r="AX43" s="519"/>
      <c r="AY43" s="542"/>
      <c r="AZ43" s="542"/>
      <c r="BA43" s="556"/>
      <c r="BB43" s="542"/>
      <c r="BC43" s="516"/>
      <c r="BD43" s="542"/>
      <c r="BE43" s="516"/>
      <c r="BF43" s="516"/>
      <c r="BG43" s="516"/>
      <c r="BH43" s="516"/>
      <c r="BI43" s="542"/>
      <c r="BJ43" s="542"/>
      <c r="BK43" s="519"/>
      <c r="BL43" s="542"/>
      <c r="BM43" s="516"/>
      <c r="BN43" s="516"/>
      <c r="BO43" s="516"/>
      <c r="BP43" s="516"/>
      <c r="BQ43" s="516"/>
      <c r="BR43" s="516"/>
      <c r="BS43" s="516"/>
      <c r="BT43" s="516"/>
      <c r="BU43" s="516"/>
      <c r="BV43" s="516"/>
      <c r="BW43" s="516"/>
      <c r="BX43" s="519"/>
      <c r="BY43" s="563"/>
      <c r="BZ43" s="525"/>
      <c r="CA43" s="525"/>
      <c r="CB43" s="544">
        <v>212.85</v>
      </c>
      <c r="CC43" s="534">
        <v>245.04</v>
      </c>
      <c r="CD43" s="534">
        <v>245.04</v>
      </c>
      <c r="CE43" s="534">
        <v>245.04</v>
      </c>
      <c r="CF43" s="534">
        <v>245.04</v>
      </c>
      <c r="CG43" s="534">
        <v>245.04</v>
      </c>
      <c r="CH43" s="534">
        <v>245.04</v>
      </c>
      <c r="CI43" s="534">
        <v>245.04</v>
      </c>
      <c r="CJ43" s="534">
        <v>245.04</v>
      </c>
      <c r="CK43" s="519">
        <f t="shared" si="10"/>
        <v>2173.17</v>
      </c>
      <c r="CL43" s="615">
        <v>245.04</v>
      </c>
      <c r="CM43" s="544">
        <v>245.04</v>
      </c>
      <c r="CN43" s="534">
        <v>245.04</v>
      </c>
      <c r="CO43" s="534">
        <v>245.04</v>
      </c>
      <c r="CP43" s="534">
        <v>245.04</v>
      </c>
      <c r="CQ43" s="534">
        <v>245.04</v>
      </c>
      <c r="CR43" s="534">
        <v>245.04</v>
      </c>
      <c r="CS43" s="534">
        <v>245.04</v>
      </c>
      <c r="CT43" s="534">
        <v>245.04</v>
      </c>
      <c r="CU43" s="534">
        <v>245.04</v>
      </c>
      <c r="CV43" s="534">
        <v>245.04</v>
      </c>
      <c r="CW43" s="534">
        <v>245.04</v>
      </c>
      <c r="CX43" s="528">
        <f t="shared" si="11"/>
        <v>2940.48</v>
      </c>
      <c r="CY43" s="544">
        <v>245.04</v>
      </c>
      <c r="CZ43" s="806">
        <v>245.04</v>
      </c>
      <c r="DA43" s="806">
        <v>245.04</v>
      </c>
      <c r="DB43" s="806">
        <v>245.04</v>
      </c>
      <c r="DC43" s="806">
        <v>245.04</v>
      </c>
      <c r="DD43" s="806">
        <v>245.04</v>
      </c>
      <c r="DE43" s="806">
        <v>245.04</v>
      </c>
      <c r="DF43" s="806">
        <v>245.04</v>
      </c>
      <c r="DG43" s="806">
        <v>245.04</v>
      </c>
      <c r="DH43" s="792">
        <v>245.04</v>
      </c>
      <c r="DI43" s="792">
        <v>245.04</v>
      </c>
      <c r="DJ43" s="792">
        <v>245.04</v>
      </c>
      <c r="DK43" s="528">
        <f t="shared" si="8"/>
        <v>2940.48</v>
      </c>
      <c r="DL43" s="480">
        <v>245.04</v>
      </c>
      <c r="DX43" s="519">
        <f t="shared" si="9"/>
        <v>245.04</v>
      </c>
    </row>
    <row r="44" spans="2:128" ht="15">
      <c r="B44" s="480" t="s">
        <v>623</v>
      </c>
      <c r="C44" s="512"/>
      <c r="D44" s="512"/>
      <c r="E44" s="512"/>
      <c r="F44" s="513"/>
      <c r="G44" s="513"/>
      <c r="H44" s="513"/>
      <c r="I44" s="513"/>
      <c r="J44" s="513"/>
      <c r="K44" s="513"/>
      <c r="L44" s="513"/>
      <c r="M44" s="512"/>
      <c r="N44" s="512"/>
      <c r="O44" s="514"/>
      <c r="P44" s="515"/>
      <c r="Q44" s="515"/>
      <c r="R44" s="515"/>
      <c r="S44" s="515"/>
      <c r="T44" s="515"/>
      <c r="U44" s="515"/>
      <c r="V44" s="515"/>
      <c r="W44" s="516"/>
      <c r="X44" s="515"/>
      <c r="Y44" s="515"/>
      <c r="Z44" s="515"/>
      <c r="AA44" s="515"/>
      <c r="AB44" s="529"/>
      <c r="AC44" s="518"/>
      <c r="AD44" s="515"/>
      <c r="AE44" s="532"/>
      <c r="AF44" s="574"/>
      <c r="AG44" s="515"/>
      <c r="AH44" s="515"/>
      <c r="AI44" s="532"/>
      <c r="AJ44" s="532"/>
      <c r="AK44" s="531"/>
      <c r="AL44" s="532"/>
      <c r="AM44" s="532"/>
      <c r="AN44" s="532"/>
      <c r="AO44" s="532"/>
      <c r="AP44" s="532"/>
      <c r="AQ44" s="532"/>
      <c r="AR44" s="532"/>
      <c r="AS44" s="532"/>
      <c r="AT44" s="532"/>
      <c r="AU44" s="532"/>
      <c r="AV44" s="532"/>
      <c r="AW44" s="532"/>
      <c r="AX44" s="519"/>
      <c r="AY44" s="542"/>
      <c r="AZ44" s="542"/>
      <c r="BA44" s="556"/>
      <c r="BB44" s="542"/>
      <c r="BC44" s="516"/>
      <c r="BD44" s="542"/>
      <c r="BE44" s="516"/>
      <c r="BF44" s="516"/>
      <c r="BG44" s="516"/>
      <c r="BH44" s="516"/>
      <c r="BI44" s="542"/>
      <c r="BJ44" s="542"/>
      <c r="BK44" s="519"/>
      <c r="BL44" s="542"/>
      <c r="BM44" s="516"/>
      <c r="BN44" s="516"/>
      <c r="BO44" s="516"/>
      <c r="BP44" s="516"/>
      <c r="BQ44" s="516"/>
      <c r="BR44" s="516"/>
      <c r="BS44" s="516"/>
      <c r="BT44" s="516"/>
      <c r="BU44" s="516"/>
      <c r="BV44" s="516"/>
      <c r="BW44" s="516"/>
      <c r="BX44" s="519"/>
      <c r="BY44" s="563"/>
      <c r="BZ44" s="525"/>
      <c r="CA44" s="525"/>
      <c r="CB44" s="544"/>
      <c r="CC44" s="534"/>
      <c r="CD44" s="534"/>
      <c r="CE44" s="534"/>
      <c r="CF44" s="534"/>
      <c r="CG44" s="534"/>
      <c r="CH44" s="534"/>
      <c r="CI44" s="534"/>
      <c r="CJ44" s="534"/>
      <c r="CK44" s="519"/>
      <c r="CL44" s="615"/>
      <c r="CM44" s="544"/>
      <c r="CN44" s="534"/>
      <c r="CO44" s="534"/>
      <c r="CP44" s="534"/>
      <c r="CQ44" s="534"/>
      <c r="CR44" s="534"/>
      <c r="CS44" s="534"/>
      <c r="CT44" s="534"/>
      <c r="CU44" s="534"/>
      <c r="CV44" s="544">
        <f>20.17+104.18+104.18</f>
        <v>228.53000000000003</v>
      </c>
      <c r="CW44" s="544">
        <v>104.18</v>
      </c>
      <c r="CX44" s="528">
        <f t="shared" si="11"/>
        <v>332.71000000000004</v>
      </c>
      <c r="CY44" s="544">
        <v>104.18</v>
      </c>
      <c r="CZ44" s="544">
        <v>104.18</v>
      </c>
      <c r="DA44" s="806"/>
      <c r="DB44" s="806"/>
      <c r="DC44" s="961"/>
      <c r="DD44" s="963"/>
      <c r="DE44" s="961"/>
      <c r="DF44" s="961"/>
      <c r="DG44" s="961"/>
      <c r="DH44" s="792"/>
      <c r="DI44" s="792"/>
      <c r="DJ44" s="792"/>
      <c r="DK44" s="528">
        <f>SUM(CY44:DJ44)</f>
        <v>208.36</v>
      </c>
      <c r="DX44" s="519">
        <f t="shared" si="9"/>
        <v>0</v>
      </c>
    </row>
    <row r="45" spans="2:128" ht="15">
      <c r="B45" s="480" t="s">
        <v>650</v>
      </c>
      <c r="C45" s="512"/>
      <c r="D45" s="512"/>
      <c r="E45" s="512"/>
      <c r="F45" s="513"/>
      <c r="G45" s="513"/>
      <c r="H45" s="513"/>
      <c r="I45" s="513"/>
      <c r="J45" s="513"/>
      <c r="K45" s="513"/>
      <c r="L45" s="513"/>
      <c r="M45" s="512"/>
      <c r="N45" s="512"/>
      <c r="O45" s="514"/>
      <c r="P45" s="515"/>
      <c r="Q45" s="515"/>
      <c r="R45" s="515"/>
      <c r="S45" s="515"/>
      <c r="T45" s="515"/>
      <c r="U45" s="515"/>
      <c r="V45" s="515"/>
      <c r="W45" s="516"/>
      <c r="X45" s="515"/>
      <c r="Y45" s="515"/>
      <c r="Z45" s="515"/>
      <c r="AA45" s="515"/>
      <c r="AB45" s="529"/>
      <c r="AC45" s="518"/>
      <c r="AD45" s="515"/>
      <c r="AE45" s="532"/>
      <c r="AF45" s="574"/>
      <c r="AG45" s="515"/>
      <c r="AH45" s="515"/>
      <c r="AI45" s="532"/>
      <c r="AJ45" s="532"/>
      <c r="AK45" s="531"/>
      <c r="AL45" s="532"/>
      <c r="AM45" s="532"/>
      <c r="AN45" s="532"/>
      <c r="AO45" s="532"/>
      <c r="AP45" s="532"/>
      <c r="AQ45" s="532"/>
      <c r="AR45" s="532"/>
      <c r="AS45" s="532"/>
      <c r="AT45" s="532"/>
      <c r="AU45" s="532"/>
      <c r="AV45" s="532"/>
      <c r="AW45" s="532"/>
      <c r="AX45" s="519"/>
      <c r="AY45" s="542"/>
      <c r="AZ45" s="542"/>
      <c r="BA45" s="556"/>
      <c r="BB45" s="542"/>
      <c r="BC45" s="516"/>
      <c r="BD45" s="542"/>
      <c r="BE45" s="516"/>
      <c r="BF45" s="516"/>
      <c r="BG45" s="516"/>
      <c r="BH45" s="516"/>
      <c r="BI45" s="542"/>
      <c r="BJ45" s="542"/>
      <c r="BK45" s="519"/>
      <c r="BL45" s="542"/>
      <c r="BM45" s="516"/>
      <c r="BN45" s="516"/>
      <c r="BO45" s="516"/>
      <c r="BP45" s="516"/>
      <c r="BQ45" s="516"/>
      <c r="BR45" s="516"/>
      <c r="BS45" s="516"/>
      <c r="BT45" s="516"/>
      <c r="BU45" s="516"/>
      <c r="BV45" s="516"/>
      <c r="BW45" s="516"/>
      <c r="BX45" s="519"/>
      <c r="BY45" s="563"/>
      <c r="BZ45" s="525"/>
      <c r="CA45" s="525"/>
      <c r="CB45" s="544"/>
      <c r="CC45" s="534"/>
      <c r="CD45" s="534"/>
      <c r="CE45" s="534"/>
      <c r="CF45" s="534"/>
      <c r="CG45" s="534"/>
      <c r="CH45" s="534"/>
      <c r="CI45" s="534"/>
      <c r="CJ45" s="534"/>
      <c r="CK45" s="519"/>
      <c r="CL45" s="615"/>
      <c r="CM45" s="544"/>
      <c r="CN45" s="534"/>
      <c r="CO45" s="534"/>
      <c r="CP45" s="534"/>
      <c r="CQ45" s="534"/>
      <c r="CR45" s="534"/>
      <c r="CS45" s="534"/>
      <c r="CT45" s="534"/>
      <c r="CU45" s="534"/>
      <c r="CV45" s="544"/>
      <c r="CW45" s="544"/>
      <c r="CX45" s="528">
        <f t="shared" si="11"/>
        <v>0</v>
      </c>
      <c r="CY45" s="544"/>
      <c r="CZ45" s="544">
        <v>97.4</v>
      </c>
      <c r="DA45" s="806">
        <v>104.12</v>
      </c>
      <c r="DB45" s="806">
        <v>104.12</v>
      </c>
      <c r="DC45" s="806">
        <v>104.12</v>
      </c>
      <c r="DD45" s="806">
        <v>104.12</v>
      </c>
      <c r="DE45" s="806">
        <v>104.12</v>
      </c>
      <c r="DF45" s="806">
        <v>104.12</v>
      </c>
      <c r="DG45" s="806">
        <v>104.12</v>
      </c>
      <c r="DH45" s="792">
        <v>104.12</v>
      </c>
      <c r="DI45" s="792">
        <v>104.12</v>
      </c>
      <c r="DJ45" s="792">
        <v>104.12</v>
      </c>
      <c r="DK45" s="528">
        <f>SUM(CY45:DJ45)</f>
        <v>1138.5999999999999</v>
      </c>
      <c r="DL45" s="792">
        <v>104.12</v>
      </c>
      <c r="DM45" s="792">
        <v>104.12</v>
      </c>
      <c r="DX45" s="519">
        <f t="shared" si="9"/>
        <v>208.24</v>
      </c>
    </row>
    <row r="46" spans="2:128" ht="15">
      <c r="B46" s="480" t="s">
        <v>624</v>
      </c>
      <c r="C46" s="512"/>
      <c r="D46" s="512"/>
      <c r="E46" s="512"/>
      <c r="F46" s="513"/>
      <c r="G46" s="513"/>
      <c r="H46" s="513"/>
      <c r="I46" s="513"/>
      <c r="J46" s="513"/>
      <c r="K46" s="513"/>
      <c r="L46" s="513"/>
      <c r="M46" s="512"/>
      <c r="N46" s="512"/>
      <c r="O46" s="514"/>
      <c r="P46" s="515"/>
      <c r="Q46" s="515"/>
      <c r="R46" s="515"/>
      <c r="S46" s="515"/>
      <c r="T46" s="515"/>
      <c r="U46" s="515"/>
      <c r="V46" s="515"/>
      <c r="W46" s="516"/>
      <c r="X46" s="515"/>
      <c r="Y46" s="515"/>
      <c r="Z46" s="515"/>
      <c r="AA46" s="515"/>
      <c r="AB46" s="529"/>
      <c r="AC46" s="518"/>
      <c r="AD46" s="515"/>
      <c r="AE46" s="532"/>
      <c r="AF46" s="574"/>
      <c r="AG46" s="515"/>
      <c r="AH46" s="515"/>
      <c r="AI46" s="532"/>
      <c r="AJ46" s="532"/>
      <c r="AK46" s="531"/>
      <c r="AL46" s="532"/>
      <c r="AM46" s="532"/>
      <c r="AN46" s="532"/>
      <c r="AO46" s="532"/>
      <c r="AP46" s="532"/>
      <c r="AQ46" s="532"/>
      <c r="AR46" s="532"/>
      <c r="AS46" s="532"/>
      <c r="AT46" s="532"/>
      <c r="AU46" s="532"/>
      <c r="AV46" s="532"/>
      <c r="AW46" s="532"/>
      <c r="AX46" s="519"/>
      <c r="AY46" s="542"/>
      <c r="AZ46" s="542"/>
      <c r="BA46" s="556"/>
      <c r="BB46" s="542"/>
      <c r="BC46" s="516"/>
      <c r="BD46" s="542"/>
      <c r="BE46" s="516"/>
      <c r="BF46" s="516"/>
      <c r="BG46" s="516"/>
      <c r="BH46" s="516"/>
      <c r="BI46" s="542"/>
      <c r="BJ46" s="542"/>
      <c r="BK46" s="519"/>
      <c r="BL46" s="542"/>
      <c r="BM46" s="516"/>
      <c r="BN46" s="516"/>
      <c r="BO46" s="516"/>
      <c r="BP46" s="516"/>
      <c r="BQ46" s="516"/>
      <c r="BR46" s="516"/>
      <c r="BS46" s="516"/>
      <c r="BT46" s="516"/>
      <c r="BU46" s="516"/>
      <c r="BV46" s="516"/>
      <c r="BW46" s="516"/>
      <c r="BX46" s="519"/>
      <c r="BY46" s="563"/>
      <c r="BZ46" s="525"/>
      <c r="CA46" s="525"/>
      <c r="CB46" s="544"/>
      <c r="CC46" s="534"/>
      <c r="CD46" s="534"/>
      <c r="CE46" s="534"/>
      <c r="CF46" s="534"/>
      <c r="CG46" s="534"/>
      <c r="CH46" s="534"/>
      <c r="CI46" s="534"/>
      <c r="CJ46" s="534"/>
      <c r="CK46" s="519"/>
      <c r="CL46" s="615"/>
      <c r="CM46" s="544"/>
      <c r="CN46" s="534"/>
      <c r="CO46" s="534"/>
      <c r="CP46" s="534"/>
      <c r="CQ46" s="534"/>
      <c r="CR46" s="534"/>
      <c r="CS46" s="534"/>
      <c r="CT46" s="534"/>
      <c r="CU46" s="534"/>
      <c r="CV46" s="544">
        <f>42+216.96+216.96</f>
        <v>475.92000000000007</v>
      </c>
      <c r="CW46" s="544">
        <v>216.96</v>
      </c>
      <c r="CX46" s="528">
        <f t="shared" si="11"/>
        <v>692.88000000000011</v>
      </c>
      <c r="CY46" s="544">
        <v>216.96</v>
      </c>
      <c r="CZ46" s="544">
        <v>216.96</v>
      </c>
      <c r="DA46" s="819">
        <v>216.96</v>
      </c>
      <c r="DB46" s="806">
        <v>216.96</v>
      </c>
      <c r="DC46" s="819">
        <v>216.96</v>
      </c>
      <c r="DD46" s="819">
        <v>216.96</v>
      </c>
      <c r="DE46" s="819">
        <v>216.96</v>
      </c>
      <c r="DF46" s="819">
        <v>216.96</v>
      </c>
      <c r="DG46" s="819">
        <v>216.96</v>
      </c>
      <c r="DH46" s="792">
        <v>226.75</v>
      </c>
      <c r="DI46" s="792">
        <v>226.75</v>
      </c>
      <c r="DJ46" s="792">
        <v>226.75</v>
      </c>
      <c r="DK46" s="528">
        <f t="shared" si="8"/>
        <v>2632.8900000000003</v>
      </c>
      <c r="DL46" s="792">
        <v>226.75</v>
      </c>
      <c r="DM46" s="792">
        <v>226.75</v>
      </c>
      <c r="DN46" s="792">
        <v>226.75</v>
      </c>
      <c r="DO46" s="792">
        <v>226.75</v>
      </c>
      <c r="DP46" s="792">
        <v>226.75</v>
      </c>
      <c r="DQ46" s="792">
        <v>226.75</v>
      </c>
      <c r="DR46" s="792">
        <v>226.75</v>
      </c>
      <c r="DS46" s="792">
        <v>226.75</v>
      </c>
      <c r="DT46" s="792">
        <v>226.75</v>
      </c>
      <c r="DX46" s="519">
        <f t="shared" si="9"/>
        <v>2040.75</v>
      </c>
    </row>
    <row r="47" spans="2:128" ht="15">
      <c r="B47" s="480" t="s">
        <v>596</v>
      </c>
      <c r="C47" s="512"/>
      <c r="D47" s="512"/>
      <c r="E47" s="512"/>
      <c r="F47" s="513"/>
      <c r="G47" s="513"/>
      <c r="H47" s="513"/>
      <c r="I47" s="513"/>
      <c r="J47" s="513"/>
      <c r="K47" s="513"/>
      <c r="L47" s="513"/>
      <c r="M47" s="512"/>
      <c r="N47" s="512"/>
      <c r="O47" s="514"/>
      <c r="P47" s="515"/>
      <c r="Q47" s="515"/>
      <c r="R47" s="515"/>
      <c r="S47" s="515"/>
      <c r="T47" s="515"/>
      <c r="U47" s="515"/>
      <c r="V47" s="515"/>
      <c r="W47" s="516"/>
      <c r="X47" s="515"/>
      <c r="Y47" s="515"/>
      <c r="Z47" s="515"/>
      <c r="AA47" s="515"/>
      <c r="AB47" s="529"/>
      <c r="AC47" s="518"/>
      <c r="AD47" s="515"/>
      <c r="AE47" s="532"/>
      <c r="AF47" s="574"/>
      <c r="AG47" s="515"/>
      <c r="AH47" s="515"/>
      <c r="AI47" s="532"/>
      <c r="AJ47" s="532"/>
      <c r="AK47" s="531"/>
      <c r="AL47" s="532"/>
      <c r="AM47" s="532"/>
      <c r="AN47" s="532"/>
      <c r="AO47" s="532"/>
      <c r="AP47" s="532"/>
      <c r="AQ47" s="532"/>
      <c r="AR47" s="532"/>
      <c r="AS47" s="532"/>
      <c r="AT47" s="532"/>
      <c r="AU47" s="532"/>
      <c r="AV47" s="532"/>
      <c r="AW47" s="532"/>
      <c r="AX47" s="519"/>
      <c r="AY47" s="542"/>
      <c r="AZ47" s="542"/>
      <c r="BA47" s="556"/>
      <c r="BB47" s="542"/>
      <c r="BC47" s="516"/>
      <c r="BD47" s="542"/>
      <c r="BE47" s="516"/>
      <c r="BF47" s="516"/>
      <c r="BG47" s="516"/>
      <c r="BH47" s="516"/>
      <c r="BI47" s="542"/>
      <c r="BJ47" s="542"/>
      <c r="BK47" s="519"/>
      <c r="BL47" s="542"/>
      <c r="BM47" s="516"/>
      <c r="BN47" s="516"/>
      <c r="BO47" s="516"/>
      <c r="BP47" s="516"/>
      <c r="BQ47" s="516"/>
      <c r="BR47" s="516"/>
      <c r="BS47" s="516"/>
      <c r="BT47" s="516"/>
      <c r="BU47" s="516"/>
      <c r="BV47" s="516"/>
      <c r="BW47" s="516"/>
      <c r="BX47" s="519"/>
      <c r="BY47" s="563"/>
      <c r="BZ47" s="525"/>
      <c r="CA47" s="525"/>
      <c r="CB47" s="544">
        <v>896.8</v>
      </c>
      <c r="CC47" s="525"/>
      <c r="CD47" s="525"/>
      <c r="CE47" s="525"/>
      <c r="CF47" s="525"/>
      <c r="CG47" s="525"/>
      <c r="CH47" s="525"/>
      <c r="CI47" s="525"/>
      <c r="CJ47" s="525"/>
      <c r="CK47" s="519">
        <f t="shared" si="10"/>
        <v>896.8</v>
      </c>
      <c r="CL47" s="795"/>
      <c r="CM47" s="525"/>
      <c r="CN47" s="525"/>
      <c r="CO47" s="563"/>
      <c r="CP47" s="525"/>
      <c r="CQ47" s="525"/>
      <c r="CR47" s="544">
        <v>1373.26</v>
      </c>
      <c r="CS47" s="525"/>
      <c r="CT47" s="525"/>
      <c r="CU47" s="525"/>
      <c r="CV47" s="525"/>
      <c r="CW47" s="525"/>
      <c r="CX47" s="528">
        <f t="shared" si="11"/>
        <v>1373.26</v>
      </c>
      <c r="CY47" s="560"/>
      <c r="CZ47" s="541"/>
      <c r="DA47" s="541"/>
      <c r="DB47" s="560"/>
      <c r="DC47" s="544"/>
      <c r="DD47" s="541"/>
      <c r="DE47" s="544">
        <v>1432.32</v>
      </c>
      <c r="DF47" s="541"/>
      <c r="DG47" s="560"/>
      <c r="DK47" s="528">
        <f t="shared" si="8"/>
        <v>1432.32</v>
      </c>
      <c r="DP47" s="962"/>
      <c r="DX47" s="519">
        <f t="shared" si="9"/>
        <v>0</v>
      </c>
    </row>
    <row r="48" spans="2:128" ht="15" hidden="1">
      <c r="B48" s="480" t="s">
        <v>211</v>
      </c>
      <c r="C48" s="538"/>
      <c r="D48" s="538"/>
      <c r="E48" s="538"/>
      <c r="F48" s="513"/>
      <c r="G48" s="513"/>
      <c r="H48" s="513"/>
      <c r="I48" s="513"/>
      <c r="J48" s="513"/>
      <c r="K48" s="513"/>
      <c r="L48" s="513"/>
      <c r="M48" s="512"/>
      <c r="N48" s="512"/>
      <c r="O48" s="514">
        <f t="shared" si="4"/>
        <v>0</v>
      </c>
      <c r="P48" s="515"/>
      <c r="Q48" s="515"/>
      <c r="R48" s="515"/>
      <c r="S48" s="515"/>
      <c r="T48" s="515"/>
      <c r="U48" s="515"/>
      <c r="V48" s="515"/>
      <c r="W48" s="516"/>
      <c r="X48" s="515"/>
      <c r="Y48" s="515"/>
      <c r="Z48" s="515"/>
      <c r="AA48" s="515"/>
      <c r="AB48" s="529">
        <f t="shared" si="5"/>
        <v>0</v>
      </c>
      <c r="AC48" s="518"/>
      <c r="AD48" s="515"/>
      <c r="AE48" s="532"/>
      <c r="AF48" s="532">
        <v>8080.88</v>
      </c>
      <c r="AG48" s="515"/>
      <c r="AH48" s="515"/>
      <c r="AI48" s="515"/>
      <c r="AJ48" s="515"/>
      <c r="AK48" s="531">
        <f t="shared" si="14"/>
        <v>8080.88</v>
      </c>
      <c r="AL48" s="532"/>
      <c r="AM48" s="515"/>
      <c r="AN48" s="541"/>
      <c r="AO48" s="515"/>
      <c r="AP48" s="515"/>
      <c r="AQ48" s="515"/>
      <c r="AR48" s="515"/>
      <c r="AS48" s="515"/>
      <c r="AT48" s="515"/>
      <c r="AU48" s="515"/>
      <c r="AV48" s="515"/>
      <c r="AW48" s="515"/>
      <c r="AX48" s="519">
        <f t="shared" si="23"/>
        <v>0</v>
      </c>
      <c r="AY48" s="518"/>
      <c r="AZ48" s="532">
        <f>8855.88-8855.88</f>
        <v>0</v>
      </c>
      <c r="BA48" s="576"/>
      <c r="BB48" s="515"/>
      <c r="BC48" s="515"/>
      <c r="BD48" s="515"/>
      <c r="BE48" s="515"/>
      <c r="BF48" s="515"/>
      <c r="BG48" s="515"/>
      <c r="BH48" s="516"/>
      <c r="BI48" s="515"/>
      <c r="BJ48" s="520"/>
      <c r="BK48" s="519">
        <f t="shared" si="22"/>
        <v>0</v>
      </c>
      <c r="BL48" s="521"/>
      <c r="BM48" s="522"/>
      <c r="BN48" s="522"/>
      <c r="BO48" s="522"/>
      <c r="BP48" s="522"/>
      <c r="BQ48" s="522"/>
      <c r="BR48" s="522"/>
      <c r="BS48" s="522"/>
      <c r="BT48" s="522"/>
      <c r="BU48" s="522"/>
      <c r="BV48" s="522"/>
      <c r="BW48" s="524"/>
      <c r="BX48" s="519">
        <f t="shared" si="7"/>
        <v>0</v>
      </c>
      <c r="BY48" s="525"/>
      <c r="BZ48" s="525"/>
      <c r="CA48" s="525"/>
      <c r="CB48" s="525"/>
      <c r="CC48" s="525"/>
      <c r="CD48" s="525"/>
      <c r="CE48" s="525"/>
      <c r="CF48" s="527"/>
      <c r="CG48" s="525"/>
      <c r="CH48" s="527"/>
      <c r="CI48" s="527"/>
      <c r="CJ48" s="525"/>
      <c r="CK48" s="519">
        <f t="shared" si="10"/>
        <v>0</v>
      </c>
      <c r="CL48" s="527"/>
      <c r="CM48" s="525"/>
      <c r="CN48" s="525"/>
      <c r="CO48" s="525"/>
      <c r="CP48" s="525"/>
      <c r="CQ48" s="525"/>
      <c r="CR48" s="527"/>
      <c r="CS48" s="525"/>
      <c r="CT48" s="527"/>
      <c r="CU48" s="525"/>
      <c r="CV48" s="527"/>
      <c r="CW48" s="525"/>
      <c r="CX48" s="528">
        <f t="shared" si="11"/>
        <v>0</v>
      </c>
      <c r="CY48" s="560"/>
      <c r="CZ48" s="541"/>
      <c r="DA48" s="541"/>
      <c r="DD48" s="541"/>
      <c r="DE48" s="541"/>
      <c r="DF48" s="541"/>
      <c r="DK48" s="528">
        <f t="shared" si="8"/>
        <v>0</v>
      </c>
      <c r="DX48" s="519">
        <f t="shared" si="9"/>
        <v>0</v>
      </c>
    </row>
    <row r="49" spans="2:128" ht="15">
      <c r="B49" s="480" t="s">
        <v>212</v>
      </c>
      <c r="C49" s="538"/>
      <c r="D49" s="538"/>
      <c r="E49" s="538"/>
      <c r="F49" s="513"/>
      <c r="G49" s="513"/>
      <c r="H49" s="513"/>
      <c r="I49" s="513"/>
      <c r="J49" s="513"/>
      <c r="K49" s="513"/>
      <c r="L49" s="513"/>
      <c r="M49" s="512"/>
      <c r="N49" s="512"/>
      <c r="O49" s="514"/>
      <c r="P49" s="515"/>
      <c r="Q49" s="515"/>
      <c r="R49" s="515"/>
      <c r="S49" s="515"/>
      <c r="T49" s="515"/>
      <c r="U49" s="515"/>
      <c r="V49" s="515"/>
      <c r="W49" s="516"/>
      <c r="X49" s="515"/>
      <c r="Y49" s="515"/>
      <c r="Z49" s="515"/>
      <c r="AA49" s="515"/>
      <c r="AB49" s="529">
        <f t="shared" si="5"/>
        <v>0</v>
      </c>
      <c r="AC49" s="518"/>
      <c r="AD49" s="515"/>
      <c r="AE49" s="532"/>
      <c r="AF49" s="532"/>
      <c r="AG49" s="515"/>
      <c r="AH49" s="515"/>
      <c r="AI49" s="515"/>
      <c r="AJ49" s="515"/>
      <c r="AK49" s="531">
        <f t="shared" si="14"/>
        <v>0</v>
      </c>
      <c r="AL49" s="532"/>
      <c r="AM49" s="515"/>
      <c r="AN49" s="541"/>
      <c r="AO49" s="515"/>
      <c r="AP49" s="515"/>
      <c r="AQ49" s="515"/>
      <c r="AR49" s="515"/>
      <c r="AS49" s="515"/>
      <c r="AT49" s="515"/>
      <c r="AU49" s="515"/>
      <c r="AV49" s="515"/>
      <c r="AW49" s="515"/>
      <c r="AX49" s="519">
        <f t="shared" si="23"/>
        <v>0</v>
      </c>
      <c r="AY49" s="542">
        <f>443.8+443.8-443.8-443.8</f>
        <v>0</v>
      </c>
      <c r="AZ49" s="542">
        <f>455.7+26.81+455.7+455.7</f>
        <v>1393.91</v>
      </c>
      <c r="BA49" s="556">
        <f>455.7+443.8</f>
        <v>899.5</v>
      </c>
      <c r="BB49" s="542">
        <f>-443.8+455.7</f>
        <v>11.899999999999977</v>
      </c>
      <c r="BC49" s="542">
        <v>455.7</v>
      </c>
      <c r="BD49" s="542">
        <f>455.7+89.7</f>
        <v>545.4</v>
      </c>
      <c r="BE49" s="542">
        <v>455.7</v>
      </c>
      <c r="BF49" s="542">
        <f>455.7+48.8</f>
        <v>504.5</v>
      </c>
      <c r="BG49" s="542">
        <v>455.7</v>
      </c>
      <c r="BH49" s="542">
        <v>455.7</v>
      </c>
      <c r="BI49" s="542">
        <f>455.7+61</f>
        <v>516.70000000000005</v>
      </c>
      <c r="BJ49" s="542">
        <f>455.7</f>
        <v>455.7</v>
      </c>
      <c r="BK49" s="519">
        <f t="shared" si="22"/>
        <v>6150.4099999999989</v>
      </c>
      <c r="BL49" s="542">
        <f>455.7</f>
        <v>455.7</v>
      </c>
      <c r="BM49" s="542">
        <f>455.7+74.4</f>
        <v>530.1</v>
      </c>
      <c r="BN49" s="542">
        <v>455.7</v>
      </c>
      <c r="BO49" s="542">
        <f>499.8+54.1</f>
        <v>553.9</v>
      </c>
      <c r="BP49" s="542">
        <f>499.8+54.1</f>
        <v>553.9</v>
      </c>
      <c r="BQ49" s="542">
        <f>499.8+54.1</f>
        <v>553.9</v>
      </c>
      <c r="BR49" s="542">
        <f>499.8+54.1</f>
        <v>553.9</v>
      </c>
      <c r="BS49" s="542">
        <f>553.9+24.32</f>
        <v>578.22</v>
      </c>
      <c r="BT49" s="542">
        <f>499.8+54.1</f>
        <v>553.9</v>
      </c>
      <c r="BU49" s="542">
        <f>499.8+54.1</f>
        <v>553.9</v>
      </c>
      <c r="BV49" s="542">
        <f>499.8+54.1+25.36</f>
        <v>579.26</v>
      </c>
      <c r="BW49" s="542">
        <f>499.8+54.1</f>
        <v>553.9</v>
      </c>
      <c r="BX49" s="519">
        <f t="shared" si="7"/>
        <v>6476.28</v>
      </c>
      <c r="BY49" s="544">
        <f>499.8+54.1</f>
        <v>553.9</v>
      </c>
      <c r="BZ49" s="544">
        <f>499.8+34.92</f>
        <v>534.72</v>
      </c>
      <c r="CA49" s="544">
        <f>499.8</f>
        <v>499.8</v>
      </c>
      <c r="CB49" s="544">
        <f>499.8</f>
        <v>499.8</v>
      </c>
      <c r="CC49" s="544">
        <f>499.8+104.38</f>
        <v>604.18000000000006</v>
      </c>
      <c r="CD49" s="544">
        <f>499.8</f>
        <v>499.8</v>
      </c>
      <c r="CE49" s="544">
        <f>499.8</f>
        <v>499.8</v>
      </c>
      <c r="CF49" s="544">
        <f>499.8+97.72</f>
        <v>597.52</v>
      </c>
      <c r="CG49" s="544">
        <f>499.8</f>
        <v>499.8</v>
      </c>
      <c r="CH49" s="544">
        <f>499.8</f>
        <v>499.8</v>
      </c>
      <c r="CI49" s="544">
        <f>499.8+121.44</f>
        <v>621.24</v>
      </c>
      <c r="CJ49" s="544">
        <f>499.8</f>
        <v>499.8</v>
      </c>
      <c r="CK49" s="519">
        <f t="shared" si="10"/>
        <v>6410.1600000000008</v>
      </c>
      <c r="CL49" s="615">
        <f>499.8</f>
        <v>499.8</v>
      </c>
      <c r="CM49" s="544">
        <f>499.8+46.68</f>
        <v>546.48</v>
      </c>
      <c r="CN49" s="544">
        <f>499.8</f>
        <v>499.8</v>
      </c>
      <c r="CO49" s="544">
        <f>499.8</f>
        <v>499.8</v>
      </c>
      <c r="CP49" s="544">
        <f>645.2+128.64</f>
        <v>773.84</v>
      </c>
      <c r="CQ49" s="544">
        <f>645.2</f>
        <v>645.20000000000005</v>
      </c>
      <c r="CR49" s="544">
        <v>730.9</v>
      </c>
      <c r="CS49" s="544">
        <f>635.7+129.58</f>
        <v>765.28000000000009</v>
      </c>
      <c r="CT49" s="544">
        <v>550</v>
      </c>
      <c r="CU49" s="544">
        <v>550</v>
      </c>
      <c r="CV49" s="544">
        <f>550+145.53</f>
        <v>695.53</v>
      </c>
      <c r="CW49" s="544">
        <v>550</v>
      </c>
      <c r="CX49" s="528">
        <f t="shared" si="11"/>
        <v>7306.6299999999992</v>
      </c>
      <c r="CY49" s="544">
        <v>550</v>
      </c>
      <c r="CZ49" s="544">
        <f>550+72.18</f>
        <v>622.18000000000006</v>
      </c>
      <c r="DA49" s="544">
        <v>550</v>
      </c>
      <c r="DB49" s="544">
        <v>550</v>
      </c>
      <c r="DC49" s="544">
        <f>550+150.5</f>
        <v>700.5</v>
      </c>
      <c r="DD49" s="544">
        <v>550</v>
      </c>
      <c r="DE49" s="544">
        <v>550</v>
      </c>
      <c r="DF49" s="544">
        <f>550+157.68</f>
        <v>707.68000000000006</v>
      </c>
      <c r="DG49" s="544">
        <v>550</v>
      </c>
      <c r="DH49" s="552">
        <v>550</v>
      </c>
      <c r="DI49" s="552">
        <v>650</v>
      </c>
      <c r="DJ49" s="552">
        <v>550</v>
      </c>
      <c r="DK49" s="528">
        <f t="shared" si="8"/>
        <v>7080.3600000000006</v>
      </c>
      <c r="DL49" s="552">
        <v>550</v>
      </c>
      <c r="DM49" s="552">
        <v>650</v>
      </c>
      <c r="DN49" s="552">
        <v>550</v>
      </c>
      <c r="DO49" s="552">
        <v>550</v>
      </c>
      <c r="DP49" s="552">
        <v>650</v>
      </c>
      <c r="DQ49" s="552">
        <v>550</v>
      </c>
      <c r="DR49" s="552">
        <v>550</v>
      </c>
      <c r="DS49" s="552">
        <v>650</v>
      </c>
      <c r="DT49" s="552">
        <v>550</v>
      </c>
      <c r="DU49" s="552">
        <v>550</v>
      </c>
      <c r="DV49" s="552">
        <v>650</v>
      </c>
      <c r="DW49" s="552">
        <v>550</v>
      </c>
      <c r="DX49" s="519">
        <f t="shared" si="9"/>
        <v>7000</v>
      </c>
    </row>
    <row r="50" spans="2:128" ht="15">
      <c r="B50" s="480" t="s">
        <v>677</v>
      </c>
      <c r="C50" s="538"/>
      <c r="D50" s="538"/>
      <c r="E50" s="538"/>
      <c r="F50" s="513"/>
      <c r="G50" s="513"/>
      <c r="H50" s="513"/>
      <c r="I50" s="513"/>
      <c r="J50" s="513"/>
      <c r="K50" s="513"/>
      <c r="L50" s="513"/>
      <c r="M50" s="512"/>
      <c r="N50" s="512"/>
      <c r="O50" s="514"/>
      <c r="P50" s="515"/>
      <c r="Q50" s="515"/>
      <c r="R50" s="515"/>
      <c r="S50" s="515"/>
      <c r="T50" s="515"/>
      <c r="U50" s="515"/>
      <c r="V50" s="515"/>
      <c r="W50" s="516"/>
      <c r="X50" s="515"/>
      <c r="Y50" s="515"/>
      <c r="Z50" s="515"/>
      <c r="AA50" s="515"/>
      <c r="AB50" s="529"/>
      <c r="AC50" s="518"/>
      <c r="AD50" s="515"/>
      <c r="AE50" s="532"/>
      <c r="AF50" s="532"/>
      <c r="AG50" s="515"/>
      <c r="AH50" s="515"/>
      <c r="AI50" s="515"/>
      <c r="AJ50" s="515"/>
      <c r="AK50" s="531"/>
      <c r="AL50" s="532"/>
      <c r="AM50" s="515"/>
      <c r="AN50" s="541"/>
      <c r="AO50" s="515"/>
      <c r="AP50" s="515"/>
      <c r="AQ50" s="515"/>
      <c r="AR50" s="515"/>
      <c r="AS50" s="515"/>
      <c r="AT50" s="515"/>
      <c r="AU50" s="515"/>
      <c r="AV50" s="515"/>
      <c r="AW50" s="515"/>
      <c r="AX50" s="519"/>
      <c r="AY50" s="542"/>
      <c r="AZ50" s="542"/>
      <c r="BA50" s="556"/>
      <c r="BB50" s="542"/>
      <c r="BC50" s="542"/>
      <c r="BD50" s="542"/>
      <c r="BE50" s="542"/>
      <c r="BF50" s="542"/>
      <c r="BG50" s="542"/>
      <c r="BH50" s="542"/>
      <c r="BI50" s="542"/>
      <c r="BJ50" s="542"/>
      <c r="BK50" s="519"/>
      <c r="BL50" s="542"/>
      <c r="BM50" s="542"/>
      <c r="BN50" s="542"/>
      <c r="BO50" s="542"/>
      <c r="BP50" s="542"/>
      <c r="BQ50" s="542"/>
      <c r="BR50" s="542"/>
      <c r="BS50" s="542"/>
      <c r="BT50" s="542"/>
      <c r="BU50" s="542"/>
      <c r="BV50" s="542"/>
      <c r="BW50" s="542"/>
      <c r="BX50" s="519"/>
      <c r="BY50" s="544"/>
      <c r="BZ50" s="544"/>
      <c r="CA50" s="544"/>
      <c r="CB50" s="544"/>
      <c r="CC50" s="544"/>
      <c r="CD50" s="544"/>
      <c r="CE50" s="544"/>
      <c r="CF50" s="544"/>
      <c r="CG50" s="544"/>
      <c r="CH50" s="544"/>
      <c r="CI50" s="544"/>
      <c r="CJ50" s="544"/>
      <c r="CK50" s="519"/>
      <c r="CL50" s="615"/>
      <c r="CM50" s="544"/>
      <c r="CN50" s="544"/>
      <c r="CO50" s="544"/>
      <c r="CP50" s="544"/>
      <c r="CQ50" s="544"/>
      <c r="CR50" s="544"/>
      <c r="CS50" s="544"/>
      <c r="CT50" s="544"/>
      <c r="CU50" s="544"/>
      <c r="CV50" s="544"/>
      <c r="CW50" s="544"/>
      <c r="CX50" s="528">
        <f t="shared" si="11"/>
        <v>0</v>
      </c>
      <c r="CY50" s="544"/>
      <c r="CZ50" s="544"/>
      <c r="DA50" s="544"/>
      <c r="DB50" s="544"/>
      <c r="DC50" s="544"/>
      <c r="DD50" s="544"/>
      <c r="DE50" s="544"/>
      <c r="DF50" s="544">
        <v>100</v>
      </c>
      <c r="DG50" s="544">
        <v>91.99</v>
      </c>
      <c r="DH50" s="552"/>
      <c r="DI50" s="552"/>
      <c r="DJ50" s="552"/>
      <c r="DK50" s="528">
        <f t="shared" si="8"/>
        <v>191.99</v>
      </c>
      <c r="DL50" s="552"/>
      <c r="DM50" s="552"/>
      <c r="DN50" s="552"/>
      <c r="DO50" s="552"/>
      <c r="DP50" s="552"/>
      <c r="DQ50" s="552"/>
      <c r="DR50" s="552"/>
      <c r="DS50" s="552"/>
      <c r="DT50" s="552"/>
      <c r="DU50" s="552"/>
      <c r="DV50" s="552"/>
      <c r="DW50" s="552"/>
      <c r="DX50" s="519">
        <f t="shared" si="9"/>
        <v>0</v>
      </c>
    </row>
    <row r="51" spans="2:128" ht="15">
      <c r="B51" s="480" t="s">
        <v>213</v>
      </c>
      <c r="C51" s="538"/>
      <c r="D51" s="538"/>
      <c r="E51" s="538"/>
      <c r="F51" s="513"/>
      <c r="G51" s="513"/>
      <c r="H51" s="513"/>
      <c r="I51" s="513"/>
      <c r="J51" s="513"/>
      <c r="K51" s="513"/>
      <c r="L51" s="513"/>
      <c r="M51" s="512"/>
      <c r="N51" s="512"/>
      <c r="O51" s="514"/>
      <c r="P51" s="515"/>
      <c r="Q51" s="515"/>
      <c r="R51" s="515"/>
      <c r="S51" s="515"/>
      <c r="T51" s="515"/>
      <c r="U51" s="515"/>
      <c r="V51" s="515"/>
      <c r="W51" s="516"/>
      <c r="X51" s="515"/>
      <c r="Y51" s="515"/>
      <c r="Z51" s="515"/>
      <c r="AA51" s="515"/>
      <c r="AB51" s="529">
        <f t="shared" si="5"/>
        <v>0</v>
      </c>
      <c r="AC51" s="518"/>
      <c r="AD51" s="515"/>
      <c r="AE51" s="532"/>
      <c r="AF51" s="532"/>
      <c r="AG51" s="515"/>
      <c r="AH51" s="515"/>
      <c r="AI51" s="515"/>
      <c r="AJ51" s="515"/>
      <c r="AK51" s="531">
        <f t="shared" si="14"/>
        <v>0</v>
      </c>
      <c r="AL51" s="532"/>
      <c r="AM51" s="515"/>
      <c r="AN51" s="541"/>
      <c r="AO51" s="515"/>
      <c r="AP51" s="515"/>
      <c r="AQ51" s="515"/>
      <c r="AR51" s="515"/>
      <c r="AS51" s="515"/>
      <c r="AT51" s="515"/>
      <c r="AU51" s="515"/>
      <c r="AV51" s="515"/>
      <c r="AW51" s="515"/>
      <c r="AX51" s="519">
        <f t="shared" si="23"/>
        <v>0</v>
      </c>
      <c r="AY51" s="542"/>
      <c r="AZ51" s="542"/>
      <c r="BA51" s="556"/>
      <c r="BB51" s="542"/>
      <c r="BC51" s="542"/>
      <c r="BD51" s="542"/>
      <c r="BE51" s="542"/>
      <c r="BF51" s="542">
        <v>237.46</v>
      </c>
      <c r="BG51" s="542">
        <v>352.1</v>
      </c>
      <c r="BH51" s="542">
        <f>192.84+326.17</f>
        <v>519.01</v>
      </c>
      <c r="BI51" s="522"/>
      <c r="BJ51" s="516"/>
      <c r="BK51" s="519">
        <f t="shared" si="22"/>
        <v>1108.5700000000002</v>
      </c>
      <c r="BL51" s="542">
        <v>528.54999999999995</v>
      </c>
      <c r="BM51" s="542">
        <f>58.42+66.16</f>
        <v>124.58</v>
      </c>
      <c r="BN51" s="542">
        <f>65.44+413.53</f>
        <v>478.96999999999997</v>
      </c>
      <c r="BO51" s="542">
        <v>59.13</v>
      </c>
      <c r="BP51" s="542">
        <v>70.2</v>
      </c>
      <c r="BQ51" s="542">
        <v>61.35</v>
      </c>
      <c r="BR51" s="542">
        <v>54.12</v>
      </c>
      <c r="BS51" s="522"/>
      <c r="BT51" s="542">
        <f>57.37+57.6</f>
        <v>114.97</v>
      </c>
      <c r="BU51" s="542">
        <f>182.97+64.09</f>
        <v>247.06</v>
      </c>
      <c r="BV51" s="542">
        <f>231.42</f>
        <v>231.42</v>
      </c>
      <c r="BW51" s="542">
        <f>35.43+186.98</f>
        <v>222.41</v>
      </c>
      <c r="BX51" s="519">
        <f t="shared" si="7"/>
        <v>2192.7599999999998</v>
      </c>
      <c r="BY51" s="544">
        <f>86.71</f>
        <v>86.71</v>
      </c>
      <c r="BZ51" s="544">
        <f>33.51+132.46</f>
        <v>165.97</v>
      </c>
      <c r="CA51" s="544">
        <v>126.42</v>
      </c>
      <c r="CB51" s="544">
        <f>51.26+93.94</f>
        <v>145.19999999999999</v>
      </c>
      <c r="CC51" s="544">
        <v>92.69</v>
      </c>
      <c r="CD51" s="544">
        <f>51.43+105.79</f>
        <v>157.22</v>
      </c>
      <c r="CE51" s="544">
        <f>76.1</f>
        <v>76.099999999999994</v>
      </c>
      <c r="CF51" s="544">
        <f>470.29+69.25</f>
        <v>539.54</v>
      </c>
      <c r="CG51" s="544">
        <v>60.75</v>
      </c>
      <c r="CH51" s="544">
        <f>73.28+84.87</f>
        <v>158.15</v>
      </c>
      <c r="CI51" s="544">
        <v>99.39</v>
      </c>
      <c r="CJ51" s="544">
        <f>29.51+170.77</f>
        <v>200.28</v>
      </c>
      <c r="CK51" s="519">
        <f t="shared" si="10"/>
        <v>1908.42</v>
      </c>
      <c r="CL51" s="615">
        <v>93.53</v>
      </c>
      <c r="CM51" s="544">
        <f>31.88+105.9</f>
        <v>137.78</v>
      </c>
      <c r="CN51" s="544">
        <v>95.13</v>
      </c>
      <c r="CO51" s="544">
        <f>33.53+101.66</f>
        <v>135.19</v>
      </c>
      <c r="CP51" s="544">
        <v>95.34</v>
      </c>
      <c r="CQ51" s="544">
        <f>269.23+113.1</f>
        <v>382.33000000000004</v>
      </c>
      <c r="CR51" s="544">
        <v>100.74</v>
      </c>
      <c r="CS51" s="544">
        <f>136.5+89.09</f>
        <v>225.59</v>
      </c>
      <c r="CT51" s="533"/>
      <c r="CU51" s="544">
        <f>66.09+35.39+94.97</f>
        <v>196.45</v>
      </c>
      <c r="CV51" s="544">
        <v>200.18</v>
      </c>
      <c r="CW51" s="544">
        <f>27.03+199.3</f>
        <v>226.33</v>
      </c>
      <c r="CX51" s="528">
        <f t="shared" si="11"/>
        <v>1888.59</v>
      </c>
      <c r="CY51" s="544">
        <v>76.87</v>
      </c>
      <c r="CZ51" s="544">
        <f>23.9+139.3</f>
        <v>163.20000000000002</v>
      </c>
      <c r="DA51" s="544">
        <v>101.18</v>
      </c>
      <c r="DB51" s="544">
        <f>43.77+95.02</f>
        <v>138.79</v>
      </c>
      <c r="DC51" s="544">
        <v>101.47</v>
      </c>
      <c r="DD51" s="544">
        <f>268.27+107.04</f>
        <v>375.31</v>
      </c>
      <c r="DE51" s="544">
        <v>77.819999999999993</v>
      </c>
      <c r="DF51" s="544">
        <f>118.55+92.44</f>
        <v>210.99</v>
      </c>
      <c r="DG51" s="544">
        <v>76.67</v>
      </c>
      <c r="DH51" s="552">
        <v>200</v>
      </c>
      <c r="DI51" s="552">
        <v>200</v>
      </c>
      <c r="DJ51" s="552">
        <v>200</v>
      </c>
      <c r="DK51" s="528">
        <f t="shared" si="8"/>
        <v>1922.3</v>
      </c>
      <c r="DL51" s="552">
        <v>200</v>
      </c>
      <c r="DM51" s="552">
        <v>200</v>
      </c>
      <c r="DN51" s="552">
        <v>200</v>
      </c>
      <c r="DO51" s="552">
        <v>200</v>
      </c>
      <c r="DP51" s="552">
        <v>200</v>
      </c>
      <c r="DQ51" s="552">
        <v>200</v>
      </c>
      <c r="DR51" s="552">
        <v>200</v>
      </c>
      <c r="DS51" s="552">
        <v>200</v>
      </c>
      <c r="DT51" s="552">
        <v>200</v>
      </c>
      <c r="DU51" s="552">
        <v>200</v>
      </c>
      <c r="DV51" s="552">
        <v>200</v>
      </c>
      <c r="DW51" s="552">
        <v>200</v>
      </c>
      <c r="DX51" s="519">
        <f t="shared" si="9"/>
        <v>2400</v>
      </c>
    </row>
    <row r="52" spans="2:128" ht="15" hidden="1">
      <c r="B52" s="480" t="s">
        <v>341</v>
      </c>
      <c r="C52" s="538"/>
      <c r="D52" s="538"/>
      <c r="E52" s="538"/>
      <c r="F52" s="513"/>
      <c r="G52" s="513"/>
      <c r="H52" s="513"/>
      <c r="I52" s="513"/>
      <c r="J52" s="513"/>
      <c r="K52" s="513"/>
      <c r="L52" s="513"/>
      <c r="M52" s="512"/>
      <c r="N52" s="512"/>
      <c r="O52" s="514"/>
      <c r="P52" s="515"/>
      <c r="Q52" s="515"/>
      <c r="R52" s="515"/>
      <c r="S52" s="515"/>
      <c r="T52" s="515"/>
      <c r="U52" s="515"/>
      <c r="V52" s="515"/>
      <c r="W52" s="516"/>
      <c r="X52" s="515"/>
      <c r="Y52" s="515"/>
      <c r="Z52" s="515"/>
      <c r="AA52" s="515"/>
      <c r="AB52" s="529">
        <f t="shared" si="5"/>
        <v>0</v>
      </c>
      <c r="AC52" s="518"/>
      <c r="AD52" s="515"/>
      <c r="AE52" s="532"/>
      <c r="AF52" s="532"/>
      <c r="AG52" s="515"/>
      <c r="AH52" s="515"/>
      <c r="AI52" s="515"/>
      <c r="AJ52" s="515"/>
      <c r="AK52" s="531">
        <f t="shared" si="14"/>
        <v>0</v>
      </c>
      <c r="AL52" s="532"/>
      <c r="AM52" s="515"/>
      <c r="AN52" s="541"/>
      <c r="AO52" s="515"/>
      <c r="AP52" s="515"/>
      <c r="AQ52" s="515"/>
      <c r="AR52" s="515"/>
      <c r="AS52" s="515"/>
      <c r="AT52" s="515"/>
      <c r="AU52" s="515"/>
      <c r="AV52" s="515"/>
      <c r="AW52" s="515"/>
      <c r="AX52" s="519">
        <f t="shared" si="23"/>
        <v>0</v>
      </c>
      <c r="AY52" s="542"/>
      <c r="AZ52" s="542"/>
      <c r="BA52" s="556"/>
      <c r="BB52" s="542"/>
      <c r="BC52" s="542"/>
      <c r="BD52" s="542"/>
      <c r="BE52" s="542"/>
      <c r="BF52" s="542"/>
      <c r="BG52" s="542"/>
      <c r="BH52" s="542"/>
      <c r="BI52" s="542">
        <f>3330+2528.9+319.44</f>
        <v>6178.3399999999992</v>
      </c>
      <c r="BJ52" s="542">
        <f>100+39.5</f>
        <v>139.5</v>
      </c>
      <c r="BK52" s="519">
        <f t="shared" si="22"/>
        <v>6317.8399999999992</v>
      </c>
      <c r="BL52" s="542">
        <f>2300.79</f>
        <v>2300.79</v>
      </c>
      <c r="BM52" s="542">
        <f>2300.79</f>
        <v>2300.79</v>
      </c>
      <c r="BN52" s="542">
        <f>2137.23-(0.79-0.49)-(2300.79-2127.38)</f>
        <v>1963.52</v>
      </c>
      <c r="BO52" s="542">
        <v>2136.19</v>
      </c>
      <c r="BP52" s="542">
        <v>2133.67</v>
      </c>
      <c r="BQ52" s="542">
        <v>2133.64</v>
      </c>
      <c r="BR52" s="542">
        <v>2126.77</v>
      </c>
      <c r="BS52" s="542">
        <v>2141.89</v>
      </c>
      <c r="BT52" s="542">
        <f>2270*1.21+2131.66</f>
        <v>4878.3599999999997</v>
      </c>
      <c r="BU52" s="522"/>
      <c r="BV52" s="522"/>
      <c r="BW52" s="522"/>
      <c r="BX52" s="519">
        <f t="shared" si="7"/>
        <v>22115.620000000003</v>
      </c>
      <c r="BY52" s="525"/>
      <c r="BZ52" s="525"/>
      <c r="CA52" s="525"/>
      <c r="CB52" s="525"/>
      <c r="CC52" s="525"/>
      <c r="CD52" s="525"/>
      <c r="CE52" s="525"/>
      <c r="CF52" s="525"/>
      <c r="CG52" s="525"/>
      <c r="CH52" s="525"/>
      <c r="CI52" s="527"/>
      <c r="CJ52" s="525"/>
      <c r="CK52" s="519">
        <f t="shared" si="10"/>
        <v>0</v>
      </c>
      <c r="CL52" s="527"/>
      <c r="CM52" s="525"/>
      <c r="CN52" s="525"/>
      <c r="CO52" s="525"/>
      <c r="CP52" s="525"/>
      <c r="CQ52" s="525"/>
      <c r="CR52" s="527"/>
      <c r="CS52" s="525"/>
      <c r="CT52" s="525"/>
      <c r="CU52" s="525"/>
      <c r="CV52" s="527"/>
      <c r="CW52" s="525"/>
      <c r="CX52" s="528">
        <f t="shared" si="11"/>
        <v>0</v>
      </c>
      <c r="CY52" s="560"/>
      <c r="CZ52" s="541"/>
      <c r="DA52" s="541"/>
      <c r="DD52" s="541"/>
      <c r="DE52" s="541"/>
      <c r="DF52" s="541"/>
      <c r="DK52" s="528">
        <f t="shared" si="8"/>
        <v>0</v>
      </c>
      <c r="DX52" s="519">
        <f t="shared" si="9"/>
        <v>0</v>
      </c>
    </row>
    <row r="53" spans="2:128" ht="15">
      <c r="B53" s="480" t="s">
        <v>682</v>
      </c>
      <c r="C53" s="538"/>
      <c r="D53" s="538"/>
      <c r="E53" s="538"/>
      <c r="F53" s="513"/>
      <c r="G53" s="513"/>
      <c r="H53" s="513"/>
      <c r="I53" s="513"/>
      <c r="J53" s="513"/>
      <c r="K53" s="513"/>
      <c r="L53" s="513"/>
      <c r="M53" s="512"/>
      <c r="N53" s="512"/>
      <c r="O53" s="514"/>
      <c r="P53" s="515"/>
      <c r="Q53" s="515"/>
      <c r="R53" s="515"/>
      <c r="S53" s="515"/>
      <c r="T53" s="515"/>
      <c r="U53" s="515"/>
      <c r="V53" s="515"/>
      <c r="W53" s="516"/>
      <c r="X53" s="515"/>
      <c r="Y53" s="515"/>
      <c r="Z53" s="515"/>
      <c r="AA53" s="515"/>
      <c r="AB53" s="529"/>
      <c r="AC53" s="518"/>
      <c r="AD53" s="515"/>
      <c r="AE53" s="532"/>
      <c r="AF53" s="532"/>
      <c r="AG53" s="515"/>
      <c r="AH53" s="515"/>
      <c r="AI53" s="515"/>
      <c r="AJ53" s="515"/>
      <c r="AK53" s="531"/>
      <c r="AL53" s="532"/>
      <c r="AM53" s="515"/>
      <c r="AN53" s="541"/>
      <c r="AO53" s="515"/>
      <c r="AP53" s="515"/>
      <c r="AQ53" s="515"/>
      <c r="AR53" s="515"/>
      <c r="AS53" s="515"/>
      <c r="AT53" s="515"/>
      <c r="AU53" s="515"/>
      <c r="AV53" s="515"/>
      <c r="AW53" s="515"/>
      <c r="AX53" s="519"/>
      <c r="AY53" s="542"/>
      <c r="AZ53" s="542"/>
      <c r="BA53" s="556"/>
      <c r="BB53" s="542"/>
      <c r="BC53" s="542"/>
      <c r="BD53" s="542"/>
      <c r="BE53" s="542"/>
      <c r="BF53" s="542"/>
      <c r="BG53" s="542"/>
      <c r="BH53" s="542"/>
      <c r="BI53" s="542"/>
      <c r="BJ53" s="542"/>
      <c r="BK53" s="519"/>
      <c r="BL53" s="542"/>
      <c r="BM53" s="542"/>
      <c r="BN53" s="542"/>
      <c r="BO53" s="542"/>
      <c r="BP53" s="542"/>
      <c r="BQ53" s="542"/>
      <c r="BR53" s="542"/>
      <c r="BS53" s="542"/>
      <c r="BT53" s="542"/>
      <c r="BU53" s="522"/>
      <c r="BV53" s="522"/>
      <c r="BW53" s="522"/>
      <c r="BX53" s="519"/>
      <c r="BY53" s="525"/>
      <c r="BZ53" s="525"/>
      <c r="CA53" s="525"/>
      <c r="CB53" s="525"/>
      <c r="CC53" s="525"/>
      <c r="CD53" s="525"/>
      <c r="CE53" s="525"/>
      <c r="CF53" s="525"/>
      <c r="CG53" s="525"/>
      <c r="CH53" s="525"/>
      <c r="CI53" s="527"/>
      <c r="CJ53" s="525"/>
      <c r="CK53" s="519"/>
      <c r="CL53" s="527"/>
      <c r="CM53" s="525"/>
      <c r="CN53" s="525"/>
      <c r="CO53" s="525"/>
      <c r="CP53" s="525"/>
      <c r="CQ53" s="525"/>
      <c r="CR53" s="527"/>
      <c r="CS53" s="525"/>
      <c r="CT53" s="525"/>
      <c r="CU53" s="525"/>
      <c r="CV53" s="527"/>
      <c r="CW53" s="525"/>
      <c r="CX53" s="528"/>
      <c r="CY53" s="560"/>
      <c r="CZ53" s="541"/>
      <c r="DA53" s="541"/>
      <c r="DB53" s="541"/>
      <c r="DC53" s="541"/>
      <c r="DD53" s="541"/>
      <c r="DE53" s="541"/>
      <c r="DF53" s="541"/>
      <c r="DG53" s="968">
        <v>230.28</v>
      </c>
      <c r="DK53" s="528"/>
      <c r="DX53" s="519"/>
    </row>
    <row r="54" spans="2:128" ht="15">
      <c r="B54" s="480" t="s">
        <v>214</v>
      </c>
      <c r="C54" s="538"/>
      <c r="D54" s="538"/>
      <c r="E54" s="538">
        <f>84.7+791.46</f>
        <v>876.16000000000008</v>
      </c>
      <c r="F54" s="513"/>
      <c r="G54" s="513"/>
      <c r="H54" s="513"/>
      <c r="I54" s="513"/>
      <c r="J54" s="513"/>
      <c r="K54" s="513"/>
      <c r="L54" s="513"/>
      <c r="M54" s="512"/>
      <c r="N54" s="512"/>
      <c r="O54" s="514">
        <f t="shared" si="4"/>
        <v>876.16000000000008</v>
      </c>
      <c r="P54" s="515"/>
      <c r="Q54" s="515"/>
      <c r="R54" s="539">
        <v>5580</v>
      </c>
      <c r="S54" s="539">
        <v>2332.52</v>
      </c>
      <c r="T54" s="539">
        <f>460+1864.61</f>
        <v>2324.6099999999997</v>
      </c>
      <c r="U54" s="515"/>
      <c r="V54" s="515"/>
      <c r="W54" s="539">
        <f>370.46+480</f>
        <v>850.46</v>
      </c>
      <c r="X54" s="515"/>
      <c r="Y54" s="515"/>
      <c r="Z54" s="540">
        <f>63.85</f>
        <v>63.85</v>
      </c>
      <c r="AA54" s="532">
        <v>1705.55</v>
      </c>
      <c r="AB54" s="529">
        <f t="shared" si="5"/>
        <v>12856.99</v>
      </c>
      <c r="AC54" s="547">
        <f>441.1+60.5-1.01</f>
        <v>500.59000000000003</v>
      </c>
      <c r="AD54" s="569">
        <f>120+150+415.44</f>
        <v>685.44</v>
      </c>
      <c r="AE54" s="532"/>
      <c r="AF54" s="532"/>
      <c r="AG54" s="532">
        <f>240</f>
        <v>240</v>
      </c>
      <c r="AH54" s="542">
        <v>64</v>
      </c>
      <c r="AI54" s="532">
        <v>-0.15</v>
      </c>
      <c r="AJ54" s="569">
        <v>236.11</v>
      </c>
      <c r="AK54" s="531">
        <f t="shared" si="14"/>
        <v>1725.9900000000002</v>
      </c>
      <c r="AL54" s="532">
        <f>(385+315*0.85)*1.21+320+0.04</f>
        <v>1109.8674999999998</v>
      </c>
      <c r="AM54" s="532">
        <v>0.33</v>
      </c>
      <c r="AN54" s="541"/>
      <c r="AO54" s="541"/>
      <c r="AP54" s="532">
        <f>38.99+238.98+39.95+106.48+(238.98+459.57+4.88)-1.72</f>
        <v>1126.1099999999999</v>
      </c>
      <c r="AQ54" s="540">
        <f>70.49+((26.18+9.99+11.3+26.85+181.63+53.25+219.43+251.85)+374.47-64)+4.22+(988.5+120)</f>
        <v>2274.16</v>
      </c>
      <c r="AR54" s="542">
        <f>70.49+(7.9+4.22+3.96+41.99+10.08)+187.68+0.01</f>
        <v>326.33</v>
      </c>
      <c r="AS54" s="542">
        <f>70.49+10.26+13.75+294.4+81.1+38.34+0.01</f>
        <v>508.35</v>
      </c>
      <c r="AT54" s="542">
        <f>70.49+128+61.69+525.29-0.01</f>
        <v>785.46</v>
      </c>
      <c r="AU54" s="532">
        <f>154.76+3.94+70.49+387.27+488.4+0.17</f>
        <v>1105.0300000000002</v>
      </c>
      <c r="AV54" s="558">
        <f>275+6500+1.21+50818.8+7625.51+666.09-0.01</f>
        <v>65886.600000000006</v>
      </c>
      <c r="AW54" s="532">
        <f>1365+620.3+0.01</f>
        <v>1985.31</v>
      </c>
      <c r="AX54" s="519">
        <f t="shared" ref="AX54:AX55" si="24">SUM(AL54:AW54)</f>
        <v>75107.547500000001</v>
      </c>
      <c r="AY54" s="547">
        <f>830.94</f>
        <v>830.94</v>
      </c>
      <c r="AZ54" s="532">
        <f>(181.58+155.36)+0.57</f>
        <v>337.51000000000005</v>
      </c>
      <c r="BA54" s="558">
        <f>(31.39+438.67)+27.37-425.49-0.01</f>
        <v>71.929999999999993</v>
      </c>
      <c r="BB54" s="532">
        <f>(-438.67-155.36-203.29)+197.18+473.48+31.55-0.56</f>
        <v>-95.66999999999986</v>
      </c>
      <c r="BC54" s="549">
        <f>74.54+439.11-0.03</f>
        <v>513.62</v>
      </c>
      <c r="BD54" s="549">
        <f>-197.18+499.83</f>
        <v>302.64999999999998</v>
      </c>
      <c r="BE54" s="549">
        <f>4547.58+0.19</f>
        <v>4547.7699999999995</v>
      </c>
      <c r="BF54" s="549">
        <f>3133.29+0.18</f>
        <v>3133.47</v>
      </c>
      <c r="BG54" s="549">
        <f>357.63*1.21+350*1.21+7885.56+0.22</f>
        <v>8742.0123000000003</v>
      </c>
      <c r="BH54" s="550">
        <f>87*1.21+50*1.21+7145.11+0.26+551.71</f>
        <v>7862.8499999999995</v>
      </c>
      <c r="BI54" s="550">
        <f>3662.95+24.2+0.33</f>
        <v>3687.4799999999996</v>
      </c>
      <c r="BJ54" s="577">
        <f>7.94+(105.3+1317.38)-0.01</f>
        <v>1430.6100000000001</v>
      </c>
      <c r="BK54" s="519">
        <f t="shared" si="22"/>
        <v>31365.172299999998</v>
      </c>
      <c r="BL54" s="549">
        <f>502.33-0.01</f>
        <v>502.32</v>
      </c>
      <c r="BM54" s="549">
        <f>1632.37-0.74</f>
        <v>1631.6299999999999</v>
      </c>
      <c r="BN54" s="549">
        <f>136.17+2050.01-0.22</f>
        <v>2185.9600000000005</v>
      </c>
      <c r="BO54" s="549">
        <f>16.14+4779.67+3.57</f>
        <v>4799.38</v>
      </c>
      <c r="BP54" s="549">
        <f>118.1+(551.25-240)+2176.28</f>
        <v>2605.63</v>
      </c>
      <c r="BQ54" s="541"/>
      <c r="BR54" s="532">
        <v>-1.07</v>
      </c>
      <c r="BS54" s="532">
        <v>1.54</v>
      </c>
      <c r="BT54" s="515"/>
      <c r="BU54" s="542">
        <v>0.42</v>
      </c>
      <c r="BV54" s="532">
        <v>0.01</v>
      </c>
      <c r="BW54" s="573">
        <v>0.01</v>
      </c>
      <c r="BX54" s="519">
        <f t="shared" si="7"/>
        <v>11725.830000000004</v>
      </c>
      <c r="BY54" s="534">
        <v>-0.03</v>
      </c>
      <c r="BZ54" s="544">
        <v>-0.48</v>
      </c>
      <c r="CA54" s="544">
        <v>-0.42</v>
      </c>
      <c r="CB54" s="525"/>
      <c r="CC54" s="534">
        <v>-0.01</v>
      </c>
      <c r="CD54" s="534">
        <v>-0.01</v>
      </c>
      <c r="CE54" s="534">
        <v>0.03</v>
      </c>
      <c r="CF54" s="544">
        <v>0.34</v>
      </c>
      <c r="CG54" s="534">
        <v>173.32</v>
      </c>
      <c r="CH54" s="534">
        <v>137.43</v>
      </c>
      <c r="CI54" s="534">
        <v>513.30999999999995</v>
      </c>
      <c r="CJ54" s="533"/>
      <c r="CK54" s="519">
        <f t="shared" si="10"/>
        <v>823.4799999999999</v>
      </c>
      <c r="CL54" s="805">
        <v>1</v>
      </c>
      <c r="CM54" s="560">
        <v>1</v>
      </c>
      <c r="CN54" s="534">
        <v>1</v>
      </c>
      <c r="CO54" s="544">
        <v>-1</v>
      </c>
      <c r="CP54" s="534">
        <v>1</v>
      </c>
      <c r="CQ54" s="534">
        <v>1</v>
      </c>
      <c r="CR54" s="534">
        <v>-1</v>
      </c>
      <c r="CS54" s="525"/>
      <c r="CT54" s="541"/>
      <c r="CU54" s="534">
        <f>186.4+250.4</f>
        <v>436.8</v>
      </c>
      <c r="CV54" s="534">
        <f>12.1+12.1</f>
        <v>24.2</v>
      </c>
      <c r="CW54" s="534">
        <f>12.1</f>
        <v>12.1</v>
      </c>
      <c r="CX54" s="528">
        <f>SUM(CO54:CW54)</f>
        <v>473.1</v>
      </c>
      <c r="CY54" s="534">
        <f>12.1</f>
        <v>12.1</v>
      </c>
      <c r="CZ54" s="560">
        <f>12.1</f>
        <v>12.1</v>
      </c>
      <c r="DA54" s="560">
        <f>12.1</f>
        <v>12.1</v>
      </c>
      <c r="DB54" s="560">
        <f>12.1</f>
        <v>12.1</v>
      </c>
      <c r="DC54" s="534">
        <f>12.1</f>
        <v>12.1</v>
      </c>
      <c r="DD54" s="806">
        <f>266.2-12.1-12.1+12.1</f>
        <v>254.1</v>
      </c>
      <c r="DE54" s="541"/>
      <c r="DF54" s="541"/>
      <c r="DG54" s="541">
        <v>-7</v>
      </c>
      <c r="DK54" s="528">
        <f t="shared" si="8"/>
        <v>307.60000000000002</v>
      </c>
      <c r="DX54" s="519">
        <f t="shared" si="9"/>
        <v>0</v>
      </c>
    </row>
    <row r="55" spans="2:128" ht="15">
      <c r="B55" s="480" t="s">
        <v>215</v>
      </c>
      <c r="C55" s="538"/>
      <c r="D55" s="538"/>
      <c r="E55" s="538"/>
      <c r="F55" s="513"/>
      <c r="G55" s="513"/>
      <c r="H55" s="513"/>
      <c r="I55" s="513"/>
      <c r="J55" s="513"/>
      <c r="K55" s="513"/>
      <c r="L55" s="513"/>
      <c r="M55" s="512"/>
      <c r="N55" s="512"/>
      <c r="O55" s="514"/>
      <c r="P55" s="515"/>
      <c r="Q55" s="515"/>
      <c r="R55" s="539"/>
      <c r="S55" s="539"/>
      <c r="T55" s="539"/>
      <c r="U55" s="515"/>
      <c r="V55" s="515"/>
      <c r="W55" s="539"/>
      <c r="X55" s="515"/>
      <c r="Y55" s="515"/>
      <c r="Z55" s="540"/>
      <c r="AA55" s="532"/>
      <c r="AB55" s="529">
        <f t="shared" si="5"/>
        <v>0</v>
      </c>
      <c r="AC55" s="547"/>
      <c r="AD55" s="532"/>
      <c r="AE55" s="532"/>
      <c r="AF55" s="532"/>
      <c r="AG55" s="532"/>
      <c r="AH55" s="542"/>
      <c r="AI55" s="515"/>
      <c r="AJ55" s="515"/>
      <c r="AK55" s="531">
        <f t="shared" si="14"/>
        <v>0</v>
      </c>
      <c r="AL55" s="578">
        <v>4112.04</v>
      </c>
      <c r="AM55" s="540"/>
      <c r="AN55" s="515"/>
      <c r="AO55" s="515"/>
      <c r="AP55" s="515"/>
      <c r="AQ55" s="515"/>
      <c r="AR55" s="515"/>
      <c r="AS55" s="515">
        <v>-0.01</v>
      </c>
      <c r="AT55" s="541"/>
      <c r="AU55" s="515">
        <f>200000*0</f>
        <v>0</v>
      </c>
      <c r="AV55" s="515"/>
      <c r="AW55" s="515"/>
      <c r="AX55" s="519">
        <f t="shared" si="24"/>
        <v>4112.03</v>
      </c>
      <c r="AY55" s="518"/>
      <c r="AZ55" s="515"/>
      <c r="BA55" s="576"/>
      <c r="BB55" s="515"/>
      <c r="BC55" s="515"/>
      <c r="BD55" s="515"/>
      <c r="BE55" s="515"/>
      <c r="BF55" s="515"/>
      <c r="BG55" s="515"/>
      <c r="BH55" s="516"/>
      <c r="BI55" s="515"/>
      <c r="BJ55" s="520"/>
      <c r="BK55" s="519">
        <f t="shared" si="22"/>
        <v>0</v>
      </c>
      <c r="BL55" s="518"/>
      <c r="BM55" s="515"/>
      <c r="BN55" s="515"/>
      <c r="BO55" s="515"/>
      <c r="BP55" s="515"/>
      <c r="BQ55" s="515"/>
      <c r="BR55" s="515"/>
      <c r="BS55" s="515"/>
      <c r="BT55" s="515"/>
      <c r="BU55" s="515"/>
      <c r="BV55" s="515"/>
      <c r="BW55" s="520"/>
      <c r="BX55" s="519">
        <f t="shared" si="7"/>
        <v>0</v>
      </c>
      <c r="BY55" s="525"/>
      <c r="BZ55" s="525"/>
      <c r="CA55" s="525"/>
      <c r="CB55" s="525"/>
      <c r="CC55" s="525"/>
      <c r="CD55" s="525"/>
      <c r="CE55" s="525"/>
      <c r="CF55" s="525"/>
      <c r="CG55" s="525"/>
      <c r="CH55" s="525"/>
      <c r="CI55" s="525"/>
      <c r="CJ55" s="525"/>
      <c r="CK55" s="519">
        <f t="shared" si="10"/>
        <v>0</v>
      </c>
      <c r="CL55" s="526"/>
      <c r="CM55" s="541"/>
      <c r="CN55" s="543"/>
      <c r="CO55" s="541"/>
      <c r="CP55" s="541"/>
      <c r="CQ55" s="541"/>
      <c r="CR55" s="541"/>
      <c r="CS55" s="541"/>
      <c r="CT55" s="541"/>
      <c r="CU55" s="534">
        <f>630.09</f>
        <v>630.09</v>
      </c>
      <c r="CV55" s="541"/>
      <c r="CW55" s="525"/>
      <c r="CX55" s="528">
        <f>SUM(CL55:CW55)</f>
        <v>630.09</v>
      </c>
      <c r="CY55" s="560"/>
      <c r="CZ55" s="541"/>
      <c r="DA55" s="541"/>
      <c r="DB55" s="541"/>
      <c r="DC55" s="541"/>
      <c r="DD55" s="541"/>
      <c r="DE55" s="541"/>
      <c r="DF55" s="541"/>
      <c r="DG55" s="541"/>
      <c r="DJ55" s="527">
        <f>117.38+132.35</f>
        <v>249.73</v>
      </c>
      <c r="DK55" s="528">
        <f>SUM(CZ55:DJ55)</f>
        <v>249.73</v>
      </c>
      <c r="DX55" s="519">
        <f t="shared" si="9"/>
        <v>0</v>
      </c>
    </row>
    <row r="56" spans="2:128" ht="15">
      <c r="C56" s="538"/>
      <c r="D56" s="538"/>
      <c r="E56" s="538"/>
      <c r="F56" s="579"/>
      <c r="G56" s="579"/>
      <c r="H56" s="579"/>
      <c r="I56" s="579"/>
      <c r="J56" s="579"/>
      <c r="K56" s="579"/>
      <c r="L56" s="579"/>
      <c r="M56" s="538"/>
      <c r="N56" s="538"/>
      <c r="O56" s="580">
        <f t="shared" si="4"/>
        <v>0</v>
      </c>
      <c r="P56" s="539"/>
      <c r="Q56" s="539"/>
      <c r="R56" s="539"/>
      <c r="S56" s="539"/>
      <c r="T56" s="539"/>
      <c r="U56" s="539"/>
      <c r="V56" s="539"/>
      <c r="W56" s="539"/>
      <c r="X56" s="540"/>
      <c r="Y56" s="540"/>
      <c r="Z56" s="540"/>
      <c r="AA56" s="532"/>
      <c r="AB56" s="581"/>
      <c r="AC56" s="532"/>
      <c r="AD56" s="515"/>
      <c r="AE56" s="515"/>
      <c r="AF56" s="532"/>
      <c r="AG56" s="532"/>
      <c r="AH56" s="540"/>
      <c r="AI56" s="539"/>
      <c r="AJ56" s="539"/>
      <c r="AK56" s="581"/>
      <c r="AL56" s="515"/>
      <c r="AM56" s="515"/>
      <c r="AN56" s="515"/>
      <c r="AO56" s="539"/>
      <c r="AP56" s="515"/>
      <c r="AQ56" s="515"/>
      <c r="AR56" s="515"/>
      <c r="AS56" s="515"/>
      <c r="AT56" s="515"/>
      <c r="AU56" s="515"/>
      <c r="AV56" s="515"/>
      <c r="AW56" s="515"/>
      <c r="AX56" s="582"/>
      <c r="AY56" s="515"/>
      <c r="AZ56" s="515"/>
      <c r="BA56" s="576"/>
      <c r="BB56" s="515"/>
      <c r="BC56" s="515"/>
      <c r="BD56" s="515"/>
      <c r="BE56" s="515"/>
      <c r="BF56" s="515"/>
      <c r="BG56" s="515"/>
      <c r="BH56" s="515"/>
      <c r="BI56" s="515"/>
      <c r="BJ56" s="515"/>
      <c r="BK56" s="582"/>
      <c r="BL56" s="515"/>
      <c r="BM56" s="515"/>
      <c r="BN56" s="515"/>
      <c r="BO56" s="515"/>
      <c r="BP56" s="515"/>
      <c r="BQ56" s="515"/>
      <c r="BR56" s="515"/>
      <c r="BS56" s="515"/>
      <c r="BT56" s="515"/>
      <c r="BU56" s="515"/>
      <c r="BV56" s="515"/>
      <c r="BW56" s="515"/>
      <c r="BX56" s="582">
        <f t="shared" si="7"/>
        <v>0</v>
      </c>
      <c r="BY56" s="525"/>
      <c r="BZ56" s="525"/>
      <c r="CA56" s="525"/>
      <c r="CB56" s="525"/>
      <c r="CC56" s="525"/>
      <c r="CD56" s="525"/>
      <c r="CE56" s="527"/>
      <c r="CF56" s="527"/>
      <c r="CG56" s="527"/>
      <c r="CH56" s="527"/>
      <c r="CI56" s="527"/>
      <c r="CJ56" s="527"/>
      <c r="CK56" s="519">
        <f t="shared" si="10"/>
        <v>0</v>
      </c>
      <c r="CL56" s="527"/>
      <c r="CM56" s="527"/>
      <c r="CN56" s="527"/>
      <c r="CO56" s="527"/>
      <c r="CP56" s="527"/>
      <c r="CQ56" s="527"/>
      <c r="CR56" s="527"/>
      <c r="CS56" s="527"/>
      <c r="CT56" s="527"/>
      <c r="CU56" s="527"/>
      <c r="CV56" s="527"/>
      <c r="CW56" s="527"/>
      <c r="CX56" s="527"/>
      <c r="DK56" s="582"/>
      <c r="DX56" s="582"/>
    </row>
    <row r="57" spans="2:128">
      <c r="AA57" s="480"/>
      <c r="BY57" s="527"/>
      <c r="BZ57" s="527"/>
      <c r="CA57" s="527"/>
      <c r="CB57" s="527"/>
      <c r="CC57" s="527"/>
      <c r="CD57" s="527"/>
      <c r="CE57" s="527"/>
      <c r="CF57" s="527"/>
      <c r="CG57" s="527"/>
      <c r="CH57" s="527"/>
      <c r="CI57" s="527"/>
      <c r="CJ57" s="527"/>
    </row>
    <row r="58" spans="2:128">
      <c r="AA58" s="480"/>
    </row>
    <row r="59" spans="2:128">
      <c r="AA59" s="480"/>
    </row>
    <row r="60" spans="2:128">
      <c r="AA60" s="480"/>
    </row>
    <row r="61" spans="2:128">
      <c r="AA61" s="480"/>
    </row>
    <row r="62" spans="2:128">
      <c r="AA62" s="480"/>
    </row>
    <row r="63" spans="2:128">
      <c r="AA63" s="480"/>
    </row>
    <row r="64" spans="2:128">
      <c r="AA64" s="480"/>
    </row>
    <row r="65" spans="27:27">
      <c r="AA65" s="480"/>
    </row>
    <row r="66" spans="27:27">
      <c r="AA66" s="480"/>
    </row>
    <row r="67" spans="27:27">
      <c r="AA67" s="480"/>
    </row>
    <row r="68" spans="27:27">
      <c r="AA68" s="480"/>
    </row>
    <row r="69" spans="27:27">
      <c r="AA69" s="480"/>
    </row>
    <row r="70" spans="27:27">
      <c r="AA70" s="480"/>
    </row>
    <row r="71" spans="27:27">
      <c r="AA71" s="480"/>
    </row>
    <row r="72" spans="27:27">
      <c r="AA72" s="480"/>
    </row>
    <row r="73" spans="27:27">
      <c r="AA73" s="480"/>
    </row>
    <row r="74" spans="27:27">
      <c r="AA74" s="480"/>
    </row>
    <row r="75" spans="27:27">
      <c r="AA75" s="480"/>
    </row>
    <row r="76" spans="27:27">
      <c r="AA76" s="480"/>
    </row>
    <row r="77" spans="27:27">
      <c r="AA77" s="480"/>
    </row>
    <row r="78" spans="27:27">
      <c r="AA78" s="480"/>
    </row>
    <row r="79" spans="27:27">
      <c r="AA79" s="480"/>
    </row>
    <row r="80" spans="27:27">
      <c r="AA80" s="480"/>
    </row>
    <row r="81" spans="27:27">
      <c r="AA81" s="480"/>
    </row>
    <row r="82" spans="27:27">
      <c r="AA82" s="480"/>
    </row>
    <row r="83" spans="27:27">
      <c r="AA83" s="480"/>
    </row>
    <row r="84" spans="27:27">
      <c r="AA84" s="480"/>
    </row>
    <row r="85" spans="27:27">
      <c r="AA85" s="480"/>
    </row>
    <row r="86" spans="27:27">
      <c r="AA86" s="480"/>
    </row>
    <row r="87" spans="27:27">
      <c r="AA87" s="480"/>
    </row>
    <row r="88" spans="27:27">
      <c r="AA88" s="480"/>
    </row>
    <row r="89" spans="27:27">
      <c r="AA89" s="480"/>
    </row>
    <row r="90" spans="27:27">
      <c r="AA90" s="480"/>
    </row>
    <row r="91" spans="27:27">
      <c r="AA91" s="480"/>
    </row>
    <row r="92" spans="27:27">
      <c r="AA92" s="480"/>
    </row>
    <row r="93" spans="27:27">
      <c r="AA93" s="480"/>
    </row>
    <row r="94" spans="27:27">
      <c r="AA94" s="480"/>
    </row>
  </sheetData>
  <mergeCells count="5">
    <mergeCell ref="C2:N2"/>
    <mergeCell ref="BY2:CJ2"/>
    <mergeCell ref="CL2:CW2"/>
    <mergeCell ref="CY2:DJ2"/>
    <mergeCell ref="DL2:DW2"/>
  </mergeCells>
  <pageMargins left="0.7" right="0.7" top="0.75" bottom="0.75" header="0.3" footer="0.3"/>
  <pageSetup paperSize="9" scale="10"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7D280-1DCA-4336-86E1-9812ABE141FB}">
  <sheetPr>
    <tabColor theme="4" tint="0.39997558519241921"/>
    <pageSetUpPr fitToPage="1"/>
  </sheetPr>
  <dimension ref="A1:EJ103"/>
  <sheetViews>
    <sheetView showGridLines="0" zoomScaleNormal="100" workbookViewId="0">
      <pane xSplit="14" ySplit="3" topLeftCell="DG16" activePane="bottomRight" state="frozen"/>
      <selection activeCell="CE28" sqref="CE28"/>
      <selection pane="topRight" activeCell="CE28" sqref="CE28"/>
      <selection pane="bottomLeft" activeCell="CE28" sqref="CE28"/>
      <selection pane="bottomRight" activeCell="DH23" sqref="DH23"/>
    </sheetView>
  </sheetViews>
  <sheetFormatPr baseColWidth="10" defaultColWidth="10.7109375" defaultRowHeight="14.25"/>
  <cols>
    <col min="1" max="1" width="2.85546875" style="480" customWidth="1"/>
    <col min="2" max="2" width="33" style="480" bestFit="1" customWidth="1"/>
    <col min="3" max="3" width="14.5703125" style="480" hidden="1" customWidth="1"/>
    <col min="4" max="4" width="13.28515625" style="480" hidden="1" customWidth="1"/>
    <col min="5" max="5" width="14" style="480" hidden="1" customWidth="1"/>
    <col min="6" max="6" width="15" style="480" hidden="1" customWidth="1"/>
    <col min="7" max="7" width="14" style="480" hidden="1" customWidth="1"/>
    <col min="8" max="8" width="14.85546875" style="480" hidden="1" customWidth="1"/>
    <col min="9" max="9" width="14.5703125" style="480" hidden="1" customWidth="1"/>
    <col min="10" max="10" width="15" style="480" hidden="1" customWidth="1"/>
    <col min="11" max="11" width="14.7109375" style="480" hidden="1" customWidth="1"/>
    <col min="12" max="12" width="14.28515625" style="480" hidden="1" customWidth="1"/>
    <col min="13" max="13" width="13.7109375" style="480" hidden="1" customWidth="1"/>
    <col min="14" max="14" width="13.28515625" style="480" hidden="1" customWidth="1"/>
    <col min="15" max="15" width="12.85546875" style="480" hidden="1" customWidth="1"/>
    <col min="16" max="26" width="11.85546875" style="480" customWidth="1"/>
    <col min="27" max="27" width="11.85546875" style="541" customWidth="1"/>
    <col min="28" max="29" width="11.85546875" style="481" customWidth="1"/>
    <col min="30" max="62" width="11.85546875" style="480" customWidth="1"/>
    <col min="63" max="63" width="13.28515625" style="480" bestFit="1" customWidth="1"/>
    <col min="64" max="65" width="11.85546875" style="480" customWidth="1"/>
    <col min="66" max="66" width="13" style="480" customWidth="1"/>
    <col min="67" max="76" width="11.85546875" style="480" customWidth="1"/>
    <col min="77" max="77" width="10" style="480" bestFit="1" customWidth="1"/>
    <col min="78" max="78" width="12.140625" style="480" customWidth="1"/>
    <col min="79" max="79" width="10.85546875" style="480" customWidth="1"/>
    <col min="80" max="80" width="12" style="480" customWidth="1"/>
    <col min="81" max="81" width="11.7109375" style="480" customWidth="1"/>
    <col min="82" max="82" width="12.140625" style="480" customWidth="1"/>
    <col min="83" max="83" width="10.5703125" style="480" customWidth="1"/>
    <col min="84" max="84" width="11.85546875" style="480" customWidth="1"/>
    <col min="85" max="85" width="13.28515625" style="480" customWidth="1"/>
    <col min="86" max="86" width="12.42578125" style="480" customWidth="1"/>
    <col min="87" max="87" width="11.7109375" style="480" bestFit="1" customWidth="1"/>
    <col min="88" max="88" width="12.5703125" style="480" customWidth="1"/>
    <col min="89" max="89" width="12.5703125" style="482" customWidth="1"/>
    <col min="90" max="90" width="11.42578125" style="480" bestFit="1" customWidth="1"/>
    <col min="91" max="92" width="11.140625" style="480" customWidth="1"/>
    <col min="93" max="93" width="10" style="480" bestFit="1" customWidth="1"/>
    <col min="94" max="94" width="15" style="480" customWidth="1"/>
    <col min="95" max="95" width="10.85546875" style="480" customWidth="1"/>
    <col min="96" max="96" width="11.42578125" style="480" bestFit="1" customWidth="1"/>
    <col min="97" max="97" width="11.140625" style="480" bestFit="1" customWidth="1"/>
    <col min="98" max="98" width="8.28515625" style="480" bestFit="1" customWidth="1"/>
    <col min="99" max="99" width="11.5703125" style="480" customWidth="1"/>
    <col min="100" max="101" width="11.42578125" style="480" bestFit="1" customWidth="1"/>
    <col min="102" max="102" width="11.85546875" style="482" customWidth="1"/>
    <col min="103" max="103" width="13.7109375" style="480" bestFit="1" customWidth="1"/>
    <col min="104" max="104" width="13" style="480" bestFit="1" customWidth="1"/>
    <col min="105" max="105" width="15.28515625" style="480" bestFit="1" customWidth="1"/>
    <col min="106" max="114" width="11.85546875" style="480" customWidth="1"/>
    <col min="115" max="115" width="11.28515625" style="482" bestFit="1" customWidth="1"/>
    <col min="116" max="127" width="10.7109375" style="480"/>
    <col min="128" max="128" width="11.85546875" style="482" customWidth="1"/>
    <col min="129" max="16384" width="10.7109375" style="480"/>
  </cols>
  <sheetData>
    <row r="1" spans="2:128" ht="7.5" customHeight="1">
      <c r="AA1" s="480"/>
    </row>
    <row r="2" spans="2:128" ht="15" customHeight="1">
      <c r="C2" s="970">
        <v>2018</v>
      </c>
      <c r="D2" s="970"/>
      <c r="E2" s="970"/>
      <c r="F2" s="970"/>
      <c r="G2" s="970"/>
      <c r="H2" s="970"/>
      <c r="I2" s="970"/>
      <c r="J2" s="970"/>
      <c r="K2" s="970"/>
      <c r="L2" s="970"/>
      <c r="M2" s="970"/>
      <c r="N2" s="970"/>
      <c r="P2" s="483">
        <v>2019</v>
      </c>
      <c r="Q2" s="484"/>
      <c r="R2" s="484"/>
      <c r="S2" s="484"/>
      <c r="T2" s="484"/>
      <c r="U2" s="484"/>
      <c r="V2" s="484"/>
      <c r="W2" s="484"/>
      <c r="X2" s="484"/>
      <c r="Y2" s="484"/>
      <c r="Z2" s="484"/>
      <c r="AA2" s="484"/>
      <c r="AC2" s="485">
        <v>2020</v>
      </c>
      <c r="AD2" s="484"/>
      <c r="AE2" s="484"/>
      <c r="AF2" s="484"/>
      <c r="AG2" s="484"/>
      <c r="AH2" s="484"/>
      <c r="AI2" s="484"/>
      <c r="AJ2" s="484"/>
      <c r="AL2" s="483" t="s">
        <v>121</v>
      </c>
      <c r="AM2" s="484"/>
      <c r="AN2" s="484"/>
      <c r="AO2" s="484"/>
      <c r="AP2" s="486"/>
      <c r="AQ2" s="484"/>
      <c r="AR2" s="484"/>
      <c r="AS2" s="484"/>
      <c r="AT2" s="484"/>
      <c r="AU2" s="484"/>
      <c r="AV2" s="484"/>
      <c r="AW2" s="484"/>
      <c r="AY2" s="486" t="s">
        <v>122</v>
      </c>
      <c r="AZ2" s="486"/>
      <c r="BA2" s="486"/>
      <c r="BB2" s="486"/>
      <c r="BC2" s="486"/>
      <c r="BD2" s="486"/>
      <c r="BE2" s="486"/>
      <c r="BF2" s="486"/>
      <c r="BG2" s="486"/>
      <c r="BH2" s="486"/>
      <c r="BI2" s="486"/>
      <c r="BJ2" s="486"/>
      <c r="BL2" s="487" t="s">
        <v>123</v>
      </c>
      <c r="BM2" s="487"/>
      <c r="BN2" s="487"/>
      <c r="BO2" s="487"/>
      <c r="BP2" s="487"/>
      <c r="BQ2" s="487"/>
      <c r="BR2" s="487"/>
      <c r="BS2" s="487"/>
      <c r="BT2" s="487"/>
      <c r="BU2" s="487"/>
      <c r="BV2" s="487"/>
      <c r="BW2" s="487"/>
      <c r="BY2" s="971" t="s">
        <v>124</v>
      </c>
      <c r="BZ2" s="971"/>
      <c r="CA2" s="971"/>
      <c r="CB2" s="971"/>
      <c r="CC2" s="971"/>
      <c r="CD2" s="971"/>
      <c r="CE2" s="971"/>
      <c r="CF2" s="971"/>
      <c r="CG2" s="971"/>
      <c r="CH2" s="971"/>
      <c r="CI2" s="971"/>
      <c r="CJ2" s="971"/>
      <c r="CL2" s="971" t="s">
        <v>344</v>
      </c>
      <c r="CM2" s="971"/>
      <c r="CN2" s="971"/>
      <c r="CO2" s="971"/>
      <c r="CP2" s="971"/>
      <c r="CQ2" s="971"/>
      <c r="CR2" s="971"/>
      <c r="CS2" s="971"/>
      <c r="CT2" s="971"/>
      <c r="CU2" s="971"/>
      <c r="CV2" s="971"/>
      <c r="CW2" s="971"/>
      <c r="CY2" s="971" t="s">
        <v>466</v>
      </c>
      <c r="CZ2" s="971"/>
      <c r="DA2" s="971"/>
      <c r="DB2" s="971"/>
      <c r="DC2" s="971"/>
      <c r="DD2" s="971"/>
      <c r="DE2" s="971"/>
      <c r="DF2" s="971"/>
      <c r="DG2" s="971"/>
      <c r="DH2" s="971"/>
      <c r="DI2" s="971"/>
      <c r="DJ2" s="971"/>
      <c r="DL2" s="971" t="s">
        <v>539</v>
      </c>
      <c r="DM2" s="971"/>
      <c r="DN2" s="971"/>
      <c r="DO2" s="971"/>
      <c r="DP2" s="971"/>
      <c r="DQ2" s="971"/>
      <c r="DR2" s="971"/>
      <c r="DS2" s="971"/>
      <c r="DT2" s="971"/>
      <c r="DU2" s="971"/>
      <c r="DV2" s="971"/>
      <c r="DW2" s="971"/>
    </row>
    <row r="3" spans="2:128" ht="15">
      <c r="B3" s="488" t="s">
        <v>125</v>
      </c>
      <c r="C3" s="489" t="s">
        <v>126</v>
      </c>
      <c r="D3" s="489" t="s">
        <v>127</v>
      </c>
      <c r="E3" s="489" t="s">
        <v>128</v>
      </c>
      <c r="F3" s="489" t="s">
        <v>129</v>
      </c>
      <c r="G3" s="489" t="s">
        <v>130</v>
      </c>
      <c r="H3" s="489" t="s">
        <v>131</v>
      </c>
      <c r="I3" s="489" t="s">
        <v>132</v>
      </c>
      <c r="J3" s="489" t="s">
        <v>133</v>
      </c>
      <c r="K3" s="489" t="s">
        <v>134</v>
      </c>
      <c r="L3" s="489" t="s">
        <v>135</v>
      </c>
      <c r="M3" s="489" t="s">
        <v>136</v>
      </c>
      <c r="N3" s="489" t="s">
        <v>137</v>
      </c>
      <c r="O3" s="490" t="s">
        <v>138</v>
      </c>
      <c r="P3" s="491" t="s">
        <v>126</v>
      </c>
      <c r="Q3" s="491" t="s">
        <v>127</v>
      </c>
      <c r="R3" s="491" t="s">
        <v>128</v>
      </c>
      <c r="S3" s="491" t="s">
        <v>129</v>
      </c>
      <c r="T3" s="491" t="s">
        <v>130</v>
      </c>
      <c r="U3" s="491" t="s">
        <v>131</v>
      </c>
      <c r="V3" s="491" t="s">
        <v>132</v>
      </c>
      <c r="W3" s="492" t="s">
        <v>133</v>
      </c>
      <c r="X3" s="491" t="s">
        <v>134</v>
      </c>
      <c r="Y3" s="491" t="s">
        <v>135</v>
      </c>
      <c r="Z3" s="491" t="s">
        <v>136</v>
      </c>
      <c r="AA3" s="491" t="s">
        <v>137</v>
      </c>
      <c r="AB3" s="493" t="s">
        <v>138</v>
      </c>
      <c r="AC3" s="494" t="s">
        <v>126</v>
      </c>
      <c r="AD3" s="491" t="s">
        <v>127</v>
      </c>
      <c r="AE3" s="491" t="s">
        <v>128</v>
      </c>
      <c r="AF3" s="491" t="s">
        <v>129</v>
      </c>
      <c r="AG3" s="491" t="s">
        <v>130</v>
      </c>
      <c r="AH3" s="491" t="s">
        <v>131</v>
      </c>
      <c r="AI3" s="491" t="s">
        <v>132</v>
      </c>
      <c r="AJ3" s="491" t="s">
        <v>133</v>
      </c>
      <c r="AK3" s="495" t="s">
        <v>138</v>
      </c>
      <c r="AL3" s="491" t="s">
        <v>134</v>
      </c>
      <c r="AM3" s="491" t="s">
        <v>135</v>
      </c>
      <c r="AN3" s="491" t="s">
        <v>136</v>
      </c>
      <c r="AO3" s="496" t="s">
        <v>137</v>
      </c>
      <c r="AP3" s="497" t="s">
        <v>126</v>
      </c>
      <c r="AQ3" s="491" t="s">
        <v>127</v>
      </c>
      <c r="AR3" s="491" t="s">
        <v>128</v>
      </c>
      <c r="AS3" s="491" t="s">
        <v>129</v>
      </c>
      <c r="AT3" s="491" t="s">
        <v>130</v>
      </c>
      <c r="AU3" s="491" t="s">
        <v>131</v>
      </c>
      <c r="AV3" s="491" t="s">
        <v>132</v>
      </c>
      <c r="AW3" s="491" t="s">
        <v>133</v>
      </c>
      <c r="AX3" s="495" t="s">
        <v>138</v>
      </c>
      <c r="AY3" s="498" t="s">
        <v>134</v>
      </c>
      <c r="AZ3" s="496" t="s">
        <v>135</v>
      </c>
      <c r="BA3" s="496" t="s">
        <v>136</v>
      </c>
      <c r="BB3" s="496" t="s">
        <v>137</v>
      </c>
      <c r="BC3" s="496" t="s">
        <v>126</v>
      </c>
      <c r="BD3" s="496" t="s">
        <v>127</v>
      </c>
      <c r="BE3" s="496" t="s">
        <v>128</v>
      </c>
      <c r="BF3" s="496" t="s">
        <v>129</v>
      </c>
      <c r="BG3" s="496" t="s">
        <v>130</v>
      </c>
      <c r="BH3" s="496" t="s">
        <v>131</v>
      </c>
      <c r="BI3" s="496" t="s">
        <v>132</v>
      </c>
      <c r="BJ3" s="499" t="s">
        <v>133</v>
      </c>
      <c r="BK3" s="495" t="s">
        <v>138</v>
      </c>
      <c r="BL3" s="498" t="s">
        <v>134</v>
      </c>
      <c r="BM3" s="496" t="s">
        <v>135</v>
      </c>
      <c r="BN3" s="496" t="s">
        <v>136</v>
      </c>
      <c r="BO3" s="496" t="s">
        <v>137</v>
      </c>
      <c r="BP3" s="496" t="s">
        <v>126</v>
      </c>
      <c r="BQ3" s="496" t="s">
        <v>127</v>
      </c>
      <c r="BR3" s="496" t="s">
        <v>128</v>
      </c>
      <c r="BS3" s="496" t="s">
        <v>129</v>
      </c>
      <c r="BT3" s="496" t="s">
        <v>130</v>
      </c>
      <c r="BU3" s="496" t="s">
        <v>131</v>
      </c>
      <c r="BV3" s="496" t="s">
        <v>132</v>
      </c>
      <c r="BW3" s="499" t="s">
        <v>133</v>
      </c>
      <c r="BX3" s="495" t="s">
        <v>138</v>
      </c>
      <c r="BY3" s="498" t="s">
        <v>134</v>
      </c>
      <c r="BZ3" s="496" t="s">
        <v>135</v>
      </c>
      <c r="CA3" s="496" t="s">
        <v>136</v>
      </c>
      <c r="CB3" s="496" t="s">
        <v>137</v>
      </c>
      <c r="CC3" s="496" t="s">
        <v>126</v>
      </c>
      <c r="CD3" s="496" t="s">
        <v>127</v>
      </c>
      <c r="CE3" s="496" t="s">
        <v>128</v>
      </c>
      <c r="CF3" s="496" t="s">
        <v>129</v>
      </c>
      <c r="CG3" s="496" t="s">
        <v>130</v>
      </c>
      <c r="CH3" s="496" t="s">
        <v>131</v>
      </c>
      <c r="CI3" s="496" t="s">
        <v>132</v>
      </c>
      <c r="CJ3" s="496" t="s">
        <v>133</v>
      </c>
      <c r="CK3" s="495" t="s">
        <v>138</v>
      </c>
      <c r="CL3" s="496" t="s">
        <v>134</v>
      </c>
      <c r="CM3" s="496" t="s">
        <v>135</v>
      </c>
      <c r="CN3" s="496" t="s">
        <v>136</v>
      </c>
      <c r="CO3" s="496" t="s">
        <v>137</v>
      </c>
      <c r="CP3" s="496" t="s">
        <v>126</v>
      </c>
      <c r="CQ3" s="496" t="s">
        <v>127</v>
      </c>
      <c r="CR3" s="496" t="s">
        <v>128</v>
      </c>
      <c r="CS3" s="496" t="s">
        <v>129</v>
      </c>
      <c r="CT3" s="496" t="s">
        <v>130</v>
      </c>
      <c r="CU3" s="496" t="s">
        <v>131</v>
      </c>
      <c r="CV3" s="496" t="s">
        <v>132</v>
      </c>
      <c r="CW3" s="499" t="s">
        <v>133</v>
      </c>
      <c r="CX3" s="495" t="s">
        <v>138</v>
      </c>
      <c r="CY3" s="496" t="s">
        <v>134</v>
      </c>
      <c r="CZ3" s="496" t="s">
        <v>135</v>
      </c>
      <c r="DA3" s="496" t="s">
        <v>136</v>
      </c>
      <c r="DB3" s="496" t="s">
        <v>137</v>
      </c>
      <c r="DC3" s="496" t="s">
        <v>126</v>
      </c>
      <c r="DD3" s="496" t="s">
        <v>127</v>
      </c>
      <c r="DE3" s="496" t="s">
        <v>128</v>
      </c>
      <c r="DF3" s="496" t="s">
        <v>129</v>
      </c>
      <c r="DG3" s="496" t="s">
        <v>130</v>
      </c>
      <c r="DH3" s="496" t="s">
        <v>131</v>
      </c>
      <c r="DI3" s="496" t="s">
        <v>132</v>
      </c>
      <c r="DJ3" s="499" t="s">
        <v>133</v>
      </c>
      <c r="DK3" s="495" t="s">
        <v>138</v>
      </c>
      <c r="DL3" s="496" t="s">
        <v>134</v>
      </c>
      <c r="DM3" s="496" t="s">
        <v>135</v>
      </c>
      <c r="DN3" s="496" t="s">
        <v>136</v>
      </c>
      <c r="DO3" s="496" t="s">
        <v>137</v>
      </c>
      <c r="DP3" s="496" t="s">
        <v>126</v>
      </c>
      <c r="DQ3" s="496" t="s">
        <v>127</v>
      </c>
      <c r="DR3" s="496" t="s">
        <v>128</v>
      </c>
      <c r="DS3" s="496" t="s">
        <v>129</v>
      </c>
      <c r="DT3" s="496" t="s">
        <v>130</v>
      </c>
      <c r="DU3" s="496" t="s">
        <v>131</v>
      </c>
      <c r="DV3" s="496" t="s">
        <v>132</v>
      </c>
      <c r="DW3" s="499" t="s">
        <v>133</v>
      </c>
      <c r="DX3" s="495" t="s">
        <v>138</v>
      </c>
    </row>
    <row r="4" spans="2:128" ht="15">
      <c r="B4" s="599" t="s">
        <v>139</v>
      </c>
      <c r="C4" s="512"/>
      <c r="D4" s="512"/>
      <c r="E4" s="512"/>
      <c r="F4" s="512"/>
      <c r="G4" s="512"/>
      <c r="H4" s="512"/>
      <c r="I4" s="512"/>
      <c r="J4" s="512"/>
      <c r="K4" s="512"/>
      <c r="L4" s="512"/>
      <c r="M4" s="512"/>
      <c r="N4" s="512"/>
      <c r="O4" s="600"/>
      <c r="P4" s="601">
        <f t="shared" ref="P4:AA4" si="0">SUM(P6:P84)</f>
        <v>0</v>
      </c>
      <c r="Q4" s="507">
        <f t="shared" si="0"/>
        <v>0</v>
      </c>
      <c r="R4" s="507">
        <f t="shared" si="0"/>
        <v>0</v>
      </c>
      <c r="S4" s="507">
        <f t="shared" si="0"/>
        <v>0</v>
      </c>
      <c r="T4" s="507">
        <f t="shared" si="0"/>
        <v>0</v>
      </c>
      <c r="U4" s="507">
        <f t="shared" si="0"/>
        <v>0</v>
      </c>
      <c r="V4" s="507">
        <f t="shared" si="0"/>
        <v>0</v>
      </c>
      <c r="W4" s="507">
        <f t="shared" si="0"/>
        <v>0</v>
      </c>
      <c r="X4" s="507">
        <f t="shared" si="0"/>
        <v>0</v>
      </c>
      <c r="Y4" s="507">
        <f t="shared" si="0"/>
        <v>0</v>
      </c>
      <c r="Z4" s="507">
        <f t="shared" si="0"/>
        <v>0</v>
      </c>
      <c r="AA4" s="507">
        <f t="shared" si="0"/>
        <v>0</v>
      </c>
      <c r="AB4" s="602">
        <f>SUM(P4:AA4)</f>
        <v>0</v>
      </c>
      <c r="AC4" s="507">
        <f t="shared" ref="AC4:AJ4" si="1">SUM(AC6:AC84)</f>
        <v>0</v>
      </c>
      <c r="AD4" s="507">
        <f t="shared" si="1"/>
        <v>0</v>
      </c>
      <c r="AE4" s="507">
        <f t="shared" si="1"/>
        <v>0</v>
      </c>
      <c r="AF4" s="507">
        <f t="shared" si="1"/>
        <v>0</v>
      </c>
      <c r="AG4" s="507">
        <f t="shared" si="1"/>
        <v>0</v>
      </c>
      <c r="AH4" s="507">
        <f t="shared" si="1"/>
        <v>0</v>
      </c>
      <c r="AI4" s="507">
        <f t="shared" si="1"/>
        <v>0</v>
      </c>
      <c r="AJ4" s="507">
        <f t="shared" si="1"/>
        <v>0</v>
      </c>
      <c r="AK4" s="509">
        <f>SUM(AC4:AJ4)</f>
        <v>0</v>
      </c>
      <c r="AL4" s="507">
        <f t="shared" ref="AL4:AW4" si="2">SUM(AL6:AL84)</f>
        <v>0</v>
      </c>
      <c r="AM4" s="507">
        <f t="shared" si="2"/>
        <v>0</v>
      </c>
      <c r="AN4" s="507">
        <f t="shared" si="2"/>
        <v>0</v>
      </c>
      <c r="AO4" s="507">
        <f t="shared" si="2"/>
        <v>0</v>
      </c>
      <c r="AP4" s="507">
        <f t="shared" si="2"/>
        <v>0</v>
      </c>
      <c r="AQ4" s="507">
        <f t="shared" si="2"/>
        <v>0</v>
      </c>
      <c r="AR4" s="507">
        <f t="shared" si="2"/>
        <v>0</v>
      </c>
      <c r="AS4" s="507">
        <f t="shared" si="2"/>
        <v>0</v>
      </c>
      <c r="AT4" s="507">
        <f t="shared" si="2"/>
        <v>0</v>
      </c>
      <c r="AU4" s="507">
        <f t="shared" si="2"/>
        <v>0</v>
      </c>
      <c r="AV4" s="507">
        <f t="shared" si="2"/>
        <v>0</v>
      </c>
      <c r="AW4" s="507">
        <f t="shared" si="2"/>
        <v>0</v>
      </c>
      <c r="AX4" s="603">
        <f>SUM(AL4:AW4)</f>
        <v>0</v>
      </c>
      <c r="AY4" s="507">
        <f t="shared" ref="AY4:BJ4" si="3">SUM(AY6:AY84)</f>
        <v>0</v>
      </c>
      <c r="AZ4" s="507">
        <f t="shared" si="3"/>
        <v>0</v>
      </c>
      <c r="BA4" s="507">
        <f t="shared" si="3"/>
        <v>0</v>
      </c>
      <c r="BB4" s="507">
        <f t="shared" si="3"/>
        <v>0</v>
      </c>
      <c r="BC4" s="507">
        <f t="shared" si="3"/>
        <v>0</v>
      </c>
      <c r="BD4" s="507">
        <f t="shared" si="3"/>
        <v>0</v>
      </c>
      <c r="BE4" s="507">
        <f t="shared" si="3"/>
        <v>0</v>
      </c>
      <c r="BF4" s="507">
        <f t="shared" si="3"/>
        <v>0</v>
      </c>
      <c r="BG4" s="507">
        <f t="shared" si="3"/>
        <v>0</v>
      </c>
      <c r="BH4" s="507">
        <f t="shared" si="3"/>
        <v>0</v>
      </c>
      <c r="BI4" s="507">
        <f t="shared" si="3"/>
        <v>0</v>
      </c>
      <c r="BJ4" s="507">
        <f t="shared" si="3"/>
        <v>0</v>
      </c>
      <c r="BK4" s="509">
        <f>SUM(AY4:BJ4)</f>
        <v>0</v>
      </c>
      <c r="BL4" s="507">
        <f t="shared" ref="BL4:BW4" si="4">SUM(BL6:BL84)</f>
        <v>0</v>
      </c>
      <c r="BM4" s="507">
        <f t="shared" si="4"/>
        <v>0</v>
      </c>
      <c r="BN4" s="507">
        <f t="shared" si="4"/>
        <v>0</v>
      </c>
      <c r="BO4" s="507">
        <f t="shared" si="4"/>
        <v>0</v>
      </c>
      <c r="BP4" s="507">
        <f t="shared" si="4"/>
        <v>0</v>
      </c>
      <c r="BQ4" s="507">
        <f t="shared" si="4"/>
        <v>0</v>
      </c>
      <c r="BR4" s="507">
        <f t="shared" si="4"/>
        <v>0</v>
      </c>
      <c r="BS4" s="507">
        <f t="shared" si="4"/>
        <v>0</v>
      </c>
      <c r="BT4" s="507">
        <f t="shared" si="4"/>
        <v>0</v>
      </c>
      <c r="BU4" s="507">
        <f t="shared" si="4"/>
        <v>0</v>
      </c>
      <c r="BV4" s="507">
        <f t="shared" si="4"/>
        <v>0</v>
      </c>
      <c r="BW4" s="507">
        <f t="shared" si="4"/>
        <v>0</v>
      </c>
      <c r="BX4" s="509">
        <f>SUM(BL4:BW4)</f>
        <v>0</v>
      </c>
      <c r="BY4" s="507">
        <f t="shared" ref="BY4:CJ4" si="5">SUM(BY6:BY84)</f>
        <v>0</v>
      </c>
      <c r="BZ4" s="507">
        <f t="shared" si="5"/>
        <v>0</v>
      </c>
      <c r="CA4" s="507">
        <f t="shared" si="5"/>
        <v>0</v>
      </c>
      <c r="CB4" s="507">
        <f t="shared" si="5"/>
        <v>0</v>
      </c>
      <c r="CC4" s="507">
        <f t="shared" si="5"/>
        <v>0</v>
      </c>
      <c r="CD4" s="507">
        <f t="shared" si="5"/>
        <v>0</v>
      </c>
      <c r="CE4" s="507">
        <f t="shared" si="5"/>
        <v>0</v>
      </c>
      <c r="CF4" s="507">
        <f t="shared" si="5"/>
        <v>0</v>
      </c>
      <c r="CG4" s="507">
        <f t="shared" si="5"/>
        <v>0</v>
      </c>
      <c r="CH4" s="507">
        <f t="shared" si="5"/>
        <v>0</v>
      </c>
      <c r="CI4" s="507">
        <f t="shared" si="5"/>
        <v>0</v>
      </c>
      <c r="CJ4" s="604">
        <f t="shared" si="5"/>
        <v>0</v>
      </c>
      <c r="CK4" s="509">
        <f>SUM(BY4:CJ4)</f>
        <v>0</v>
      </c>
      <c r="CL4" s="604">
        <f>SUM(CL6:CL84)</f>
        <v>0</v>
      </c>
      <c r="CM4" s="604">
        <f>SUM(CM6:CM84)</f>
        <v>0</v>
      </c>
      <c r="CN4" s="604">
        <f>SUM(CN6:CN84)</f>
        <v>0</v>
      </c>
      <c r="CO4" s="604">
        <f>SUM(CO6:CO84)</f>
        <v>0</v>
      </c>
      <c r="CP4" s="604">
        <f>SUM(CP6:CP38)</f>
        <v>526295.29</v>
      </c>
      <c r="CQ4" s="604">
        <f t="shared" ref="CQ4:CW4" si="6">SUM(CQ6:CQ84)</f>
        <v>522419.65</v>
      </c>
      <c r="CR4" s="604">
        <f t="shared" si="6"/>
        <v>778499.08</v>
      </c>
      <c r="CS4" s="604">
        <f t="shared" si="6"/>
        <v>858221.62000000011</v>
      </c>
      <c r="CT4" s="604">
        <f t="shared" si="6"/>
        <v>0</v>
      </c>
      <c r="CU4" s="604">
        <f t="shared" si="6"/>
        <v>0</v>
      </c>
      <c r="CV4" s="604">
        <f t="shared" si="6"/>
        <v>1072186.1040000001</v>
      </c>
      <c r="CW4" s="604">
        <f t="shared" si="6"/>
        <v>1179404.7143999999</v>
      </c>
      <c r="CX4" s="509">
        <f>SUM(CL4:CW4)</f>
        <v>4937026.4583999999</v>
      </c>
      <c r="CY4" s="604">
        <f>SUM(CY6:CY84)</f>
        <v>-1072186.1040000001</v>
      </c>
      <c r="CZ4" s="604">
        <f t="shared" ref="CZ4:DJ4" si="7">SUM(CZ6:CZ84)</f>
        <v>0</v>
      </c>
      <c r="DA4" s="604">
        <f t="shared" si="7"/>
        <v>1579475.0405720002</v>
      </c>
      <c r="DB4" s="604">
        <f t="shared" si="7"/>
        <v>233842.255</v>
      </c>
      <c r="DC4" s="604">
        <f t="shared" si="7"/>
        <v>0</v>
      </c>
      <c r="DD4" s="604">
        <f t="shared" si="7"/>
        <v>144590.79999999999</v>
      </c>
      <c r="DE4" s="604">
        <f t="shared" si="7"/>
        <v>115667.93999999999</v>
      </c>
      <c r="DF4" s="604">
        <f t="shared" si="7"/>
        <v>145805.28</v>
      </c>
      <c r="DG4" s="604">
        <f t="shared" si="7"/>
        <v>85365.159999999989</v>
      </c>
      <c r="DH4" s="604">
        <f t="shared" si="7"/>
        <v>171615.34499999997</v>
      </c>
      <c r="DI4" s="604">
        <f t="shared" si="7"/>
        <v>117500</v>
      </c>
      <c r="DJ4" s="604">
        <f t="shared" si="7"/>
        <v>117500</v>
      </c>
      <c r="DK4" s="509">
        <f>SUM(CY4:DJ4)</f>
        <v>1639175.7165719999</v>
      </c>
      <c r="DL4" s="604">
        <f t="shared" ref="DL4:DW4" si="8">SUM(DL6:DL84)</f>
        <v>117500</v>
      </c>
      <c r="DM4" s="604">
        <f t="shared" si="8"/>
        <v>117500</v>
      </c>
      <c r="DN4" s="604">
        <f t="shared" si="8"/>
        <v>117500</v>
      </c>
      <c r="DO4" s="604">
        <f t="shared" si="8"/>
        <v>117500</v>
      </c>
      <c r="DP4" s="604">
        <f t="shared" si="8"/>
        <v>117500</v>
      </c>
      <c r="DQ4" s="604">
        <f t="shared" si="8"/>
        <v>0</v>
      </c>
      <c r="DR4" s="604">
        <f t="shared" si="8"/>
        <v>0</v>
      </c>
      <c r="DS4" s="604">
        <f t="shared" si="8"/>
        <v>0</v>
      </c>
      <c r="DT4" s="604">
        <f t="shared" si="8"/>
        <v>0</v>
      </c>
      <c r="DU4" s="604">
        <f t="shared" si="8"/>
        <v>0</v>
      </c>
      <c r="DV4" s="604">
        <f t="shared" si="8"/>
        <v>0</v>
      </c>
      <c r="DW4" s="604">
        <f t="shared" si="8"/>
        <v>0</v>
      </c>
      <c r="DX4" s="506">
        <f>SUM(DL4:DW4)</f>
        <v>587500</v>
      </c>
    </row>
    <row r="5" spans="2:128" ht="15">
      <c r="B5" s="560" t="s">
        <v>543</v>
      </c>
      <c r="C5" s="512"/>
      <c r="D5" s="512"/>
      <c r="E5" s="512"/>
      <c r="F5" s="512"/>
      <c r="G5" s="512"/>
      <c r="H5" s="512"/>
      <c r="I5" s="512"/>
      <c r="J5" s="512"/>
      <c r="K5" s="512"/>
      <c r="L5" s="512"/>
      <c r="M5" s="512"/>
      <c r="N5" s="512"/>
      <c r="O5" s="514"/>
      <c r="P5" s="534"/>
      <c r="Q5" s="534"/>
      <c r="R5" s="534"/>
      <c r="S5" s="534"/>
      <c r="T5" s="534"/>
      <c r="U5" s="534"/>
      <c r="V5" s="534"/>
      <c r="W5" s="544"/>
      <c r="X5" s="525"/>
      <c r="Y5" s="525"/>
      <c r="Z5" s="525"/>
      <c r="AA5" s="525"/>
      <c r="AB5" s="605"/>
      <c r="AC5" s="606"/>
      <c r="AD5" s="525"/>
      <c r="AE5" s="525"/>
      <c r="AF5" s="544"/>
      <c r="AG5" s="525"/>
      <c r="AH5" s="525"/>
      <c r="AI5" s="525"/>
      <c r="AJ5" s="525"/>
      <c r="AK5" s="607">
        <f>SUM(AC5:AJ5)</f>
        <v>0</v>
      </c>
      <c r="AL5" s="525"/>
      <c r="AM5" s="525"/>
      <c r="AN5" s="525"/>
      <c r="AO5" s="525"/>
      <c r="AP5" s="525"/>
      <c r="AQ5" s="525"/>
      <c r="AR5" s="533"/>
      <c r="AS5" s="533"/>
      <c r="AT5" s="533"/>
      <c r="AU5" s="533"/>
      <c r="AV5" s="533"/>
      <c r="AW5" s="533"/>
      <c r="AX5" s="528"/>
      <c r="AY5" s="606"/>
      <c r="AZ5" s="525"/>
      <c r="BA5" s="526"/>
      <c r="BB5" s="525"/>
      <c r="BC5" s="525"/>
      <c r="BD5" s="525"/>
      <c r="BE5" s="525"/>
      <c r="BF5" s="525"/>
      <c r="BG5" s="525"/>
      <c r="BH5" s="525"/>
      <c r="BI5" s="525"/>
      <c r="BJ5" s="608"/>
      <c r="BK5" s="528"/>
      <c r="BL5" s="606"/>
      <c r="BM5" s="525"/>
      <c r="BN5" s="526"/>
      <c r="BO5" s="525"/>
      <c r="BP5" s="525"/>
      <c r="BQ5" s="526"/>
      <c r="BR5" s="525"/>
      <c r="BS5" s="525"/>
      <c r="BT5" s="525"/>
      <c r="BU5" s="525"/>
      <c r="BV5" s="525"/>
      <c r="BW5" s="608"/>
      <c r="BX5" s="528"/>
      <c r="BY5" s="525"/>
      <c r="BZ5" s="525"/>
      <c r="CA5" s="525"/>
      <c r="CB5" s="525"/>
      <c r="CC5" s="525"/>
      <c r="CD5" s="525"/>
      <c r="CE5" s="525"/>
      <c r="CF5" s="525"/>
      <c r="CG5" s="525"/>
      <c r="CH5" s="525"/>
      <c r="CI5" s="525"/>
      <c r="CJ5" s="525"/>
      <c r="CK5" s="528"/>
      <c r="CL5" s="526"/>
      <c r="CM5" s="525"/>
      <c r="CN5" s="526"/>
      <c r="CO5" s="525"/>
      <c r="CP5" s="525"/>
      <c r="CQ5" s="525"/>
      <c r="CR5" s="525"/>
      <c r="CS5" s="525"/>
      <c r="CT5" s="525"/>
      <c r="CU5" s="525"/>
      <c r="CV5" s="525"/>
      <c r="CW5" s="525"/>
      <c r="CX5" s="528"/>
      <c r="CY5" s="541"/>
      <c r="CZ5" s="541"/>
      <c r="DA5" s="541"/>
      <c r="DB5" s="541"/>
      <c r="DC5" s="541"/>
      <c r="DD5" s="541"/>
      <c r="DE5" s="541"/>
      <c r="DF5" s="541"/>
      <c r="DG5" s="541"/>
      <c r="DK5" s="519"/>
      <c r="DX5" s="519"/>
    </row>
    <row r="6" spans="2:128" ht="15">
      <c r="B6" s="480" t="s">
        <v>548</v>
      </c>
      <c r="C6" s="512">
        <v>15000</v>
      </c>
      <c r="D6" s="512"/>
      <c r="E6" s="512"/>
      <c r="F6" s="512"/>
      <c r="G6" s="512"/>
      <c r="H6" s="512"/>
      <c r="I6" s="512"/>
      <c r="J6" s="512"/>
      <c r="K6" s="512"/>
      <c r="L6" s="512"/>
      <c r="M6" s="512"/>
      <c r="N6" s="512"/>
      <c r="O6" s="514">
        <f t="shared" ref="O6:O83" si="9">SUM(C6:N6)</f>
        <v>15000</v>
      </c>
      <c r="P6" s="534"/>
      <c r="Q6" s="534"/>
      <c r="R6" s="534"/>
      <c r="S6" s="534"/>
      <c r="T6" s="534"/>
      <c r="U6" s="534"/>
      <c r="V6" s="534"/>
      <c r="W6" s="544"/>
      <c r="X6" s="525"/>
      <c r="Y6" s="525"/>
      <c r="Z6" s="525"/>
      <c r="AA6" s="525"/>
      <c r="AB6" s="605">
        <f t="shared" ref="AB6:AB84" si="10">SUM(P6:AA6)</f>
        <v>0</v>
      </c>
      <c r="AC6" s="609"/>
      <c r="AD6" s="534"/>
      <c r="AE6" s="534"/>
      <c r="AF6" s="534"/>
      <c r="AG6" s="534"/>
      <c r="AH6" s="534"/>
      <c r="AI6" s="534"/>
      <c r="AJ6" s="534"/>
      <c r="AK6" s="607">
        <f>SUM(AC6:AJ6)</f>
        <v>0</v>
      </c>
      <c r="AL6" s="525"/>
      <c r="AM6" s="525"/>
      <c r="AN6" s="533"/>
      <c r="AO6" s="533"/>
      <c r="AP6" s="544"/>
      <c r="AQ6" s="525"/>
      <c r="AR6" s="533"/>
      <c r="AS6" s="533"/>
      <c r="AT6" s="533"/>
      <c r="AU6" s="533"/>
      <c r="AV6" s="533"/>
      <c r="AW6" s="533"/>
      <c r="AX6" s="528">
        <f t="shared" ref="AX6:AX34" si="11">SUM(AL6:AW6)</f>
        <v>0</v>
      </c>
      <c r="AY6" s="606"/>
      <c r="AZ6" s="525"/>
      <c r="BA6" s="526"/>
      <c r="BB6" s="525"/>
      <c r="BC6" s="544"/>
      <c r="BD6" s="525"/>
      <c r="BE6" s="525"/>
      <c r="BF6" s="525"/>
      <c r="BG6" s="525"/>
      <c r="BH6" s="525"/>
      <c r="BI6" s="525"/>
      <c r="BJ6" s="608"/>
      <c r="BK6" s="528">
        <f>SUM(AY6:BJ6)</f>
        <v>0</v>
      </c>
      <c r="BL6" s="606"/>
      <c r="BM6" s="525"/>
      <c r="BN6" s="526"/>
      <c r="BO6" s="525"/>
      <c r="BP6" s="525"/>
      <c r="BQ6" s="526"/>
      <c r="BR6" s="544"/>
      <c r="BS6" s="525"/>
      <c r="BT6" s="525"/>
      <c r="BU6" s="525"/>
      <c r="BV6" s="525"/>
      <c r="BW6" s="608"/>
      <c r="BX6" s="528">
        <f>SUM(BL6:BW6)</f>
        <v>0</v>
      </c>
      <c r="BY6" s="525"/>
      <c r="BZ6" s="525"/>
      <c r="CA6" s="525"/>
      <c r="CB6" s="525"/>
      <c r="CC6" s="544"/>
      <c r="CD6" s="525"/>
      <c r="CE6" s="525"/>
      <c r="CF6" s="525"/>
      <c r="CG6" s="525"/>
      <c r="CH6" s="525"/>
      <c r="CI6" s="525"/>
      <c r="CJ6" s="525"/>
      <c r="CK6" s="528">
        <f t="shared" ref="CK6:CK79" si="12">SUM(BY6:CJ6)</f>
        <v>0</v>
      </c>
      <c r="CL6" s="526"/>
      <c r="CM6" s="525"/>
      <c r="CN6" s="526"/>
      <c r="CO6" s="525"/>
      <c r="CP6" s="818">
        <f>(35014.5+33646.5+36210.38+35042.63+36325.13+35042.63)</f>
        <v>211281.77000000002</v>
      </c>
      <c r="CQ6" s="619"/>
      <c r="CR6" s="525"/>
      <c r="CS6" s="525"/>
      <c r="CT6" s="525"/>
      <c r="CU6" s="525"/>
      <c r="CV6" s="525"/>
      <c r="CW6" s="525"/>
      <c r="CX6" s="528">
        <f>SUM(CL6:CW6)</f>
        <v>211281.77000000002</v>
      </c>
      <c r="CY6" s="881"/>
      <c r="CZ6" s="541"/>
      <c r="DA6" s="541"/>
      <c r="DB6" s="541"/>
      <c r="DC6" s="848"/>
      <c r="DD6" s="541"/>
      <c r="DE6" s="541"/>
      <c r="DF6" s="541"/>
      <c r="DG6" s="541"/>
      <c r="DK6" s="528">
        <f>SUM(CY6:DJ6)</f>
        <v>0</v>
      </c>
      <c r="DX6" s="519">
        <f>SUM(DL6:DW6)</f>
        <v>0</v>
      </c>
    </row>
    <row r="7" spans="2:128" ht="15">
      <c r="B7" s="480" t="s">
        <v>549</v>
      </c>
      <c r="C7" s="512"/>
      <c r="D7" s="512">
        <v>35000</v>
      </c>
      <c r="E7" s="512"/>
      <c r="F7" s="512"/>
      <c r="G7" s="512"/>
      <c r="H7" s="512"/>
      <c r="I7" s="512"/>
      <c r="J7" s="512"/>
      <c r="K7" s="512"/>
      <c r="L7" s="512"/>
      <c r="M7" s="512"/>
      <c r="N7" s="512"/>
      <c r="O7" s="514">
        <f t="shared" si="9"/>
        <v>35000</v>
      </c>
      <c r="P7" s="534"/>
      <c r="Q7" s="534"/>
      <c r="R7" s="534"/>
      <c r="S7" s="534"/>
      <c r="T7" s="534"/>
      <c r="U7" s="534"/>
      <c r="V7" s="534"/>
      <c r="W7" s="544"/>
      <c r="X7" s="525"/>
      <c r="Y7" s="525"/>
      <c r="Z7" s="525"/>
      <c r="AA7" s="525"/>
      <c r="AB7" s="605">
        <f t="shared" si="10"/>
        <v>0</v>
      </c>
      <c r="AC7" s="613"/>
      <c r="AD7" s="534"/>
      <c r="AE7" s="534"/>
      <c r="AF7" s="534"/>
      <c r="AG7" s="534"/>
      <c r="AH7" s="534"/>
      <c r="AI7" s="534"/>
      <c r="AJ7" s="534"/>
      <c r="AK7" s="607">
        <f t="shared" ref="AK7:AK84" si="13">SUM(AC7:AJ7)</f>
        <v>0</v>
      </c>
      <c r="AL7" s="525"/>
      <c r="AM7" s="525"/>
      <c r="AN7" s="533"/>
      <c r="AO7" s="533"/>
      <c r="AP7" s="534"/>
      <c r="AQ7" s="525"/>
      <c r="AR7" s="533"/>
      <c r="AS7" s="533"/>
      <c r="AT7" s="533"/>
      <c r="AU7" s="533"/>
      <c r="AV7" s="533"/>
      <c r="AW7" s="533"/>
      <c r="AX7" s="528">
        <f t="shared" si="11"/>
        <v>0</v>
      </c>
      <c r="AY7" s="614"/>
      <c r="AZ7" s="533"/>
      <c r="BA7" s="535"/>
      <c r="BB7" s="533"/>
      <c r="BC7" s="525"/>
      <c r="BD7" s="525"/>
      <c r="BE7" s="544"/>
      <c r="BF7" s="525"/>
      <c r="BG7" s="525"/>
      <c r="BH7" s="525"/>
      <c r="BI7" s="525"/>
      <c r="BJ7" s="608"/>
      <c r="BK7" s="528">
        <f t="shared" ref="BK7:BK10" si="14">SUM(AY7:BJ7)</f>
        <v>0</v>
      </c>
      <c r="BL7" s="614"/>
      <c r="BM7" s="533"/>
      <c r="BN7" s="535"/>
      <c r="BO7" s="533"/>
      <c r="BP7" s="544"/>
      <c r="BQ7" s="526"/>
      <c r="BR7" s="533"/>
      <c r="BS7" s="525"/>
      <c r="BT7" s="525"/>
      <c r="BU7" s="525"/>
      <c r="BV7" s="525"/>
      <c r="BW7" s="608"/>
      <c r="BX7" s="528">
        <f t="shared" ref="BX7:BX84" si="15">SUM(BL7:BW7)</f>
        <v>0</v>
      </c>
      <c r="BY7" s="525"/>
      <c r="BZ7" s="525"/>
      <c r="CA7" s="525"/>
      <c r="CB7" s="525"/>
      <c r="CC7" s="544"/>
      <c r="CD7" s="544"/>
      <c r="CE7" s="563"/>
      <c r="CF7" s="525"/>
      <c r="CG7" s="525"/>
      <c r="CH7" s="525"/>
      <c r="CI7" s="525"/>
      <c r="CJ7" s="525"/>
      <c r="CK7" s="528">
        <f t="shared" si="12"/>
        <v>0</v>
      </c>
      <c r="CL7" s="526"/>
      <c r="CM7" s="525"/>
      <c r="CN7" s="526"/>
      <c r="CO7" s="525"/>
      <c r="CP7" s="818">
        <f>(35185.5+35470.13+34700.63+34899.75+34700.63)</f>
        <v>174956.64</v>
      </c>
      <c r="CQ7" s="619"/>
      <c r="CR7" s="525"/>
      <c r="CS7" s="525"/>
      <c r="CT7" s="525"/>
      <c r="CU7" s="525"/>
      <c r="CV7" s="525"/>
      <c r="CW7" s="525"/>
      <c r="CX7" s="528">
        <f t="shared" ref="CX7:CX81" si="16">SUM(CL7:CW7)</f>
        <v>174956.64</v>
      </c>
      <c r="CY7" s="881"/>
      <c r="CZ7" s="541"/>
      <c r="DA7" s="541"/>
      <c r="DB7" s="541"/>
      <c r="DC7" s="848"/>
      <c r="DD7" s="541"/>
      <c r="DE7" s="541"/>
      <c r="DF7" s="541"/>
      <c r="DG7" s="541"/>
      <c r="DK7" s="528">
        <f t="shared" ref="DK7:DK81" si="17">SUM(CY7:DJ7)</f>
        <v>0</v>
      </c>
      <c r="DX7" s="519">
        <f t="shared" ref="DX7:DX81" si="18">SUM(DL7:DW7)</f>
        <v>0</v>
      </c>
    </row>
    <row r="8" spans="2:128" ht="15">
      <c r="B8" s="480" t="s">
        <v>556</v>
      </c>
      <c r="C8" s="512"/>
      <c r="D8" s="512"/>
      <c r="E8" s="512">
        <v>15000</v>
      </c>
      <c r="F8" s="512"/>
      <c r="G8" s="512"/>
      <c r="H8" s="512"/>
      <c r="I8" s="512"/>
      <c r="J8" s="512"/>
      <c r="K8" s="512"/>
      <c r="L8" s="512"/>
      <c r="M8" s="512"/>
      <c r="N8" s="512"/>
      <c r="O8" s="514">
        <f t="shared" si="9"/>
        <v>15000</v>
      </c>
      <c r="P8" s="534"/>
      <c r="Q8" s="534"/>
      <c r="R8" s="534"/>
      <c r="S8" s="534"/>
      <c r="T8" s="534"/>
      <c r="U8" s="534"/>
      <c r="V8" s="544"/>
      <c r="W8" s="544"/>
      <c r="X8" s="525"/>
      <c r="Y8" s="525"/>
      <c r="Z8" s="525"/>
      <c r="AA8" s="525"/>
      <c r="AB8" s="605">
        <f t="shared" si="10"/>
        <v>0</v>
      </c>
      <c r="AC8" s="613"/>
      <c r="AD8" s="534"/>
      <c r="AE8" s="534"/>
      <c r="AF8" s="534"/>
      <c r="AG8" s="534"/>
      <c r="AH8" s="534"/>
      <c r="AI8" s="534"/>
      <c r="AJ8" s="534"/>
      <c r="AK8" s="607">
        <f t="shared" si="13"/>
        <v>0</v>
      </c>
      <c r="AL8" s="534"/>
      <c r="AM8" s="525"/>
      <c r="AN8" s="533"/>
      <c r="AO8" s="533"/>
      <c r="AP8" s="525"/>
      <c r="AQ8" s="525"/>
      <c r="AR8" s="525"/>
      <c r="AS8" s="525"/>
      <c r="AT8" s="525"/>
      <c r="AU8" s="544"/>
      <c r="AV8" s="544"/>
      <c r="AW8" s="533"/>
      <c r="AX8" s="528">
        <f t="shared" si="11"/>
        <v>0</v>
      </c>
      <c r="AY8" s="614"/>
      <c r="AZ8" s="533"/>
      <c r="BA8" s="535"/>
      <c r="BB8" s="533"/>
      <c r="BC8" s="525"/>
      <c r="BD8" s="563"/>
      <c r="BE8" s="525"/>
      <c r="BF8" s="544"/>
      <c r="BG8" s="525"/>
      <c r="BH8" s="525"/>
      <c r="BI8" s="525"/>
      <c r="BJ8" s="608"/>
      <c r="BK8" s="528">
        <f t="shared" si="14"/>
        <v>0</v>
      </c>
      <c r="BL8" s="614"/>
      <c r="BM8" s="533"/>
      <c r="BN8" s="535"/>
      <c r="BO8" s="533"/>
      <c r="BP8" s="525"/>
      <c r="BQ8" s="615"/>
      <c r="BR8" s="533"/>
      <c r="BS8" s="525"/>
      <c r="BT8" s="525"/>
      <c r="BU8" s="525"/>
      <c r="BV8" s="525"/>
      <c r="BW8" s="608"/>
      <c r="BX8" s="528">
        <f t="shared" si="15"/>
        <v>0</v>
      </c>
      <c r="BY8" s="525"/>
      <c r="BZ8" s="525"/>
      <c r="CA8" s="525"/>
      <c r="CB8" s="525"/>
      <c r="CC8" s="525"/>
      <c r="CD8" s="525"/>
      <c r="CE8" s="525"/>
      <c r="CF8" s="525"/>
      <c r="CG8" s="525"/>
      <c r="CH8" s="525"/>
      <c r="CI8" s="541"/>
      <c r="CJ8" s="563"/>
      <c r="CK8" s="528">
        <f>SUM(BY8:CJ8)</f>
        <v>0</v>
      </c>
      <c r="CL8" s="543"/>
      <c r="CM8" s="544"/>
      <c r="CN8" s="526"/>
      <c r="CO8" s="525"/>
      <c r="CP8" s="818">
        <f>(34700.63+34587+36096.75+34672.5)</f>
        <v>140056.88</v>
      </c>
      <c r="CQ8" s="619"/>
      <c r="CR8" s="619"/>
      <c r="CS8" s="525"/>
      <c r="CT8" s="525"/>
      <c r="CU8" s="525"/>
      <c r="CV8" s="525"/>
      <c r="CW8" s="525"/>
      <c r="CX8" s="528">
        <f t="shared" si="16"/>
        <v>140056.88</v>
      </c>
      <c r="CY8" s="881"/>
      <c r="CZ8" s="541"/>
      <c r="DA8" s="541"/>
      <c r="DB8" s="541"/>
      <c r="DC8" s="541"/>
      <c r="DD8" s="848"/>
      <c r="DE8" s="541"/>
      <c r="DF8" s="541"/>
      <c r="DG8" s="541"/>
      <c r="DK8" s="528">
        <f t="shared" si="17"/>
        <v>0</v>
      </c>
      <c r="DX8" s="519">
        <f t="shared" si="18"/>
        <v>0</v>
      </c>
    </row>
    <row r="9" spans="2:128" ht="15">
      <c r="B9" s="480" t="s">
        <v>557</v>
      </c>
      <c r="C9" s="512"/>
      <c r="D9" s="512"/>
      <c r="E9" s="512">
        <v>0</v>
      </c>
      <c r="F9" s="512">
        <v>0</v>
      </c>
      <c r="G9" s="512">
        <v>0</v>
      </c>
      <c r="H9" s="512">
        <v>0</v>
      </c>
      <c r="I9" s="512"/>
      <c r="J9" s="512"/>
      <c r="K9" s="512"/>
      <c r="L9" s="512"/>
      <c r="M9" s="512"/>
      <c r="N9" s="512"/>
      <c r="O9" s="514">
        <f t="shared" si="9"/>
        <v>0</v>
      </c>
      <c r="P9" s="534"/>
      <c r="Q9" s="525"/>
      <c r="R9" s="616"/>
      <c r="S9" s="616"/>
      <c r="T9" s="616"/>
      <c r="U9" s="616"/>
      <c r="V9" s="616"/>
      <c r="W9" s="544"/>
      <c r="X9" s="617"/>
      <c r="Y9" s="544"/>
      <c r="Z9" s="544"/>
      <c r="AA9" s="617"/>
      <c r="AB9" s="605">
        <f t="shared" si="10"/>
        <v>0</v>
      </c>
      <c r="AC9" s="613"/>
      <c r="AD9" s="534"/>
      <c r="AE9" s="534"/>
      <c r="AF9" s="534"/>
      <c r="AG9" s="616"/>
      <c r="AH9" s="534"/>
      <c r="AI9" s="534"/>
      <c r="AJ9" s="534"/>
      <c r="AK9" s="607">
        <f t="shared" si="13"/>
        <v>0</v>
      </c>
      <c r="AL9" s="534"/>
      <c r="AM9" s="617"/>
      <c r="AN9" s="533"/>
      <c r="AO9" s="563"/>
      <c r="AP9" s="533"/>
      <c r="AQ9" s="525"/>
      <c r="AR9" s="544"/>
      <c r="AS9" s="525"/>
      <c r="AT9" s="525"/>
      <c r="AU9" s="525"/>
      <c r="AV9" s="525"/>
      <c r="AW9" s="563"/>
      <c r="AX9" s="528">
        <f t="shared" si="11"/>
        <v>0</v>
      </c>
      <c r="AY9" s="563"/>
      <c r="AZ9" s="525"/>
      <c r="BA9" s="615"/>
      <c r="BB9" s="525"/>
      <c r="BC9" s="533"/>
      <c r="BD9" s="525"/>
      <c r="BE9" s="525"/>
      <c r="BF9" s="544"/>
      <c r="BG9" s="525"/>
      <c r="BH9" s="525"/>
      <c r="BI9" s="525"/>
      <c r="BJ9" s="525"/>
      <c r="BK9" s="528">
        <f>SUM(AY9:BJ9)</f>
        <v>0</v>
      </c>
      <c r="BL9" s="533"/>
      <c r="BM9" s="533"/>
      <c r="BN9" s="615"/>
      <c r="BO9" s="525"/>
      <c r="BP9" s="544"/>
      <c r="BQ9" s="526"/>
      <c r="BR9" s="525"/>
      <c r="BS9" s="534"/>
      <c r="BT9" s="525"/>
      <c r="BU9" s="525"/>
      <c r="BV9" s="525"/>
      <c r="BW9" s="618"/>
      <c r="BX9" s="528">
        <f t="shared" si="15"/>
        <v>0</v>
      </c>
      <c r="BY9" s="525"/>
      <c r="BZ9" s="525"/>
      <c r="CA9" s="525"/>
      <c r="CB9" s="534"/>
      <c r="CC9" s="525"/>
      <c r="CD9" s="525"/>
      <c r="CE9" s="525"/>
      <c r="CF9" s="544"/>
      <c r="CG9" s="525"/>
      <c r="CH9" s="525"/>
      <c r="CI9" s="525"/>
      <c r="CJ9" s="525"/>
      <c r="CK9" s="528">
        <f t="shared" si="12"/>
        <v>0</v>
      </c>
      <c r="CL9" s="526"/>
      <c r="CM9" s="525"/>
      <c r="CN9" s="543"/>
      <c r="CO9" s="544"/>
      <c r="CP9" s="541"/>
      <c r="CQ9" s="818">
        <f>(33646.5+34473.38+35812.12)</f>
        <v>103932</v>
      </c>
      <c r="CR9" s="525"/>
      <c r="CS9" s="619"/>
      <c r="CT9" s="525"/>
      <c r="CU9" s="525"/>
      <c r="CV9" s="525"/>
      <c r="CW9" s="525"/>
      <c r="CX9" s="528">
        <f t="shared" si="16"/>
        <v>103932</v>
      </c>
      <c r="CY9" s="881"/>
      <c r="CZ9" s="541"/>
      <c r="DA9" s="541"/>
      <c r="DB9" s="848"/>
      <c r="DC9" s="541"/>
      <c r="DD9" s="541"/>
      <c r="DE9" s="541"/>
      <c r="DF9" s="848"/>
      <c r="DG9" s="541"/>
      <c r="DK9" s="528">
        <f t="shared" si="17"/>
        <v>0</v>
      </c>
      <c r="DX9" s="519">
        <f t="shared" si="18"/>
        <v>0</v>
      </c>
    </row>
    <row r="10" spans="2:128" ht="15">
      <c r="B10" s="480" t="s">
        <v>558</v>
      </c>
      <c r="C10" s="512"/>
      <c r="D10" s="512"/>
      <c r="E10" s="512"/>
      <c r="F10" s="512"/>
      <c r="G10" s="512"/>
      <c r="H10" s="512"/>
      <c r="I10" s="512">
        <v>5000</v>
      </c>
      <c r="J10" s="512"/>
      <c r="K10" s="512"/>
      <c r="L10" s="512"/>
      <c r="M10" s="512"/>
      <c r="N10" s="512"/>
      <c r="O10" s="514">
        <f t="shared" si="9"/>
        <v>5000</v>
      </c>
      <c r="P10" s="534"/>
      <c r="Q10" s="534"/>
      <c r="R10" s="534"/>
      <c r="S10" s="534"/>
      <c r="T10" s="534"/>
      <c r="U10" s="534"/>
      <c r="V10" s="534"/>
      <c r="W10" s="544"/>
      <c r="X10" s="617"/>
      <c r="Y10" s="525"/>
      <c r="Z10" s="525"/>
      <c r="AA10" s="563"/>
      <c r="AB10" s="605">
        <f t="shared" si="10"/>
        <v>0</v>
      </c>
      <c r="AC10" s="613"/>
      <c r="AD10" s="534"/>
      <c r="AE10" s="534"/>
      <c r="AF10" s="534"/>
      <c r="AG10" s="544"/>
      <c r="AH10" s="534"/>
      <c r="AI10" s="534"/>
      <c r="AJ10" s="534"/>
      <c r="AK10" s="607">
        <f t="shared" si="13"/>
        <v>0</v>
      </c>
      <c r="AL10" s="534"/>
      <c r="AM10" s="525"/>
      <c r="AN10" s="525"/>
      <c r="AO10" s="525"/>
      <c r="AP10" s="544"/>
      <c r="AQ10" s="544"/>
      <c r="AR10" s="533"/>
      <c r="AS10" s="533"/>
      <c r="AT10" s="533"/>
      <c r="AU10" s="525"/>
      <c r="AV10" s="525"/>
      <c r="AW10" s="563"/>
      <c r="AX10" s="528">
        <f t="shared" si="11"/>
        <v>0</v>
      </c>
      <c r="AY10" s="563"/>
      <c r="AZ10" s="544"/>
      <c r="BA10" s="535"/>
      <c r="BB10" s="533"/>
      <c r="BC10" s="544"/>
      <c r="BD10" s="525"/>
      <c r="BE10" s="525"/>
      <c r="BF10" s="525"/>
      <c r="BG10" s="525"/>
      <c r="BH10" s="525"/>
      <c r="BI10" s="525"/>
      <c r="BJ10" s="608"/>
      <c r="BK10" s="528">
        <f t="shared" si="14"/>
        <v>0</v>
      </c>
      <c r="BL10" s="614"/>
      <c r="BM10" s="525"/>
      <c r="BN10" s="526"/>
      <c r="BO10" s="544"/>
      <c r="BP10" s="525"/>
      <c r="BQ10" s="526"/>
      <c r="BR10" s="525"/>
      <c r="BS10" s="544"/>
      <c r="BT10" s="525"/>
      <c r="BU10" s="525"/>
      <c r="BV10" s="525"/>
      <c r="BW10" s="608"/>
      <c r="BX10" s="528">
        <f t="shared" si="15"/>
        <v>0</v>
      </c>
      <c r="BY10" s="534"/>
      <c r="BZ10" s="525"/>
      <c r="CA10" s="525"/>
      <c r="CB10" s="544"/>
      <c r="CC10" s="525"/>
      <c r="CD10" s="619"/>
      <c r="CE10" s="525"/>
      <c r="CF10" s="525"/>
      <c r="CG10" s="525"/>
      <c r="CH10" s="525"/>
      <c r="CI10" s="541"/>
      <c r="CJ10" s="619"/>
      <c r="CK10" s="528">
        <f>SUM(BY10:CJ10)</f>
        <v>0</v>
      </c>
      <c r="CL10" s="543"/>
      <c r="CM10" s="541"/>
      <c r="CN10" s="543"/>
      <c r="CO10" s="541"/>
      <c r="CP10" s="563"/>
      <c r="CQ10" s="818">
        <f>(34985.25+35327.25+34786.13+34899.75+34957.13+34899.75)</f>
        <v>209855.26</v>
      </c>
      <c r="CR10" s="525"/>
      <c r="CS10" s="525"/>
      <c r="CT10" s="525"/>
      <c r="CU10" s="525"/>
      <c r="CV10" s="619"/>
      <c r="CW10" s="525"/>
      <c r="CX10" s="528">
        <f t="shared" si="16"/>
        <v>209855.26</v>
      </c>
      <c r="CY10" s="881"/>
      <c r="CZ10" s="541"/>
      <c r="DA10" s="541"/>
      <c r="DB10" s="848"/>
      <c r="DC10" s="541"/>
      <c r="DD10" s="541"/>
      <c r="DE10" s="541"/>
      <c r="DF10" s="541"/>
      <c r="DG10" s="541"/>
      <c r="DI10" s="612"/>
      <c r="DK10" s="528">
        <f t="shared" si="17"/>
        <v>0</v>
      </c>
      <c r="DX10" s="519">
        <f t="shared" si="18"/>
        <v>0</v>
      </c>
    </row>
    <row r="11" spans="2:128" s="821" customFormat="1" ht="15.75" thickBot="1">
      <c r="B11" s="821" t="s">
        <v>559</v>
      </c>
      <c r="C11" s="822"/>
      <c r="D11" s="822"/>
      <c r="E11" s="822"/>
      <c r="F11" s="822"/>
      <c r="G11" s="822"/>
      <c r="H11" s="822"/>
      <c r="I11" s="822"/>
      <c r="J11" s="822">
        <v>10000</v>
      </c>
      <c r="K11" s="822"/>
      <c r="L11" s="822"/>
      <c r="M11" s="822"/>
      <c r="N11" s="822"/>
      <c r="O11" s="823">
        <f t="shared" si="9"/>
        <v>10000</v>
      </c>
      <c r="P11" s="824"/>
      <c r="Q11" s="824"/>
      <c r="R11" s="824"/>
      <c r="S11" s="824"/>
      <c r="T11" s="824"/>
      <c r="U11" s="824"/>
      <c r="V11" s="824"/>
      <c r="W11" s="825"/>
      <c r="X11" s="825"/>
      <c r="Y11" s="825"/>
      <c r="Z11" s="826"/>
      <c r="AA11" s="826"/>
      <c r="AB11" s="827">
        <f t="shared" si="10"/>
        <v>0</v>
      </c>
      <c r="AC11" s="828"/>
      <c r="AD11" s="829"/>
      <c r="AE11" s="829"/>
      <c r="AF11" s="829"/>
      <c r="AG11" s="829"/>
      <c r="AH11" s="829"/>
      <c r="AI11" s="829"/>
      <c r="AJ11" s="829"/>
      <c r="AK11" s="830">
        <f t="shared" si="13"/>
        <v>0</v>
      </c>
      <c r="AL11" s="825"/>
      <c r="AM11" s="831"/>
      <c r="AN11" s="831"/>
      <c r="AO11" s="831"/>
      <c r="AP11" s="826"/>
      <c r="AQ11" s="826"/>
      <c r="AR11" s="832"/>
      <c r="AS11" s="832"/>
      <c r="AT11" s="832"/>
      <c r="AU11" s="832"/>
      <c r="AV11" s="832"/>
      <c r="AW11" s="832"/>
      <c r="AX11" s="833">
        <f t="shared" si="11"/>
        <v>0</v>
      </c>
      <c r="AY11" s="834"/>
      <c r="AZ11" s="825"/>
      <c r="BA11" s="835"/>
      <c r="BB11" s="832"/>
      <c r="BC11" s="832"/>
      <c r="BD11" s="826"/>
      <c r="BE11" s="826"/>
      <c r="BF11" s="826"/>
      <c r="BG11" s="826"/>
      <c r="BH11" s="826"/>
      <c r="BI11" s="826"/>
      <c r="BJ11" s="836"/>
      <c r="BK11" s="833">
        <f>SUM(AY11:BJ11)</f>
        <v>0</v>
      </c>
      <c r="BL11" s="825"/>
      <c r="BM11" s="832"/>
      <c r="BN11" s="837"/>
      <c r="BO11" s="832"/>
      <c r="BP11" s="832"/>
      <c r="BQ11" s="837"/>
      <c r="BR11" s="826"/>
      <c r="BS11" s="826"/>
      <c r="BT11" s="826"/>
      <c r="BU11" s="826"/>
      <c r="BV11" s="826"/>
      <c r="BW11" s="825"/>
      <c r="BX11" s="833">
        <f t="shared" si="15"/>
        <v>0</v>
      </c>
      <c r="BY11" s="838"/>
      <c r="BZ11" s="826"/>
      <c r="CA11" s="826"/>
      <c r="CB11" s="826"/>
      <c r="CC11" s="826"/>
      <c r="CD11" s="826"/>
      <c r="CE11" s="826"/>
      <c r="CF11" s="826"/>
      <c r="CG11" s="826"/>
      <c r="CH11" s="826"/>
      <c r="CI11" s="826"/>
      <c r="CJ11" s="839"/>
      <c r="CK11" s="833">
        <f t="shared" si="12"/>
        <v>0</v>
      </c>
      <c r="CL11" s="840"/>
      <c r="CM11" s="826"/>
      <c r="CN11" s="837"/>
      <c r="CO11" s="826"/>
      <c r="CP11" s="826"/>
      <c r="CQ11" s="841">
        <f>(34843.5+34387.88+35327.25+34700.63+35156.25+34216.88)</f>
        <v>208632.39</v>
      </c>
      <c r="CR11" s="826"/>
      <c r="CS11" s="826"/>
      <c r="CT11" s="826"/>
      <c r="CU11" s="826"/>
      <c r="CV11" s="826"/>
      <c r="CW11" s="839"/>
      <c r="CX11" s="833">
        <f t="shared" si="16"/>
        <v>208632.39</v>
      </c>
      <c r="CY11" s="882"/>
      <c r="CZ11" s="860"/>
      <c r="DA11" s="860"/>
      <c r="DB11" s="860"/>
      <c r="DC11" s="860"/>
      <c r="DD11" s="860"/>
      <c r="DE11" s="860"/>
      <c r="DF11" s="860"/>
      <c r="DG11" s="860"/>
      <c r="DJ11" s="842"/>
      <c r="DK11" s="528">
        <f t="shared" si="17"/>
        <v>0</v>
      </c>
      <c r="DX11" s="843">
        <f t="shared" si="18"/>
        <v>0</v>
      </c>
    </row>
    <row r="12" spans="2:128" ht="15">
      <c r="B12" s="480" t="s">
        <v>573</v>
      </c>
      <c r="C12" s="512"/>
      <c r="D12" s="512"/>
      <c r="E12" s="512"/>
      <c r="F12" s="512"/>
      <c r="G12" s="512"/>
      <c r="H12" s="512"/>
      <c r="I12" s="512"/>
      <c r="J12" s="512"/>
      <c r="K12" s="512"/>
      <c r="L12" s="512"/>
      <c r="M12" s="512"/>
      <c r="N12" s="512"/>
      <c r="O12" s="514"/>
      <c r="P12" s="534"/>
      <c r="Q12" s="534"/>
      <c r="R12" s="534"/>
      <c r="S12" s="534"/>
      <c r="T12" s="534"/>
      <c r="U12" s="534"/>
      <c r="V12" s="534"/>
      <c r="W12" s="544"/>
      <c r="X12" s="544"/>
      <c r="Y12" s="544"/>
      <c r="Z12" s="525"/>
      <c r="AA12" s="525"/>
      <c r="AB12" s="605"/>
      <c r="AC12" s="620"/>
      <c r="AD12" s="616"/>
      <c r="AE12" s="616"/>
      <c r="AF12" s="616"/>
      <c r="AG12" s="616"/>
      <c r="AH12" s="616"/>
      <c r="AI12" s="616"/>
      <c r="AJ12" s="616"/>
      <c r="AK12" s="607"/>
      <c r="AL12" s="544"/>
      <c r="AM12" s="617"/>
      <c r="AN12" s="617"/>
      <c r="AO12" s="617"/>
      <c r="AP12" s="525"/>
      <c r="AQ12" s="525"/>
      <c r="AR12" s="533"/>
      <c r="AS12" s="533"/>
      <c r="AT12" s="533"/>
      <c r="AU12" s="533"/>
      <c r="AV12" s="533"/>
      <c r="AW12" s="533"/>
      <c r="AX12" s="528"/>
      <c r="AY12" s="614"/>
      <c r="AZ12" s="544"/>
      <c r="BA12" s="535"/>
      <c r="BB12" s="533"/>
      <c r="BC12" s="533"/>
      <c r="BD12" s="525"/>
      <c r="BE12" s="525"/>
      <c r="BF12" s="525"/>
      <c r="BG12" s="525"/>
      <c r="BH12" s="525"/>
      <c r="BI12" s="525"/>
      <c r="BJ12" s="608"/>
      <c r="BK12" s="528"/>
      <c r="BL12" s="544"/>
      <c r="BM12" s="533"/>
      <c r="BN12" s="526"/>
      <c r="BO12" s="533"/>
      <c r="BP12" s="533"/>
      <c r="BQ12" s="526"/>
      <c r="BR12" s="525"/>
      <c r="BS12" s="525"/>
      <c r="BT12" s="525"/>
      <c r="BU12" s="525"/>
      <c r="BV12" s="525"/>
      <c r="BW12" s="544"/>
      <c r="BX12" s="528"/>
      <c r="BY12" s="563"/>
      <c r="BZ12" s="525"/>
      <c r="CA12" s="525"/>
      <c r="CB12" s="525"/>
      <c r="CC12" s="525"/>
      <c r="CD12" s="525"/>
      <c r="CE12" s="525"/>
      <c r="CF12" s="525"/>
      <c r="CG12" s="525"/>
      <c r="CH12" s="525"/>
      <c r="CI12" s="525"/>
      <c r="CJ12" s="619"/>
      <c r="CK12" s="528"/>
      <c r="CL12" s="615"/>
      <c r="CM12" s="525"/>
      <c r="CN12" s="526"/>
      <c r="CO12" s="525"/>
      <c r="CP12" s="525"/>
      <c r="CQ12" s="818"/>
      <c r="CR12" s="818">
        <f>(34301.97+33442.4+34274.6+34857.14)</f>
        <v>136876.10999999999</v>
      </c>
      <c r="CS12" s="525"/>
      <c r="CT12" s="525"/>
      <c r="CU12" s="525"/>
      <c r="CV12" s="525"/>
      <c r="CW12" s="619"/>
      <c r="CX12" s="528">
        <f t="shared" si="16"/>
        <v>136876.10999999999</v>
      </c>
      <c r="CY12" s="881"/>
      <c r="CZ12" s="541"/>
      <c r="DA12" s="541"/>
      <c r="DB12" s="541"/>
      <c r="DC12" s="541"/>
      <c r="DD12" s="541"/>
      <c r="DE12" s="541"/>
      <c r="DF12" s="541"/>
      <c r="DG12" s="541"/>
      <c r="DJ12" s="612"/>
      <c r="DK12" s="890">
        <f t="shared" si="17"/>
        <v>0</v>
      </c>
      <c r="DX12" s="519"/>
    </row>
    <row r="13" spans="2:128" ht="15">
      <c r="B13" s="480" t="s">
        <v>580</v>
      </c>
      <c r="C13" s="512"/>
      <c r="D13" s="512"/>
      <c r="E13" s="512"/>
      <c r="F13" s="512"/>
      <c r="G13" s="512"/>
      <c r="H13" s="512"/>
      <c r="I13" s="512"/>
      <c r="J13" s="512"/>
      <c r="K13" s="512"/>
      <c r="L13" s="512"/>
      <c r="M13" s="512"/>
      <c r="N13" s="512"/>
      <c r="O13" s="514"/>
      <c r="P13" s="534"/>
      <c r="Q13" s="534"/>
      <c r="R13" s="534"/>
      <c r="S13" s="534"/>
      <c r="T13" s="534"/>
      <c r="U13" s="534"/>
      <c r="V13" s="534"/>
      <c r="W13" s="544"/>
      <c r="X13" s="544"/>
      <c r="Y13" s="544"/>
      <c r="Z13" s="525"/>
      <c r="AA13" s="525"/>
      <c r="AB13" s="605"/>
      <c r="AC13" s="620"/>
      <c r="AD13" s="616"/>
      <c r="AE13" s="616"/>
      <c r="AF13" s="616"/>
      <c r="AG13" s="616"/>
      <c r="AH13" s="616"/>
      <c r="AI13" s="616"/>
      <c r="AJ13" s="616"/>
      <c r="AK13" s="607"/>
      <c r="AL13" s="544"/>
      <c r="AM13" s="617"/>
      <c r="AN13" s="617"/>
      <c r="AO13" s="617"/>
      <c r="AP13" s="525"/>
      <c r="AQ13" s="525"/>
      <c r="AR13" s="533"/>
      <c r="AS13" s="533"/>
      <c r="AT13" s="533"/>
      <c r="AU13" s="533"/>
      <c r="AV13" s="533"/>
      <c r="AW13" s="533"/>
      <c r="AX13" s="528"/>
      <c r="AY13" s="614"/>
      <c r="AZ13" s="544"/>
      <c r="BA13" s="535"/>
      <c r="BB13" s="533"/>
      <c r="BC13" s="533"/>
      <c r="BD13" s="525"/>
      <c r="BE13" s="525"/>
      <c r="BF13" s="525"/>
      <c r="BG13" s="525"/>
      <c r="BH13" s="525"/>
      <c r="BI13" s="525"/>
      <c r="BJ13" s="608"/>
      <c r="BK13" s="528"/>
      <c r="BL13" s="544"/>
      <c r="BM13" s="533"/>
      <c r="BN13" s="526"/>
      <c r="BO13" s="533"/>
      <c r="BP13" s="533"/>
      <c r="BQ13" s="526"/>
      <c r="BR13" s="525"/>
      <c r="BS13" s="525"/>
      <c r="BT13" s="525"/>
      <c r="BU13" s="525"/>
      <c r="BV13" s="525"/>
      <c r="BW13" s="544"/>
      <c r="BX13" s="528"/>
      <c r="BY13" s="563"/>
      <c r="BZ13" s="525"/>
      <c r="CA13" s="525"/>
      <c r="CB13" s="525"/>
      <c r="CC13" s="525"/>
      <c r="CD13" s="525"/>
      <c r="CE13" s="525"/>
      <c r="CF13" s="525"/>
      <c r="CG13" s="525"/>
      <c r="CH13" s="525"/>
      <c r="CI13" s="525"/>
      <c r="CJ13" s="619"/>
      <c r="CK13" s="528"/>
      <c r="CL13" s="615"/>
      <c r="CM13" s="525"/>
      <c r="CN13" s="526"/>
      <c r="CO13" s="525"/>
      <c r="CP13" s="525"/>
      <c r="CQ13" s="818"/>
      <c r="CR13" s="818">
        <f>(34135.53+32859.86+32915.7+33275.96+33165.36+34191.38)</f>
        <v>200543.78999999998</v>
      </c>
      <c r="CS13" s="525"/>
      <c r="CT13" s="525"/>
      <c r="CU13" s="525"/>
      <c r="CV13" s="525"/>
      <c r="CW13" s="619"/>
      <c r="CX13" s="528">
        <f t="shared" si="16"/>
        <v>200543.78999999998</v>
      </c>
      <c r="CY13" s="881"/>
      <c r="CZ13" s="541"/>
      <c r="DA13" s="541"/>
      <c r="DB13" s="541"/>
      <c r="DC13" s="541"/>
      <c r="DD13" s="541"/>
      <c r="DE13" s="541"/>
      <c r="DF13" s="541"/>
      <c r="DG13" s="541"/>
      <c r="DJ13" s="612"/>
      <c r="DK13" s="528">
        <f t="shared" si="17"/>
        <v>0</v>
      </c>
      <c r="DX13" s="519"/>
    </row>
    <row r="14" spans="2:128" ht="15">
      <c r="B14" s="480" t="s">
        <v>581</v>
      </c>
      <c r="C14" s="512"/>
      <c r="D14" s="512"/>
      <c r="E14" s="512"/>
      <c r="F14" s="512"/>
      <c r="G14" s="512"/>
      <c r="H14" s="512"/>
      <c r="I14" s="512"/>
      <c r="J14" s="512"/>
      <c r="K14" s="512"/>
      <c r="L14" s="512"/>
      <c r="M14" s="512"/>
      <c r="N14" s="512"/>
      <c r="O14" s="514"/>
      <c r="P14" s="534"/>
      <c r="Q14" s="534"/>
      <c r="R14" s="534"/>
      <c r="S14" s="534"/>
      <c r="T14" s="534"/>
      <c r="U14" s="534"/>
      <c r="V14" s="534"/>
      <c r="W14" s="544"/>
      <c r="X14" s="544"/>
      <c r="Y14" s="544"/>
      <c r="Z14" s="525"/>
      <c r="AA14" s="525"/>
      <c r="AB14" s="605"/>
      <c r="AC14" s="620"/>
      <c r="AD14" s="616"/>
      <c r="AE14" s="616"/>
      <c r="AF14" s="616"/>
      <c r="AG14" s="616"/>
      <c r="AH14" s="616"/>
      <c r="AI14" s="616"/>
      <c r="AJ14" s="616"/>
      <c r="AK14" s="607"/>
      <c r="AL14" s="544"/>
      <c r="AM14" s="617"/>
      <c r="AN14" s="617"/>
      <c r="AO14" s="617"/>
      <c r="AP14" s="525"/>
      <c r="AQ14" s="525"/>
      <c r="AR14" s="533"/>
      <c r="AS14" s="533"/>
      <c r="AT14" s="533"/>
      <c r="AU14" s="533"/>
      <c r="AV14" s="533"/>
      <c r="AW14" s="533"/>
      <c r="AX14" s="528"/>
      <c r="AY14" s="614"/>
      <c r="AZ14" s="544"/>
      <c r="BA14" s="535"/>
      <c r="BB14" s="533"/>
      <c r="BC14" s="533"/>
      <c r="BD14" s="525"/>
      <c r="BE14" s="525"/>
      <c r="BF14" s="525"/>
      <c r="BG14" s="525"/>
      <c r="BH14" s="525"/>
      <c r="BI14" s="525"/>
      <c r="BJ14" s="608"/>
      <c r="BK14" s="528"/>
      <c r="BL14" s="544"/>
      <c r="BM14" s="533"/>
      <c r="BN14" s="526"/>
      <c r="BO14" s="533"/>
      <c r="BP14" s="533"/>
      <c r="BQ14" s="526"/>
      <c r="BR14" s="525"/>
      <c r="BS14" s="525"/>
      <c r="BT14" s="525"/>
      <c r="BU14" s="525"/>
      <c r="BV14" s="525"/>
      <c r="BW14" s="544"/>
      <c r="BX14" s="528"/>
      <c r="BY14" s="563"/>
      <c r="BZ14" s="525"/>
      <c r="CA14" s="525"/>
      <c r="CB14" s="525"/>
      <c r="CC14" s="525"/>
      <c r="CD14" s="525"/>
      <c r="CE14" s="525"/>
      <c r="CF14" s="525"/>
      <c r="CG14" s="525"/>
      <c r="CH14" s="525"/>
      <c r="CI14" s="525"/>
      <c r="CJ14" s="619"/>
      <c r="CK14" s="528"/>
      <c r="CL14" s="615"/>
      <c r="CM14" s="525"/>
      <c r="CN14" s="526"/>
      <c r="CO14" s="525"/>
      <c r="CP14" s="525"/>
      <c r="CQ14" s="818"/>
      <c r="CR14" s="818">
        <f>(33331.8+34024.94+33387.65+33387.65+33886.97+34024.94+33858.5)</f>
        <v>235902.45</v>
      </c>
      <c r="CS14" s="525"/>
      <c r="CT14" s="525"/>
      <c r="CU14" s="525"/>
      <c r="CV14" s="525"/>
      <c r="CW14" s="619"/>
      <c r="CX14" s="528">
        <f t="shared" si="16"/>
        <v>235902.45</v>
      </c>
      <c r="CY14" s="881"/>
      <c r="CZ14" s="541"/>
      <c r="DA14" s="541"/>
      <c r="DB14" s="541"/>
      <c r="DC14" s="541"/>
      <c r="DD14" s="541"/>
      <c r="DE14" s="541"/>
      <c r="DF14" s="541"/>
      <c r="DG14" s="541"/>
      <c r="DJ14" s="612"/>
      <c r="DK14" s="528">
        <f t="shared" si="17"/>
        <v>0</v>
      </c>
      <c r="DX14" s="519"/>
    </row>
    <row r="15" spans="2:128" ht="15">
      <c r="B15" s="480" t="s">
        <v>584</v>
      </c>
      <c r="C15" s="512"/>
      <c r="D15" s="512"/>
      <c r="E15" s="512"/>
      <c r="F15" s="512"/>
      <c r="G15" s="512"/>
      <c r="H15" s="512"/>
      <c r="I15" s="512"/>
      <c r="J15" s="512"/>
      <c r="K15" s="512"/>
      <c r="L15" s="512"/>
      <c r="M15" s="512"/>
      <c r="N15" s="512"/>
      <c r="O15" s="514"/>
      <c r="P15" s="534"/>
      <c r="Q15" s="534"/>
      <c r="R15" s="534"/>
      <c r="S15" s="534"/>
      <c r="T15" s="534"/>
      <c r="U15" s="534"/>
      <c r="V15" s="534"/>
      <c r="W15" s="544"/>
      <c r="X15" s="544"/>
      <c r="Y15" s="544"/>
      <c r="Z15" s="525"/>
      <c r="AA15" s="525"/>
      <c r="AB15" s="605"/>
      <c r="AC15" s="620"/>
      <c r="AD15" s="616"/>
      <c r="AE15" s="616"/>
      <c r="AF15" s="616"/>
      <c r="AG15" s="616"/>
      <c r="AH15" s="616"/>
      <c r="AI15" s="616"/>
      <c r="AJ15" s="616"/>
      <c r="AK15" s="607"/>
      <c r="AL15" s="544"/>
      <c r="AM15" s="617"/>
      <c r="AN15" s="617"/>
      <c r="AO15" s="617"/>
      <c r="AP15" s="525"/>
      <c r="AQ15" s="525"/>
      <c r="AR15" s="533"/>
      <c r="AS15" s="533"/>
      <c r="AT15" s="533"/>
      <c r="AU15" s="533"/>
      <c r="AV15" s="533"/>
      <c r="AW15" s="533"/>
      <c r="AX15" s="528"/>
      <c r="AY15" s="614"/>
      <c r="AZ15" s="544"/>
      <c r="BA15" s="535"/>
      <c r="BB15" s="533"/>
      <c r="BC15" s="533"/>
      <c r="BD15" s="525"/>
      <c r="BE15" s="525"/>
      <c r="BF15" s="525"/>
      <c r="BG15" s="525"/>
      <c r="BH15" s="525"/>
      <c r="BI15" s="525"/>
      <c r="BJ15" s="608"/>
      <c r="BK15" s="528"/>
      <c r="BL15" s="544"/>
      <c r="BM15" s="533"/>
      <c r="BN15" s="526"/>
      <c r="BO15" s="533"/>
      <c r="BP15" s="533"/>
      <c r="BQ15" s="526"/>
      <c r="BR15" s="525"/>
      <c r="BS15" s="525"/>
      <c r="BT15" s="525"/>
      <c r="BU15" s="525"/>
      <c r="BV15" s="525"/>
      <c r="BW15" s="544"/>
      <c r="BX15" s="528"/>
      <c r="BY15" s="563"/>
      <c r="BZ15" s="525"/>
      <c r="CA15" s="525"/>
      <c r="CB15" s="525"/>
      <c r="CC15" s="525"/>
      <c r="CD15" s="525"/>
      <c r="CE15" s="525"/>
      <c r="CF15" s="525"/>
      <c r="CG15" s="525"/>
      <c r="CH15" s="525"/>
      <c r="CI15" s="525"/>
      <c r="CJ15" s="619"/>
      <c r="CK15" s="528"/>
      <c r="CL15" s="615"/>
      <c r="CM15" s="525"/>
      <c r="CN15" s="526"/>
      <c r="CO15" s="525"/>
      <c r="CP15" s="525"/>
      <c r="CQ15" s="818"/>
      <c r="CR15" s="818">
        <f>(34801.29+33914.34+34191.38+33831.12+34164+34274.6)</f>
        <v>205176.73</v>
      </c>
      <c r="CS15" s="525"/>
      <c r="CT15" s="525"/>
      <c r="CU15" s="525"/>
      <c r="CV15" s="525"/>
      <c r="CW15" s="619"/>
      <c r="CX15" s="528">
        <f t="shared" si="16"/>
        <v>205176.73</v>
      </c>
      <c r="CY15" s="881"/>
      <c r="CZ15" s="541"/>
      <c r="DA15" s="541"/>
      <c r="DB15" s="541"/>
      <c r="DC15" s="541"/>
      <c r="DD15" s="541"/>
      <c r="DE15" s="541"/>
      <c r="DF15" s="541"/>
      <c r="DG15" s="541"/>
      <c r="DJ15" s="612"/>
      <c r="DK15" s="528">
        <f t="shared" si="17"/>
        <v>0</v>
      </c>
      <c r="DX15" s="519"/>
    </row>
    <row r="16" spans="2:128" ht="15">
      <c r="B16" s="480" t="s">
        <v>585</v>
      </c>
      <c r="C16" s="512"/>
      <c r="D16" s="512"/>
      <c r="E16" s="512"/>
      <c r="F16" s="512"/>
      <c r="G16" s="512"/>
      <c r="H16" s="512"/>
      <c r="I16" s="512"/>
      <c r="J16" s="512"/>
      <c r="K16" s="512"/>
      <c r="L16" s="512"/>
      <c r="M16" s="512"/>
      <c r="N16" s="512"/>
      <c r="O16" s="514"/>
      <c r="P16" s="534"/>
      <c r="Q16" s="534"/>
      <c r="R16" s="534"/>
      <c r="S16" s="534"/>
      <c r="T16" s="534"/>
      <c r="U16" s="534"/>
      <c r="V16" s="534"/>
      <c r="W16" s="544"/>
      <c r="X16" s="544"/>
      <c r="Y16" s="544"/>
      <c r="Z16" s="525"/>
      <c r="AA16" s="525"/>
      <c r="AB16" s="605"/>
      <c r="AC16" s="620"/>
      <c r="AD16" s="616"/>
      <c r="AE16" s="616"/>
      <c r="AF16" s="616"/>
      <c r="AG16" s="616"/>
      <c r="AH16" s="616"/>
      <c r="AI16" s="616"/>
      <c r="AJ16" s="616"/>
      <c r="AK16" s="607"/>
      <c r="AL16" s="544"/>
      <c r="AM16" s="617"/>
      <c r="AN16" s="617"/>
      <c r="AO16" s="617"/>
      <c r="AP16" s="525"/>
      <c r="AQ16" s="525"/>
      <c r="AR16" s="533"/>
      <c r="AS16" s="533"/>
      <c r="AT16" s="533"/>
      <c r="AU16" s="533"/>
      <c r="AV16" s="533"/>
      <c r="AW16" s="533"/>
      <c r="AX16" s="528"/>
      <c r="AY16" s="614"/>
      <c r="AZ16" s="544"/>
      <c r="BA16" s="535"/>
      <c r="BB16" s="533"/>
      <c r="BC16" s="533"/>
      <c r="BD16" s="525"/>
      <c r="BE16" s="525"/>
      <c r="BF16" s="525"/>
      <c r="BG16" s="525"/>
      <c r="BH16" s="525"/>
      <c r="BI16" s="525"/>
      <c r="BJ16" s="608"/>
      <c r="BK16" s="528"/>
      <c r="BL16" s="544"/>
      <c r="BM16" s="533"/>
      <c r="BN16" s="526"/>
      <c r="BO16" s="533"/>
      <c r="BP16" s="533"/>
      <c r="BQ16" s="526"/>
      <c r="BR16" s="525"/>
      <c r="BS16" s="525"/>
      <c r="BT16" s="525"/>
      <c r="BU16" s="525"/>
      <c r="BV16" s="525"/>
      <c r="BW16" s="544"/>
      <c r="BX16" s="528"/>
      <c r="BY16" s="563"/>
      <c r="BZ16" s="525"/>
      <c r="CA16" s="525"/>
      <c r="CB16" s="525"/>
      <c r="CC16" s="525"/>
      <c r="CD16" s="525"/>
      <c r="CE16" s="525"/>
      <c r="CF16" s="525"/>
      <c r="CG16" s="525"/>
      <c r="CH16" s="525"/>
      <c r="CI16" s="525"/>
      <c r="CJ16" s="619"/>
      <c r="CK16" s="528"/>
      <c r="CL16" s="615"/>
      <c r="CM16" s="525"/>
      <c r="CN16" s="526"/>
      <c r="CO16" s="525"/>
      <c r="CP16" s="525"/>
      <c r="CQ16" s="818"/>
      <c r="CR16" s="541"/>
      <c r="CS16" s="818">
        <f>(33498.24+34773.92+34912.98+33941.72)</f>
        <v>137126.86000000002</v>
      </c>
      <c r="CT16" s="525"/>
      <c r="CU16" s="525"/>
      <c r="CV16" s="525"/>
      <c r="CW16" s="619"/>
      <c r="CX16" s="528">
        <f t="shared" si="16"/>
        <v>137126.86000000002</v>
      </c>
      <c r="CY16" s="881"/>
      <c r="CZ16" s="541"/>
      <c r="DA16" s="541"/>
      <c r="DB16" s="541"/>
      <c r="DC16" s="541"/>
      <c r="DD16" s="541"/>
      <c r="DE16" s="541"/>
      <c r="DF16" s="541"/>
      <c r="DG16" s="541"/>
      <c r="DJ16" s="612"/>
      <c r="DK16" s="528">
        <f t="shared" si="17"/>
        <v>0</v>
      </c>
      <c r="DX16" s="519"/>
    </row>
    <row r="17" spans="1:128" ht="15">
      <c r="B17" s="480" t="s">
        <v>591</v>
      </c>
      <c r="C17" s="512"/>
      <c r="D17" s="512"/>
      <c r="E17" s="512"/>
      <c r="F17" s="512"/>
      <c r="G17" s="512"/>
      <c r="H17" s="512"/>
      <c r="I17" s="512"/>
      <c r="J17" s="512"/>
      <c r="K17" s="512"/>
      <c r="L17" s="512"/>
      <c r="M17" s="512"/>
      <c r="N17" s="512"/>
      <c r="O17" s="514"/>
      <c r="P17" s="534"/>
      <c r="Q17" s="534"/>
      <c r="R17" s="534"/>
      <c r="S17" s="534"/>
      <c r="T17" s="534"/>
      <c r="U17" s="534"/>
      <c r="V17" s="534"/>
      <c r="W17" s="544"/>
      <c r="X17" s="544"/>
      <c r="Y17" s="544"/>
      <c r="Z17" s="525"/>
      <c r="AA17" s="525"/>
      <c r="AB17" s="605"/>
      <c r="AC17" s="620"/>
      <c r="AD17" s="616"/>
      <c r="AE17" s="616"/>
      <c r="AF17" s="616"/>
      <c r="AG17" s="616"/>
      <c r="AH17" s="616"/>
      <c r="AI17" s="616"/>
      <c r="AJ17" s="616"/>
      <c r="AK17" s="607"/>
      <c r="AL17" s="544"/>
      <c r="AM17" s="617"/>
      <c r="AN17" s="617"/>
      <c r="AO17" s="617"/>
      <c r="AP17" s="525"/>
      <c r="AQ17" s="525"/>
      <c r="AR17" s="533"/>
      <c r="AS17" s="533"/>
      <c r="AT17" s="533"/>
      <c r="AU17" s="533"/>
      <c r="AV17" s="533"/>
      <c r="AW17" s="533"/>
      <c r="AX17" s="528"/>
      <c r="AY17" s="614"/>
      <c r="AZ17" s="544"/>
      <c r="BA17" s="535"/>
      <c r="BB17" s="533"/>
      <c r="BC17" s="533"/>
      <c r="BD17" s="525"/>
      <c r="BE17" s="525"/>
      <c r="BF17" s="525"/>
      <c r="BG17" s="525"/>
      <c r="BH17" s="525"/>
      <c r="BI17" s="525"/>
      <c r="BJ17" s="608"/>
      <c r="BK17" s="528"/>
      <c r="BL17" s="544"/>
      <c r="BM17" s="533"/>
      <c r="BN17" s="526"/>
      <c r="BO17" s="533"/>
      <c r="BP17" s="533"/>
      <c r="BQ17" s="526"/>
      <c r="BR17" s="525"/>
      <c r="BS17" s="525"/>
      <c r="BT17" s="525"/>
      <c r="BU17" s="525"/>
      <c r="BV17" s="525"/>
      <c r="BW17" s="544"/>
      <c r="BX17" s="528"/>
      <c r="BY17" s="563"/>
      <c r="BZ17" s="525"/>
      <c r="CA17" s="525"/>
      <c r="CB17" s="525"/>
      <c r="CC17" s="525"/>
      <c r="CD17" s="525"/>
      <c r="CE17" s="525"/>
      <c r="CF17" s="525"/>
      <c r="CG17" s="525"/>
      <c r="CH17" s="525"/>
      <c r="CI17" s="525"/>
      <c r="CJ17" s="619"/>
      <c r="CK17" s="528"/>
      <c r="CL17" s="615"/>
      <c r="CM17" s="525"/>
      <c r="CN17" s="526"/>
      <c r="CO17" s="525"/>
      <c r="CP17" s="525"/>
      <c r="CQ17" s="818"/>
      <c r="CR17" s="541"/>
      <c r="CS17" s="818">
        <f>(34829.76+34912.98+34441.04+34330.44+35134.17+34829.76)</f>
        <v>208478.15000000002</v>
      </c>
      <c r="CT17" s="525"/>
      <c r="CU17" s="525"/>
      <c r="CV17" s="525"/>
      <c r="CW17" s="619"/>
      <c r="CX17" s="528">
        <f t="shared" si="16"/>
        <v>208478.15000000002</v>
      </c>
      <c r="CY17" s="881"/>
      <c r="CZ17" s="541"/>
      <c r="DA17" s="541"/>
      <c r="DB17" s="541"/>
      <c r="DC17" s="541"/>
      <c r="DD17" s="541"/>
      <c r="DE17" s="541"/>
      <c r="DF17" s="541"/>
      <c r="DG17" s="541"/>
      <c r="DJ17" s="612"/>
      <c r="DK17" s="528">
        <f t="shared" si="17"/>
        <v>0</v>
      </c>
      <c r="DX17" s="519"/>
    </row>
    <row r="18" spans="1:128" ht="15">
      <c r="B18" s="480" t="s">
        <v>592</v>
      </c>
      <c r="C18" s="512"/>
      <c r="D18" s="512"/>
      <c r="E18" s="512"/>
      <c r="F18" s="512"/>
      <c r="G18" s="512"/>
      <c r="H18" s="512"/>
      <c r="I18" s="512"/>
      <c r="J18" s="512"/>
      <c r="K18" s="512"/>
      <c r="L18" s="512"/>
      <c r="M18" s="512"/>
      <c r="N18" s="512"/>
      <c r="O18" s="514"/>
      <c r="P18" s="534"/>
      <c r="Q18" s="534"/>
      <c r="R18" s="534"/>
      <c r="S18" s="534"/>
      <c r="T18" s="534"/>
      <c r="U18" s="534"/>
      <c r="V18" s="534"/>
      <c r="W18" s="544"/>
      <c r="X18" s="544"/>
      <c r="Y18" s="544"/>
      <c r="Z18" s="525"/>
      <c r="AA18" s="525"/>
      <c r="AB18" s="605"/>
      <c r="AC18" s="620"/>
      <c r="AD18" s="616"/>
      <c r="AE18" s="616"/>
      <c r="AF18" s="616"/>
      <c r="AG18" s="616"/>
      <c r="AH18" s="616"/>
      <c r="AI18" s="616"/>
      <c r="AJ18" s="616"/>
      <c r="AK18" s="607"/>
      <c r="AL18" s="544"/>
      <c r="AM18" s="617"/>
      <c r="AN18" s="617"/>
      <c r="AO18" s="617"/>
      <c r="AP18" s="525"/>
      <c r="AQ18" s="525"/>
      <c r="AR18" s="533"/>
      <c r="AS18" s="533"/>
      <c r="AT18" s="533"/>
      <c r="AU18" s="533"/>
      <c r="AV18" s="533"/>
      <c r="AW18" s="533"/>
      <c r="AX18" s="528"/>
      <c r="AY18" s="614"/>
      <c r="AZ18" s="544"/>
      <c r="BA18" s="535"/>
      <c r="BB18" s="533"/>
      <c r="BC18" s="533"/>
      <c r="BD18" s="525"/>
      <c r="BE18" s="525"/>
      <c r="BF18" s="525"/>
      <c r="BG18" s="525"/>
      <c r="BH18" s="525"/>
      <c r="BI18" s="525"/>
      <c r="BJ18" s="608"/>
      <c r="BK18" s="528"/>
      <c r="BL18" s="544"/>
      <c r="BM18" s="533"/>
      <c r="BN18" s="526"/>
      <c r="BO18" s="533"/>
      <c r="BP18" s="533"/>
      <c r="BQ18" s="526"/>
      <c r="BR18" s="525"/>
      <c r="BS18" s="525"/>
      <c r="BT18" s="525"/>
      <c r="BU18" s="525"/>
      <c r="BV18" s="525"/>
      <c r="BW18" s="544"/>
      <c r="BX18" s="528"/>
      <c r="BY18" s="563"/>
      <c r="BZ18" s="525"/>
      <c r="CA18" s="525"/>
      <c r="CB18" s="525"/>
      <c r="CC18" s="525"/>
      <c r="CD18" s="525"/>
      <c r="CE18" s="525"/>
      <c r="CF18" s="525"/>
      <c r="CG18" s="525"/>
      <c r="CH18" s="525"/>
      <c r="CI18" s="525"/>
      <c r="CJ18" s="619"/>
      <c r="CK18" s="528"/>
      <c r="CL18" s="615"/>
      <c r="CM18" s="525"/>
      <c r="CN18" s="526"/>
      <c r="CO18" s="525"/>
      <c r="CP18" s="525"/>
      <c r="CQ18" s="818"/>
      <c r="CR18" s="850"/>
      <c r="CS18" s="818">
        <f>(33664.68+34718.07+34718.07)</f>
        <v>103100.82</v>
      </c>
      <c r="CT18" s="525"/>
      <c r="CU18" s="525"/>
      <c r="CV18" s="525"/>
      <c r="CW18" s="619"/>
      <c r="CX18" s="528">
        <f t="shared" si="16"/>
        <v>103100.82</v>
      </c>
      <c r="CY18" s="881"/>
      <c r="CZ18" s="541"/>
      <c r="DA18" s="541"/>
      <c r="DB18" s="541"/>
      <c r="DC18" s="541"/>
      <c r="DD18" s="541"/>
      <c r="DE18" s="541"/>
      <c r="DF18" s="541"/>
      <c r="DG18" s="541"/>
      <c r="DJ18" s="612"/>
      <c r="DK18" s="528">
        <f t="shared" si="17"/>
        <v>0</v>
      </c>
      <c r="DX18" s="519"/>
    </row>
    <row r="19" spans="1:128" ht="15">
      <c r="B19" s="480" t="s">
        <v>597</v>
      </c>
      <c r="C19" s="512"/>
      <c r="D19" s="512"/>
      <c r="E19" s="512"/>
      <c r="F19" s="512"/>
      <c r="G19" s="512"/>
      <c r="H19" s="512"/>
      <c r="I19" s="512"/>
      <c r="J19" s="512"/>
      <c r="K19" s="512"/>
      <c r="L19" s="512"/>
      <c r="M19" s="512"/>
      <c r="N19" s="512"/>
      <c r="O19" s="514"/>
      <c r="P19" s="534"/>
      <c r="Q19" s="534"/>
      <c r="R19" s="534"/>
      <c r="S19" s="534"/>
      <c r="T19" s="534"/>
      <c r="U19" s="534"/>
      <c r="V19" s="534"/>
      <c r="W19" s="544"/>
      <c r="X19" s="544"/>
      <c r="Y19" s="544"/>
      <c r="Z19" s="525"/>
      <c r="AA19" s="525"/>
      <c r="AB19" s="605"/>
      <c r="AC19" s="620"/>
      <c r="AD19" s="616"/>
      <c r="AE19" s="616"/>
      <c r="AF19" s="616"/>
      <c r="AG19" s="616"/>
      <c r="AH19" s="616"/>
      <c r="AI19" s="616"/>
      <c r="AJ19" s="616"/>
      <c r="AK19" s="607"/>
      <c r="AL19" s="544"/>
      <c r="AM19" s="617"/>
      <c r="AN19" s="617"/>
      <c r="AO19" s="617"/>
      <c r="AP19" s="525"/>
      <c r="AQ19" s="525"/>
      <c r="AR19" s="533"/>
      <c r="AS19" s="533"/>
      <c r="AT19" s="533"/>
      <c r="AU19" s="533"/>
      <c r="AV19" s="533"/>
      <c r="AW19" s="533"/>
      <c r="AX19" s="528"/>
      <c r="AY19" s="614"/>
      <c r="AZ19" s="544"/>
      <c r="BA19" s="535"/>
      <c r="BB19" s="533"/>
      <c r="BC19" s="533"/>
      <c r="BD19" s="525"/>
      <c r="BE19" s="525"/>
      <c r="BF19" s="525"/>
      <c r="BG19" s="525"/>
      <c r="BH19" s="525"/>
      <c r="BI19" s="525"/>
      <c r="BJ19" s="608"/>
      <c r="BK19" s="528"/>
      <c r="BL19" s="544"/>
      <c r="BM19" s="533"/>
      <c r="BN19" s="526"/>
      <c r="BO19" s="533"/>
      <c r="BP19" s="533"/>
      <c r="BQ19" s="526"/>
      <c r="BR19" s="525"/>
      <c r="BS19" s="525"/>
      <c r="BT19" s="525"/>
      <c r="BU19" s="525"/>
      <c r="BV19" s="525"/>
      <c r="BW19" s="544"/>
      <c r="BX19" s="528"/>
      <c r="BY19" s="563"/>
      <c r="BZ19" s="525"/>
      <c r="CA19" s="525"/>
      <c r="CB19" s="525"/>
      <c r="CC19" s="525"/>
      <c r="CD19" s="525"/>
      <c r="CE19" s="525"/>
      <c r="CF19" s="525"/>
      <c r="CG19" s="525"/>
      <c r="CH19" s="525"/>
      <c r="CI19" s="525"/>
      <c r="CJ19" s="619"/>
      <c r="CK19" s="528"/>
      <c r="CL19" s="615"/>
      <c r="CM19" s="525"/>
      <c r="CN19" s="526"/>
      <c r="CO19" s="525"/>
      <c r="CP19" s="525"/>
      <c r="CQ19" s="818"/>
      <c r="CR19" s="850"/>
      <c r="CS19" s="818">
        <f>(33914.34+34024.94+33858.5+33038.34+34118.01+33554.09)</f>
        <v>202508.22</v>
      </c>
      <c r="CT19" s="525"/>
      <c r="CU19" s="525"/>
      <c r="CV19" s="525"/>
      <c r="CW19" s="619"/>
      <c r="CX19" s="528">
        <f t="shared" si="16"/>
        <v>202508.22</v>
      </c>
      <c r="CY19" s="881"/>
      <c r="CZ19" s="541"/>
      <c r="DA19" s="541"/>
      <c r="DB19" s="541"/>
      <c r="DC19" s="541"/>
      <c r="DD19" s="541"/>
      <c r="DE19" s="541"/>
      <c r="DF19" s="541"/>
      <c r="DG19" s="541"/>
      <c r="DJ19" s="612"/>
      <c r="DK19" s="528">
        <f t="shared" si="17"/>
        <v>0</v>
      </c>
      <c r="DX19" s="519"/>
    </row>
    <row r="20" spans="1:128" s="821" customFormat="1" ht="15.75" thickBot="1">
      <c r="B20" s="821" t="s">
        <v>598</v>
      </c>
      <c r="C20" s="822"/>
      <c r="D20" s="822"/>
      <c r="E20" s="822"/>
      <c r="F20" s="822"/>
      <c r="G20" s="822"/>
      <c r="H20" s="822"/>
      <c r="I20" s="822"/>
      <c r="J20" s="822"/>
      <c r="K20" s="822"/>
      <c r="L20" s="822"/>
      <c r="M20" s="822"/>
      <c r="N20" s="822"/>
      <c r="O20" s="823"/>
      <c r="P20" s="824"/>
      <c r="Q20" s="824"/>
      <c r="R20" s="824"/>
      <c r="S20" s="824"/>
      <c r="T20" s="824"/>
      <c r="U20" s="824"/>
      <c r="V20" s="824"/>
      <c r="W20" s="825"/>
      <c r="X20" s="825"/>
      <c r="Y20" s="825"/>
      <c r="Z20" s="826"/>
      <c r="AA20" s="826"/>
      <c r="AB20" s="827"/>
      <c r="AC20" s="828"/>
      <c r="AD20" s="829"/>
      <c r="AE20" s="829"/>
      <c r="AF20" s="829"/>
      <c r="AG20" s="829"/>
      <c r="AH20" s="829"/>
      <c r="AI20" s="829"/>
      <c r="AJ20" s="829"/>
      <c r="AK20" s="830"/>
      <c r="AL20" s="825"/>
      <c r="AM20" s="831"/>
      <c r="AN20" s="831"/>
      <c r="AO20" s="831"/>
      <c r="AP20" s="826"/>
      <c r="AQ20" s="826"/>
      <c r="AR20" s="832"/>
      <c r="AS20" s="832"/>
      <c r="AT20" s="832"/>
      <c r="AU20" s="832"/>
      <c r="AV20" s="832"/>
      <c r="AW20" s="832"/>
      <c r="AX20" s="833"/>
      <c r="AY20" s="834"/>
      <c r="AZ20" s="825"/>
      <c r="BA20" s="835"/>
      <c r="BB20" s="832"/>
      <c r="BC20" s="832"/>
      <c r="BD20" s="826"/>
      <c r="BE20" s="826"/>
      <c r="BF20" s="826"/>
      <c r="BG20" s="826"/>
      <c r="BH20" s="826"/>
      <c r="BI20" s="826"/>
      <c r="BJ20" s="836"/>
      <c r="BK20" s="833"/>
      <c r="BL20" s="825"/>
      <c r="BM20" s="832"/>
      <c r="BN20" s="837"/>
      <c r="BO20" s="832"/>
      <c r="BP20" s="832"/>
      <c r="BQ20" s="837"/>
      <c r="BR20" s="826"/>
      <c r="BS20" s="826"/>
      <c r="BT20" s="826"/>
      <c r="BU20" s="826"/>
      <c r="BV20" s="826"/>
      <c r="BW20" s="825"/>
      <c r="BX20" s="833"/>
      <c r="BY20" s="838"/>
      <c r="BZ20" s="826"/>
      <c r="CA20" s="826"/>
      <c r="CB20" s="826"/>
      <c r="CC20" s="826"/>
      <c r="CD20" s="826"/>
      <c r="CE20" s="826"/>
      <c r="CF20" s="826"/>
      <c r="CG20" s="826"/>
      <c r="CH20" s="826"/>
      <c r="CI20" s="826"/>
      <c r="CJ20" s="839"/>
      <c r="CK20" s="833"/>
      <c r="CL20" s="840"/>
      <c r="CM20" s="826"/>
      <c r="CN20" s="837"/>
      <c r="CO20" s="826"/>
      <c r="CP20" s="826"/>
      <c r="CQ20" s="841"/>
      <c r="CR20" s="858"/>
      <c r="CS20" s="841">
        <f>(35161.55+34080.78+34829.76+33775.28+34330.44+34829.76)</f>
        <v>207007.57</v>
      </c>
      <c r="CT20" s="826"/>
      <c r="CU20" s="826"/>
      <c r="CV20" s="826"/>
      <c r="CW20" s="839"/>
      <c r="CX20" s="833">
        <f t="shared" si="16"/>
        <v>207007.57</v>
      </c>
      <c r="CY20" s="882"/>
      <c r="CZ20" s="860"/>
      <c r="DA20" s="860"/>
      <c r="DB20" s="860"/>
      <c r="DC20" s="860"/>
      <c r="DD20" s="860"/>
      <c r="DE20" s="860"/>
      <c r="DF20" s="860"/>
      <c r="DG20" s="860"/>
      <c r="DJ20" s="842"/>
      <c r="DK20" s="790">
        <f t="shared" si="17"/>
        <v>0</v>
      </c>
      <c r="DX20" s="843"/>
    </row>
    <row r="21" spans="1:128" s="821" customFormat="1" ht="15.75" thickBot="1">
      <c r="B21" s="821" t="s">
        <v>619</v>
      </c>
      <c r="C21" s="822"/>
      <c r="D21" s="822"/>
      <c r="E21" s="822"/>
      <c r="F21" s="822"/>
      <c r="G21" s="822"/>
      <c r="H21" s="822"/>
      <c r="I21" s="822"/>
      <c r="J21" s="822"/>
      <c r="K21" s="822"/>
      <c r="L21" s="822"/>
      <c r="M21" s="822"/>
      <c r="N21" s="822"/>
      <c r="O21" s="823">
        <f t="shared" si="9"/>
        <v>0</v>
      </c>
      <c r="P21" s="824"/>
      <c r="Q21" s="824"/>
      <c r="R21" s="824"/>
      <c r="S21" s="824"/>
      <c r="T21" s="824"/>
      <c r="U21" s="824"/>
      <c r="V21" s="824"/>
      <c r="W21" s="825"/>
      <c r="X21" s="826"/>
      <c r="Y21" s="826"/>
      <c r="Z21" s="826"/>
      <c r="AA21" s="826"/>
      <c r="AB21" s="827">
        <f t="shared" si="10"/>
        <v>0</v>
      </c>
      <c r="AC21" s="828"/>
      <c r="AD21" s="829"/>
      <c r="AE21" s="824"/>
      <c r="AF21" s="824"/>
      <c r="AG21" s="824"/>
      <c r="AH21" s="824"/>
      <c r="AI21" s="825"/>
      <c r="AJ21" s="829"/>
      <c r="AK21" s="830">
        <f t="shared" si="13"/>
        <v>0</v>
      </c>
      <c r="AL21" s="829"/>
      <c r="AM21" s="831"/>
      <c r="AN21" s="831"/>
      <c r="AO21" s="831"/>
      <c r="AP21" s="826"/>
      <c r="AQ21" s="826"/>
      <c r="AR21" s="825"/>
      <c r="AS21" s="832"/>
      <c r="AT21" s="832"/>
      <c r="AU21" s="832"/>
      <c r="AV21" s="832"/>
      <c r="AW21" s="832"/>
      <c r="AX21" s="833">
        <f t="shared" si="11"/>
        <v>0</v>
      </c>
      <c r="AY21" s="834"/>
      <c r="AZ21" s="832"/>
      <c r="BA21" s="835"/>
      <c r="BB21" s="832"/>
      <c r="BC21" s="832"/>
      <c r="BD21" s="826"/>
      <c r="BE21" s="825"/>
      <c r="BF21" s="826"/>
      <c r="BG21" s="826"/>
      <c r="BH21" s="826"/>
      <c r="BI21" s="826"/>
      <c r="BJ21" s="836"/>
      <c r="BK21" s="833">
        <f t="shared" ref="BK21:BK83" si="19">SUM(AY21:BJ21)</f>
        <v>0</v>
      </c>
      <c r="BL21" s="834"/>
      <c r="BM21" s="832"/>
      <c r="BN21" s="835"/>
      <c r="BO21" s="832"/>
      <c r="BP21" s="832"/>
      <c r="BQ21" s="837"/>
      <c r="BR21" s="825"/>
      <c r="BS21" s="826"/>
      <c r="BT21" s="826"/>
      <c r="BU21" s="826"/>
      <c r="BV21" s="826"/>
      <c r="BW21" s="836"/>
      <c r="BX21" s="833">
        <f t="shared" si="15"/>
        <v>0</v>
      </c>
      <c r="BY21" s="826"/>
      <c r="BZ21" s="826"/>
      <c r="CA21" s="826"/>
      <c r="CB21" s="826"/>
      <c r="CC21" s="826"/>
      <c r="CD21" s="825"/>
      <c r="CE21" s="826"/>
      <c r="CF21" s="826"/>
      <c r="CG21" s="826"/>
      <c r="CH21" s="826"/>
      <c r="CI21" s="826"/>
      <c r="CJ21" s="826"/>
      <c r="CK21" s="833">
        <f t="shared" si="12"/>
        <v>0</v>
      </c>
      <c r="CL21" s="837"/>
      <c r="CM21" s="826"/>
      <c r="CN21" s="837"/>
      <c r="CO21" s="826"/>
      <c r="CP21" s="888"/>
      <c r="CQ21" s="889"/>
      <c r="CR21" s="826"/>
      <c r="CS21" s="826"/>
      <c r="CT21" s="826"/>
      <c r="CU21" s="826"/>
      <c r="CV21" s="825">
        <f>(957.48*1018)*1.1</f>
        <v>1072186.1040000001</v>
      </c>
      <c r="CW21" s="825">
        <f>(957.48*1018)*1.21</f>
        <v>1179404.7143999999</v>
      </c>
      <c r="CX21" s="833">
        <f t="shared" si="16"/>
        <v>2251590.8184000002</v>
      </c>
      <c r="CY21" s="825">
        <f>-(957.48*1018)*1.1</f>
        <v>-1072186.1040000001</v>
      </c>
      <c r="CZ21" s="860"/>
      <c r="DA21" s="860"/>
      <c r="DB21" s="860"/>
      <c r="DC21" s="860"/>
      <c r="DD21" s="956"/>
      <c r="DE21" s="860"/>
      <c r="DF21" s="860"/>
      <c r="DG21" s="860"/>
      <c r="DK21" s="833">
        <f t="shared" si="17"/>
        <v>-1072186.1040000001</v>
      </c>
      <c r="DX21" s="843">
        <f t="shared" si="18"/>
        <v>0</v>
      </c>
    </row>
    <row r="22" spans="1:128" s="913" customFormat="1" ht="15.75" thickBot="1">
      <c r="B22" s="914" t="s">
        <v>619</v>
      </c>
      <c r="C22" s="915"/>
      <c r="D22" s="915"/>
      <c r="E22" s="915"/>
      <c r="F22" s="915"/>
      <c r="G22" s="915"/>
      <c r="H22" s="915"/>
      <c r="I22" s="915"/>
      <c r="J22" s="915"/>
      <c r="K22" s="915"/>
      <c r="L22" s="915"/>
      <c r="M22" s="915"/>
      <c r="N22" s="915"/>
      <c r="O22" s="916">
        <f t="shared" si="9"/>
        <v>0</v>
      </c>
      <c r="P22" s="917"/>
      <c r="Q22" s="917"/>
      <c r="R22" s="917"/>
      <c r="S22" s="917"/>
      <c r="T22" s="917"/>
      <c r="U22" s="917"/>
      <c r="V22" s="917"/>
      <c r="W22" s="918"/>
      <c r="X22" s="919"/>
      <c r="Y22" s="919"/>
      <c r="Z22" s="919"/>
      <c r="AA22" s="919"/>
      <c r="AB22" s="920">
        <f t="shared" si="10"/>
        <v>0</v>
      </c>
      <c r="AC22" s="921"/>
      <c r="AD22" s="918"/>
      <c r="AE22" s="922"/>
      <c r="AF22" s="922"/>
      <c r="AG22" s="922"/>
      <c r="AH22" s="922"/>
      <c r="AI22" s="917"/>
      <c r="AJ22" s="918"/>
      <c r="AK22" s="923">
        <f t="shared" si="13"/>
        <v>0</v>
      </c>
      <c r="AL22" s="922"/>
      <c r="AM22" s="924"/>
      <c r="AN22" s="924"/>
      <c r="AO22" s="924"/>
      <c r="AP22" s="919"/>
      <c r="AQ22" s="918"/>
      <c r="AR22" s="925"/>
      <c r="AS22" s="925"/>
      <c r="AT22" s="925"/>
      <c r="AU22" s="925"/>
      <c r="AV22" s="919"/>
      <c r="AW22" s="926"/>
      <c r="AX22" s="927">
        <f t="shared" si="11"/>
        <v>0</v>
      </c>
      <c r="AY22" s="918"/>
      <c r="AZ22" s="925"/>
      <c r="BA22" s="928"/>
      <c r="BB22" s="925"/>
      <c r="BC22" s="919"/>
      <c r="BD22" s="919"/>
      <c r="BE22" s="919"/>
      <c r="BF22" s="918"/>
      <c r="BG22" s="919"/>
      <c r="BH22" s="919"/>
      <c r="BI22" s="919"/>
      <c r="BJ22" s="918"/>
      <c r="BK22" s="927">
        <f>SUM(AY22:BJ22)</f>
        <v>0</v>
      </c>
      <c r="BL22" s="929"/>
      <c r="BM22" s="925"/>
      <c r="BN22" s="928"/>
      <c r="BO22" s="925"/>
      <c r="BP22" s="919"/>
      <c r="BQ22" s="930"/>
      <c r="BR22" s="919"/>
      <c r="BS22" s="919"/>
      <c r="BT22" s="919"/>
      <c r="BU22" s="919"/>
      <c r="BV22" s="918"/>
      <c r="BW22" s="931"/>
      <c r="BX22" s="927">
        <f t="shared" si="15"/>
        <v>0</v>
      </c>
      <c r="BY22" s="919"/>
      <c r="BZ22" s="919"/>
      <c r="CA22" s="919"/>
      <c r="CB22" s="919"/>
      <c r="CC22" s="919"/>
      <c r="CD22" s="932"/>
      <c r="CE22" s="932"/>
      <c r="CF22" s="932"/>
      <c r="CG22" s="932"/>
      <c r="CH22" s="932"/>
      <c r="CI22" s="932"/>
      <c r="CJ22" s="919"/>
      <c r="CK22" s="927">
        <f t="shared" si="12"/>
        <v>0</v>
      </c>
      <c r="CL22" s="933"/>
      <c r="CM22" s="919"/>
      <c r="CN22" s="933"/>
      <c r="CO22" s="919"/>
      <c r="CP22" s="934"/>
      <c r="CQ22" s="935"/>
      <c r="CR22" s="935"/>
      <c r="CS22" s="935"/>
      <c r="CT22" s="935"/>
      <c r="CU22" s="935"/>
      <c r="CV22" s="935"/>
      <c r="CW22" s="934"/>
      <c r="CX22" s="927">
        <f t="shared" si="16"/>
        <v>0</v>
      </c>
      <c r="CY22" s="942"/>
      <c r="CZ22" s="941"/>
      <c r="DA22" s="955">
        <f>((25460+24740+25080+25140+25100+24880+24340+25460+25780+24340+25460+25160+25840+24980+25300+24640+24260+25300+25780+25380+25480+25160+24520+24120+25540+26560+25560+24340+8700+16040+25860+25860+24200+26260+24920+25300+24980+25920+24400+25400+25640+26120+25960+24340+25440+25500+24680)*1.12606)*1.21</f>
        <v>1579475.0405720002</v>
      </c>
      <c r="DB22" s="941"/>
      <c r="DC22" s="941"/>
      <c r="DD22" s="941"/>
      <c r="DE22" s="941"/>
      <c r="DF22" s="941"/>
      <c r="DG22" s="941"/>
      <c r="DK22" s="927">
        <f t="shared" si="17"/>
        <v>1579475.0405720002</v>
      </c>
      <c r="DX22" s="936">
        <f t="shared" si="18"/>
        <v>0</v>
      </c>
    </row>
    <row r="23" spans="1:128" s="913" customFormat="1" ht="15.75" thickBot="1">
      <c r="B23" s="914" t="s">
        <v>619</v>
      </c>
      <c r="C23" s="915"/>
      <c r="D23" s="915"/>
      <c r="E23" s="915"/>
      <c r="F23" s="915"/>
      <c r="G23" s="915">
        <v>0</v>
      </c>
      <c r="H23" s="915">
        <v>5000</v>
      </c>
      <c r="I23" s="915"/>
      <c r="J23" s="915"/>
      <c r="K23" s="915"/>
      <c r="L23" s="915"/>
      <c r="M23" s="915"/>
      <c r="N23" s="915"/>
      <c r="O23" s="916">
        <f t="shared" si="9"/>
        <v>5000</v>
      </c>
      <c r="P23" s="917"/>
      <c r="Q23" s="917"/>
      <c r="R23" s="917"/>
      <c r="S23" s="917"/>
      <c r="T23" s="917"/>
      <c r="U23" s="917"/>
      <c r="V23" s="917"/>
      <c r="W23" s="918"/>
      <c r="X23" s="917"/>
      <c r="Y23" s="919"/>
      <c r="Z23" s="919"/>
      <c r="AA23" s="919"/>
      <c r="AB23" s="920">
        <f t="shared" si="10"/>
        <v>0</v>
      </c>
      <c r="AC23" s="937"/>
      <c r="AD23" s="917"/>
      <c r="AE23" s="922"/>
      <c r="AF23" s="922"/>
      <c r="AG23" s="922"/>
      <c r="AH23" s="917"/>
      <c r="AI23" s="917"/>
      <c r="AJ23" s="917"/>
      <c r="AK23" s="923">
        <f t="shared" si="13"/>
        <v>0</v>
      </c>
      <c r="AL23" s="922"/>
      <c r="AM23" s="924"/>
      <c r="AN23" s="924"/>
      <c r="AO23" s="924"/>
      <c r="AP23" s="919"/>
      <c r="AQ23" s="925"/>
      <c r="AR23" s="925"/>
      <c r="AS23" s="925"/>
      <c r="AT23" s="925"/>
      <c r="AU23" s="925"/>
      <c r="AV23" s="925"/>
      <c r="AW23" s="925"/>
      <c r="AX23" s="927">
        <f t="shared" si="11"/>
        <v>0</v>
      </c>
      <c r="AY23" s="929"/>
      <c r="AZ23" s="925"/>
      <c r="BA23" s="928"/>
      <c r="BB23" s="925"/>
      <c r="BC23" s="925"/>
      <c r="BD23" s="919"/>
      <c r="BE23" s="919"/>
      <c r="BF23" s="919"/>
      <c r="BG23" s="919"/>
      <c r="BH23" s="919"/>
      <c r="BI23" s="919"/>
      <c r="BJ23" s="931"/>
      <c r="BK23" s="927">
        <f t="shared" si="19"/>
        <v>0</v>
      </c>
      <c r="BL23" s="929"/>
      <c r="BM23" s="925"/>
      <c r="BN23" s="928"/>
      <c r="BO23" s="925"/>
      <c r="BP23" s="925"/>
      <c r="BQ23" s="933"/>
      <c r="BR23" s="919"/>
      <c r="BS23" s="919"/>
      <c r="BT23" s="919"/>
      <c r="BU23" s="919"/>
      <c r="BV23" s="919"/>
      <c r="BW23" s="931"/>
      <c r="BX23" s="927">
        <f t="shared" si="15"/>
        <v>0</v>
      </c>
      <c r="BY23" s="919"/>
      <c r="BZ23" s="919"/>
      <c r="CA23" s="919"/>
      <c r="CB23" s="919"/>
      <c r="CC23" s="919"/>
      <c r="CD23" s="919"/>
      <c r="CE23" s="919"/>
      <c r="CF23" s="919"/>
      <c r="CG23" s="919"/>
      <c r="CH23" s="919"/>
      <c r="CI23" s="919"/>
      <c r="CJ23" s="919"/>
      <c r="CK23" s="927">
        <f t="shared" si="12"/>
        <v>0</v>
      </c>
      <c r="CL23" s="933"/>
      <c r="CM23" s="919"/>
      <c r="CN23" s="933"/>
      <c r="CO23" s="919"/>
      <c r="CP23" s="934"/>
      <c r="CQ23" s="934"/>
      <c r="CR23" s="934"/>
      <c r="CS23" s="934"/>
      <c r="CT23" s="934"/>
      <c r="CU23" s="934"/>
      <c r="CV23" s="934"/>
      <c r="CW23" s="934"/>
      <c r="CX23" s="927">
        <f t="shared" si="16"/>
        <v>0</v>
      </c>
      <c r="CY23" s="942"/>
      <c r="CZ23" s="941"/>
      <c r="DA23" s="941"/>
      <c r="DB23" s="941"/>
      <c r="DC23" s="919"/>
      <c r="DD23" s="941"/>
      <c r="DE23" s="941"/>
      <c r="DF23" s="941"/>
      <c r="DG23" s="941"/>
      <c r="DH23" s="934">
        <f>1140.5*61*1.21</f>
        <v>84180.304999999993</v>
      </c>
      <c r="DK23" s="927">
        <f t="shared" si="17"/>
        <v>84180.304999999993</v>
      </c>
      <c r="DX23" s="936">
        <f t="shared" si="18"/>
        <v>0</v>
      </c>
    </row>
    <row r="24" spans="1:128" ht="15">
      <c r="B24" s="589" t="s">
        <v>652</v>
      </c>
      <c r="C24" s="512"/>
      <c r="D24" s="512"/>
      <c r="E24" s="512"/>
      <c r="F24" s="512"/>
      <c r="G24" s="512"/>
      <c r="H24" s="512"/>
      <c r="I24" s="512"/>
      <c r="J24" s="512"/>
      <c r="K24" s="512"/>
      <c r="L24" s="512"/>
      <c r="M24" s="512"/>
      <c r="N24" s="512"/>
      <c r="O24" s="514">
        <f t="shared" si="9"/>
        <v>0</v>
      </c>
      <c r="P24" s="534"/>
      <c r="Q24" s="534"/>
      <c r="R24" s="534"/>
      <c r="S24" s="544"/>
      <c r="T24" s="534"/>
      <c r="U24" s="534"/>
      <c r="V24" s="534"/>
      <c r="W24" s="544"/>
      <c r="X24" s="525"/>
      <c r="Y24" s="525"/>
      <c r="Z24" s="525"/>
      <c r="AA24" s="525"/>
      <c r="AB24" s="605">
        <f t="shared" si="10"/>
        <v>0</v>
      </c>
      <c r="AC24" s="620"/>
      <c r="AD24" s="616"/>
      <c r="AE24" s="616"/>
      <c r="AF24" s="534"/>
      <c r="AG24" s="534"/>
      <c r="AH24" s="534"/>
      <c r="AI24" s="544"/>
      <c r="AJ24" s="616"/>
      <c r="AK24" s="607">
        <f t="shared" si="13"/>
        <v>0</v>
      </c>
      <c r="AL24" s="616"/>
      <c r="AM24" s="617"/>
      <c r="AN24" s="617"/>
      <c r="AO24" s="617"/>
      <c r="AP24" s="525"/>
      <c r="AQ24" s="533"/>
      <c r="AR24" s="533"/>
      <c r="AS24" s="525"/>
      <c r="AT24" s="525"/>
      <c r="AU24" s="533"/>
      <c r="AV24" s="525"/>
      <c r="AW24" s="533"/>
      <c r="AX24" s="528">
        <f t="shared" si="11"/>
        <v>0</v>
      </c>
      <c r="AY24" s="525"/>
      <c r="AZ24" s="533"/>
      <c r="BA24" s="526"/>
      <c r="BB24" s="544"/>
      <c r="BC24" s="533"/>
      <c r="BD24" s="525"/>
      <c r="BE24" s="525"/>
      <c r="BF24" s="525"/>
      <c r="BG24" s="533"/>
      <c r="BH24" s="525"/>
      <c r="BI24" s="525"/>
      <c r="BJ24" s="608"/>
      <c r="BK24" s="528">
        <f>SUM(AY24:BJ24)</f>
        <v>0</v>
      </c>
      <c r="BL24" s="614"/>
      <c r="BM24" s="533"/>
      <c r="BN24" s="535"/>
      <c r="BO24" s="533"/>
      <c r="BP24" s="533"/>
      <c r="BQ24" s="526"/>
      <c r="BR24" s="525"/>
      <c r="BS24" s="525"/>
      <c r="BT24" s="525"/>
      <c r="BU24" s="533"/>
      <c r="BV24" s="525"/>
      <c r="BW24" s="563"/>
      <c r="BX24" s="528">
        <f>SUM(BL24:BW24)</f>
        <v>0</v>
      </c>
      <c r="BY24" s="544"/>
      <c r="BZ24" s="525"/>
      <c r="CA24" s="525"/>
      <c r="CB24" s="525"/>
      <c r="CC24" s="525"/>
      <c r="CD24" s="525"/>
      <c r="CE24" s="525"/>
      <c r="CF24" s="525"/>
      <c r="CG24" s="544"/>
      <c r="CH24" s="525"/>
      <c r="CI24" s="525"/>
      <c r="CJ24" s="525"/>
      <c r="CK24" s="528">
        <f t="shared" si="12"/>
        <v>0</v>
      </c>
      <c r="CL24" s="526"/>
      <c r="CM24" s="525"/>
      <c r="CN24" s="526"/>
      <c r="CO24" s="525"/>
      <c r="CP24" s="527"/>
      <c r="CQ24" s="527"/>
      <c r="CR24" s="527"/>
      <c r="CS24" s="527"/>
      <c r="CT24" s="527"/>
      <c r="CU24" s="527"/>
      <c r="CV24" s="527"/>
      <c r="CW24" s="610"/>
      <c r="CX24" s="528">
        <f t="shared" si="16"/>
        <v>0</v>
      </c>
      <c r="CY24" s="611"/>
      <c r="DA24" s="541"/>
      <c r="DB24" s="544">
        <f>(244.861*955)</f>
        <v>233842.255</v>
      </c>
      <c r="DC24" s="541"/>
      <c r="DD24" s="541"/>
      <c r="DE24" s="541"/>
      <c r="DF24" s="541"/>
      <c r="DG24" s="541"/>
      <c r="DJ24" s="612"/>
      <c r="DK24" s="528">
        <f t="shared" si="17"/>
        <v>233842.255</v>
      </c>
      <c r="DX24" s="519">
        <f t="shared" si="18"/>
        <v>0</v>
      </c>
    </row>
    <row r="25" spans="1:128" ht="15">
      <c r="B25" s="589" t="s">
        <v>652</v>
      </c>
      <c r="C25" s="512"/>
      <c r="D25" s="512"/>
      <c r="E25" s="512"/>
      <c r="F25" s="512"/>
      <c r="G25" s="512"/>
      <c r="H25" s="512"/>
      <c r="I25" s="512"/>
      <c r="J25" s="512"/>
      <c r="K25" s="512"/>
      <c r="L25" s="512"/>
      <c r="M25" s="512"/>
      <c r="N25" s="512"/>
      <c r="O25" s="514">
        <f t="shared" si="9"/>
        <v>0</v>
      </c>
      <c r="P25" s="534"/>
      <c r="Q25" s="544"/>
      <c r="R25" s="534"/>
      <c r="S25" s="534"/>
      <c r="T25" s="534"/>
      <c r="U25" s="534"/>
      <c r="V25" s="534"/>
      <c r="W25" s="544"/>
      <c r="X25" s="525"/>
      <c r="Y25" s="525"/>
      <c r="Z25" s="525"/>
      <c r="AA25" s="525"/>
      <c r="AB25" s="605">
        <f t="shared" si="10"/>
        <v>0</v>
      </c>
      <c r="AC25" s="609"/>
      <c r="AD25" s="534"/>
      <c r="AE25" s="616"/>
      <c r="AF25" s="616"/>
      <c r="AG25" s="616"/>
      <c r="AH25" s="616"/>
      <c r="AI25" s="616"/>
      <c r="AJ25" s="616"/>
      <c r="AK25" s="607">
        <f t="shared" si="13"/>
        <v>0</v>
      </c>
      <c r="AL25" s="616"/>
      <c r="AM25" s="617"/>
      <c r="AN25" s="563"/>
      <c r="AO25" s="617"/>
      <c r="AP25" s="525"/>
      <c r="AQ25" s="525"/>
      <c r="AR25" s="525"/>
      <c r="AS25" s="525"/>
      <c r="AT25" s="525"/>
      <c r="AU25" s="525"/>
      <c r="AV25" s="525"/>
      <c r="AW25" s="533"/>
      <c r="AX25" s="528">
        <f t="shared" si="11"/>
        <v>0</v>
      </c>
      <c r="AY25" s="614"/>
      <c r="AZ25" s="533"/>
      <c r="BA25" s="535"/>
      <c r="BB25" s="533"/>
      <c r="BC25" s="533"/>
      <c r="BD25" s="533"/>
      <c r="BE25" s="525"/>
      <c r="BF25" s="525"/>
      <c r="BG25" s="525"/>
      <c r="BH25" s="525"/>
      <c r="BI25" s="525"/>
      <c r="BJ25" s="608"/>
      <c r="BK25" s="528">
        <f t="shared" si="19"/>
        <v>0</v>
      </c>
      <c r="BL25" s="614"/>
      <c r="BM25" s="533"/>
      <c r="BN25" s="535"/>
      <c r="BO25" s="533"/>
      <c r="BP25" s="533"/>
      <c r="BQ25" s="535"/>
      <c r="BR25" s="525"/>
      <c r="BS25" s="525"/>
      <c r="BT25" s="525"/>
      <c r="BU25" s="525"/>
      <c r="BV25" s="525"/>
      <c r="BW25" s="608"/>
      <c r="BX25" s="528">
        <f t="shared" si="15"/>
        <v>0</v>
      </c>
      <c r="BY25" s="525"/>
      <c r="BZ25" s="525"/>
      <c r="CA25" s="525"/>
      <c r="CB25" s="525"/>
      <c r="CC25" s="525"/>
      <c r="CD25" s="525"/>
      <c r="CE25" s="525"/>
      <c r="CF25" s="525"/>
      <c r="CG25" s="525"/>
      <c r="CH25" s="525"/>
      <c r="CI25" s="525"/>
      <c r="CJ25" s="525"/>
      <c r="CK25" s="528">
        <f t="shared" si="12"/>
        <v>0</v>
      </c>
      <c r="CL25" s="526"/>
      <c r="CM25" s="525"/>
      <c r="CN25" s="526"/>
      <c r="CO25" s="525"/>
      <c r="CP25" s="527"/>
      <c r="CQ25" s="527"/>
      <c r="CR25" s="527"/>
      <c r="CS25" s="527"/>
      <c r="CT25" s="527"/>
      <c r="CU25" s="527"/>
      <c r="CV25" s="527"/>
      <c r="CW25" s="527"/>
      <c r="CX25" s="528">
        <f t="shared" si="16"/>
        <v>0</v>
      </c>
      <c r="CY25" s="611"/>
      <c r="DA25" s="541"/>
      <c r="DB25" s="541"/>
      <c r="DC25" s="525"/>
      <c r="DD25" s="534">
        <f>(30111+30972+31174+30389+31174)*0.94</f>
        <v>144590.79999999999</v>
      </c>
      <c r="DE25" s="534">
        <f>(30693+31073+30592)*0.94+30693*0.94</f>
        <v>115667.93999999999</v>
      </c>
      <c r="DF25" s="534">
        <f>940/1000*(31225+31225+30668)+(31225+30769)*0.94</f>
        <v>145805.28</v>
      </c>
      <c r="DG25" s="534">
        <f>(29706+30820+30288)*0.94</f>
        <v>85365.159999999989</v>
      </c>
      <c r="DH25" s="782">
        <f>(30440+31174+31402)*0.94</f>
        <v>87435.04</v>
      </c>
      <c r="DI25" s="527">
        <f t="shared" ref="DI25:DP25" si="20">940*125</f>
        <v>117500</v>
      </c>
      <c r="DJ25" s="527">
        <f t="shared" si="20"/>
        <v>117500</v>
      </c>
      <c r="DK25" s="528">
        <f t="shared" si="17"/>
        <v>813864.22</v>
      </c>
      <c r="DL25" s="527">
        <f t="shared" si="20"/>
        <v>117500</v>
      </c>
      <c r="DM25" s="527">
        <f t="shared" si="20"/>
        <v>117500</v>
      </c>
      <c r="DN25" s="527">
        <f t="shared" si="20"/>
        <v>117500</v>
      </c>
      <c r="DO25" s="527">
        <f t="shared" si="20"/>
        <v>117500</v>
      </c>
      <c r="DP25" s="527">
        <f t="shared" si="20"/>
        <v>117500</v>
      </c>
      <c r="DX25" s="519">
        <f t="shared" si="18"/>
        <v>587500</v>
      </c>
    </row>
    <row r="26" spans="1:128" ht="15">
      <c r="B26" s="589"/>
      <c r="C26" s="512"/>
      <c r="D26" s="512"/>
      <c r="E26" s="512"/>
      <c r="F26" s="512"/>
      <c r="G26" s="512"/>
      <c r="H26" s="512"/>
      <c r="I26" s="512"/>
      <c r="J26" s="512"/>
      <c r="K26" s="512"/>
      <c r="L26" s="512"/>
      <c r="M26" s="512"/>
      <c r="N26" s="512"/>
      <c r="O26" s="514">
        <f t="shared" si="9"/>
        <v>0</v>
      </c>
      <c r="P26" s="534"/>
      <c r="Q26" s="544"/>
      <c r="R26" s="534"/>
      <c r="S26" s="534"/>
      <c r="T26" s="534"/>
      <c r="U26" s="534"/>
      <c r="V26" s="534"/>
      <c r="W26" s="544"/>
      <c r="X26" s="525"/>
      <c r="Y26" s="525"/>
      <c r="Z26" s="525"/>
      <c r="AA26" s="525"/>
      <c r="AB26" s="605">
        <f t="shared" si="10"/>
        <v>0</v>
      </c>
      <c r="AC26" s="613"/>
      <c r="AD26" s="534"/>
      <c r="AE26" s="534"/>
      <c r="AF26" s="544"/>
      <c r="AG26" s="616"/>
      <c r="AH26" s="616"/>
      <c r="AI26" s="616"/>
      <c r="AJ26" s="616"/>
      <c r="AK26" s="607">
        <f t="shared" si="13"/>
        <v>0</v>
      </c>
      <c r="AL26" s="616"/>
      <c r="AM26" s="617"/>
      <c r="AN26" s="617"/>
      <c r="AO26" s="617"/>
      <c r="AP26" s="525"/>
      <c r="AQ26" s="525"/>
      <c r="AR26" s="525"/>
      <c r="AS26" s="525"/>
      <c r="AT26" s="525"/>
      <c r="AU26" s="544"/>
      <c r="AV26" s="533"/>
      <c r="AW26" s="533"/>
      <c r="AX26" s="528">
        <f>SUM(AL26:AW26)</f>
        <v>0</v>
      </c>
      <c r="AY26" s="614"/>
      <c r="AZ26" s="533"/>
      <c r="BA26" s="535"/>
      <c r="BB26" s="533"/>
      <c r="BC26" s="533"/>
      <c r="BD26" s="525"/>
      <c r="BE26" s="544"/>
      <c r="BF26" s="525"/>
      <c r="BG26" s="525"/>
      <c r="BH26" s="525"/>
      <c r="BI26" s="525"/>
      <c r="BJ26" s="608"/>
      <c r="BK26" s="528">
        <f t="shared" si="19"/>
        <v>0</v>
      </c>
      <c r="BL26" s="614"/>
      <c r="BM26" s="533"/>
      <c r="BN26" s="535"/>
      <c r="BO26" s="533"/>
      <c r="BP26" s="533"/>
      <c r="BQ26" s="526"/>
      <c r="BR26" s="544"/>
      <c r="BS26" s="525"/>
      <c r="BT26" s="525"/>
      <c r="BU26" s="525"/>
      <c r="BV26" s="525"/>
      <c r="BW26" s="608"/>
      <c r="BX26" s="528">
        <f t="shared" si="15"/>
        <v>0</v>
      </c>
      <c r="BY26" s="525"/>
      <c r="BZ26" s="525"/>
      <c r="CA26" s="525"/>
      <c r="CB26" s="525"/>
      <c r="CC26" s="525"/>
      <c r="CD26" s="544"/>
      <c r="CE26" s="525"/>
      <c r="CF26" s="525"/>
      <c r="CG26" s="525"/>
      <c r="CH26" s="525"/>
      <c r="CI26" s="525"/>
      <c r="CJ26" s="525"/>
      <c r="CK26" s="528">
        <f t="shared" si="12"/>
        <v>0</v>
      </c>
      <c r="CL26" s="526"/>
      <c r="CM26" s="525"/>
      <c r="CN26" s="526"/>
      <c r="CO26" s="525"/>
      <c r="CP26" s="527"/>
      <c r="CQ26" s="572"/>
      <c r="CR26" s="527"/>
      <c r="CS26" s="527"/>
      <c r="CT26" s="527"/>
      <c r="CU26" s="527"/>
      <c r="CV26" s="527"/>
      <c r="CW26" s="527"/>
      <c r="CX26" s="528">
        <f t="shared" si="16"/>
        <v>0</v>
      </c>
      <c r="CY26" s="611"/>
      <c r="DA26" s="541"/>
      <c r="DB26" s="541"/>
      <c r="DC26" s="541"/>
      <c r="DD26" s="848"/>
      <c r="DE26" s="541"/>
      <c r="DF26" s="541"/>
      <c r="DG26" s="541"/>
      <c r="DK26" s="528">
        <f t="shared" si="17"/>
        <v>0</v>
      </c>
      <c r="DX26" s="519">
        <f t="shared" si="18"/>
        <v>0</v>
      </c>
    </row>
    <row r="27" spans="1:128" ht="15">
      <c r="A27" s="589"/>
      <c r="B27" s="589"/>
      <c r="C27" s="512"/>
      <c r="D27" s="512"/>
      <c r="E27" s="512"/>
      <c r="F27" s="512"/>
      <c r="G27" s="512"/>
      <c r="H27" s="512"/>
      <c r="I27" s="512"/>
      <c r="J27" s="512"/>
      <c r="K27" s="512"/>
      <c r="L27" s="512"/>
      <c r="M27" s="512"/>
      <c r="N27" s="512"/>
      <c r="O27" s="514">
        <f t="shared" si="9"/>
        <v>0</v>
      </c>
      <c r="P27" s="534"/>
      <c r="Q27" s="534"/>
      <c r="R27" s="534"/>
      <c r="S27" s="534"/>
      <c r="T27" s="534"/>
      <c r="U27" s="534"/>
      <c r="V27" s="544"/>
      <c r="W27" s="544"/>
      <c r="X27" s="525"/>
      <c r="Y27" s="525"/>
      <c r="Z27" s="525"/>
      <c r="AA27" s="525"/>
      <c r="AB27" s="605">
        <f t="shared" si="10"/>
        <v>0</v>
      </c>
      <c r="AC27" s="620"/>
      <c r="AD27" s="534"/>
      <c r="AE27" s="534"/>
      <c r="AF27" s="534"/>
      <c r="AG27" s="534"/>
      <c r="AH27" s="534"/>
      <c r="AI27" s="534"/>
      <c r="AJ27" s="534"/>
      <c r="AK27" s="607">
        <f t="shared" si="13"/>
        <v>0</v>
      </c>
      <c r="AL27" s="534"/>
      <c r="AM27" s="544"/>
      <c r="AN27" s="525"/>
      <c r="AO27" s="617"/>
      <c r="AP27" s="525"/>
      <c r="AQ27" s="525"/>
      <c r="AR27" s="525"/>
      <c r="AS27" s="525"/>
      <c r="AT27" s="525"/>
      <c r="AU27" s="533"/>
      <c r="AV27" s="533"/>
      <c r="AW27" s="544"/>
      <c r="AX27" s="528">
        <f>SUM(AL27:AW27)</f>
        <v>0</v>
      </c>
      <c r="AY27" s="614"/>
      <c r="AZ27" s="533"/>
      <c r="BA27" s="535"/>
      <c r="BB27" s="533"/>
      <c r="BC27" s="533"/>
      <c r="BD27" s="525"/>
      <c r="BE27" s="525"/>
      <c r="BF27" s="525"/>
      <c r="BG27" s="525"/>
      <c r="BH27" s="525"/>
      <c r="BI27" s="525"/>
      <c r="BJ27" s="563"/>
      <c r="BK27" s="528">
        <f>SUM(AY27:BJ27)</f>
        <v>0</v>
      </c>
      <c r="BL27" s="544"/>
      <c r="BM27" s="533"/>
      <c r="BN27" s="535"/>
      <c r="BO27" s="533"/>
      <c r="BP27" s="533"/>
      <c r="BQ27" s="526"/>
      <c r="BR27" s="525"/>
      <c r="BS27" s="525"/>
      <c r="BT27" s="525"/>
      <c r="BU27" s="525"/>
      <c r="BV27" s="544"/>
      <c r="BW27" s="525"/>
      <c r="BX27" s="528">
        <f>SUM(BL27:BV27)</f>
        <v>0</v>
      </c>
      <c r="BY27" s="525"/>
      <c r="BZ27" s="525"/>
      <c r="CA27" s="525"/>
      <c r="CB27" s="525"/>
      <c r="CC27" s="525"/>
      <c r="CD27" s="619"/>
      <c r="CE27" s="525"/>
      <c r="CF27" s="525"/>
      <c r="CG27" s="525"/>
      <c r="CH27" s="525"/>
      <c r="CI27" s="525"/>
      <c r="CJ27" s="544"/>
      <c r="CK27" s="528">
        <f t="shared" si="12"/>
        <v>0</v>
      </c>
      <c r="CL27" s="526"/>
      <c r="CM27" s="525"/>
      <c r="CN27" s="526"/>
      <c r="CO27" s="525"/>
      <c r="CP27" s="527"/>
      <c r="CQ27" s="527"/>
      <c r="CR27" s="527"/>
      <c r="CS27" s="527"/>
      <c r="CT27" s="527"/>
      <c r="CU27" s="527"/>
      <c r="CV27" s="527"/>
      <c r="CW27" s="610"/>
      <c r="CX27" s="528">
        <f t="shared" si="16"/>
        <v>0</v>
      </c>
      <c r="CY27" s="611"/>
      <c r="DA27" s="541"/>
      <c r="DB27" s="541"/>
      <c r="DC27" s="541"/>
      <c r="DD27" s="541"/>
      <c r="DE27" s="541"/>
      <c r="DF27" s="541"/>
      <c r="DG27" s="541"/>
      <c r="DJ27" s="612"/>
      <c r="DK27" s="528">
        <f t="shared" si="17"/>
        <v>0</v>
      </c>
      <c r="DX27" s="519">
        <f t="shared" si="18"/>
        <v>0</v>
      </c>
    </row>
    <row r="28" spans="1:128" ht="15">
      <c r="A28" s="589"/>
      <c r="B28" s="589"/>
      <c r="C28" s="512"/>
      <c r="D28" s="512"/>
      <c r="E28" s="512"/>
      <c r="F28" s="512"/>
      <c r="G28" s="512"/>
      <c r="H28" s="512"/>
      <c r="I28" s="512"/>
      <c r="J28" s="512"/>
      <c r="K28" s="512"/>
      <c r="L28" s="512"/>
      <c r="M28" s="512"/>
      <c r="N28" s="512"/>
      <c r="O28" s="514">
        <f t="shared" si="9"/>
        <v>0</v>
      </c>
      <c r="P28" s="534"/>
      <c r="Q28" s="616"/>
      <c r="R28" s="616"/>
      <c r="S28" s="534"/>
      <c r="T28" s="534"/>
      <c r="U28" s="534"/>
      <c r="V28" s="534"/>
      <c r="W28" s="544"/>
      <c r="X28" s="525"/>
      <c r="Y28" s="525"/>
      <c r="Z28" s="525"/>
      <c r="AA28" s="525"/>
      <c r="AB28" s="605">
        <f t="shared" si="10"/>
        <v>0</v>
      </c>
      <c r="AC28" s="620"/>
      <c r="AD28" s="616"/>
      <c r="AE28" s="616"/>
      <c r="AF28" s="616"/>
      <c r="AG28" s="534"/>
      <c r="AH28" s="534"/>
      <c r="AI28" s="621"/>
      <c r="AJ28" s="534"/>
      <c r="AK28" s="607">
        <f t="shared" si="13"/>
        <v>0</v>
      </c>
      <c r="AL28" s="616"/>
      <c r="AM28" s="617"/>
      <c r="AN28" s="617"/>
      <c r="AO28" s="617"/>
      <c r="AP28" s="525"/>
      <c r="AQ28" s="533"/>
      <c r="AR28" s="533"/>
      <c r="AS28" s="525"/>
      <c r="AT28" s="544"/>
      <c r="AU28" s="533"/>
      <c r="AV28" s="533"/>
      <c r="AW28" s="533"/>
      <c r="AX28" s="528">
        <f t="shared" si="11"/>
        <v>0</v>
      </c>
      <c r="AY28" s="614"/>
      <c r="AZ28" s="533"/>
      <c r="BA28" s="533"/>
      <c r="BB28" s="533"/>
      <c r="BC28" s="533"/>
      <c r="BD28" s="525"/>
      <c r="BE28" s="525"/>
      <c r="BF28" s="525"/>
      <c r="BG28" s="525"/>
      <c r="BH28" s="544"/>
      <c r="BI28" s="525"/>
      <c r="BJ28" s="608"/>
      <c r="BK28" s="528">
        <f t="shared" si="19"/>
        <v>0</v>
      </c>
      <c r="BL28" s="614"/>
      <c r="BM28" s="533"/>
      <c r="BN28" s="535"/>
      <c r="BO28" s="533"/>
      <c r="BP28" s="533"/>
      <c r="BQ28" s="526"/>
      <c r="BR28" s="525"/>
      <c r="BS28" s="544"/>
      <c r="BT28" s="525"/>
      <c r="BU28" s="525"/>
      <c r="BV28" s="525"/>
      <c r="BW28" s="608"/>
      <c r="BX28" s="528">
        <f t="shared" si="15"/>
        <v>0</v>
      </c>
      <c r="BY28" s="525"/>
      <c r="BZ28" s="525"/>
      <c r="CA28" s="525"/>
      <c r="CB28" s="525"/>
      <c r="CC28" s="525"/>
      <c r="CD28" s="525"/>
      <c r="CE28" s="525"/>
      <c r="CF28" s="544"/>
      <c r="CG28" s="525"/>
      <c r="CH28" s="525"/>
      <c r="CI28" s="525"/>
      <c r="CJ28" s="525"/>
      <c r="CK28" s="528">
        <f t="shared" si="12"/>
        <v>0</v>
      </c>
      <c r="CL28" s="526"/>
      <c r="CM28" s="525"/>
      <c r="CN28" s="526"/>
      <c r="CO28" s="525"/>
      <c r="CP28" s="527"/>
      <c r="CQ28" s="527"/>
      <c r="CR28" s="527"/>
      <c r="CS28" s="610"/>
      <c r="CT28" s="527"/>
      <c r="CU28" s="527"/>
      <c r="CV28" s="527"/>
      <c r="CW28" s="527"/>
      <c r="CX28" s="528">
        <f t="shared" si="16"/>
        <v>0</v>
      </c>
      <c r="CY28" s="611"/>
      <c r="DF28" s="612"/>
      <c r="DK28" s="528">
        <f t="shared" si="17"/>
        <v>0</v>
      </c>
      <c r="DX28" s="519">
        <f t="shared" si="18"/>
        <v>0</v>
      </c>
    </row>
    <row r="29" spans="1:128" ht="15">
      <c r="A29" s="589"/>
      <c r="B29" s="589"/>
      <c r="C29" s="512"/>
      <c r="D29" s="512"/>
      <c r="E29" s="512"/>
      <c r="F29" s="512"/>
      <c r="G29" s="512"/>
      <c r="H29" s="512"/>
      <c r="I29" s="512"/>
      <c r="J29" s="512"/>
      <c r="K29" s="512"/>
      <c r="L29" s="512"/>
      <c r="M29" s="512"/>
      <c r="N29" s="512"/>
      <c r="O29" s="514">
        <f t="shared" si="9"/>
        <v>0</v>
      </c>
      <c r="P29" s="534"/>
      <c r="Q29" s="534"/>
      <c r="R29" s="616"/>
      <c r="S29" s="534"/>
      <c r="T29" s="534"/>
      <c r="U29" s="534"/>
      <c r="V29" s="534"/>
      <c r="W29" s="544"/>
      <c r="X29" s="525"/>
      <c r="Y29" s="617"/>
      <c r="Z29" s="525"/>
      <c r="AA29" s="617"/>
      <c r="AB29" s="605">
        <f t="shared" si="10"/>
        <v>0</v>
      </c>
      <c r="AC29" s="620"/>
      <c r="AD29" s="616"/>
      <c r="AE29" s="616"/>
      <c r="AF29" s="534"/>
      <c r="AG29" s="534"/>
      <c r="AH29" s="534"/>
      <c r="AI29" s="534"/>
      <c r="AJ29" s="534"/>
      <c r="AK29" s="607">
        <f t="shared" si="13"/>
        <v>0</v>
      </c>
      <c r="AL29" s="544"/>
      <c r="AM29" s="525"/>
      <c r="AN29" s="617"/>
      <c r="AO29" s="617"/>
      <c r="AP29" s="525"/>
      <c r="AQ29" s="533"/>
      <c r="AR29" s="533"/>
      <c r="AS29" s="533"/>
      <c r="AT29" s="525"/>
      <c r="AU29" s="525"/>
      <c r="AV29" s="544"/>
      <c r="AW29" s="533"/>
      <c r="AX29" s="528">
        <f t="shared" si="11"/>
        <v>0</v>
      </c>
      <c r="AY29" s="614"/>
      <c r="AZ29" s="533"/>
      <c r="BA29" s="533"/>
      <c r="BB29" s="533"/>
      <c r="BC29" s="533"/>
      <c r="BD29" s="525"/>
      <c r="BE29" s="525"/>
      <c r="BF29" s="615"/>
      <c r="BG29" s="525"/>
      <c r="BH29" s="563"/>
      <c r="BI29" s="525"/>
      <c r="BJ29" s="608"/>
      <c r="BK29" s="528">
        <f t="shared" si="19"/>
        <v>0</v>
      </c>
      <c r="BL29" s="614"/>
      <c r="BM29" s="533"/>
      <c r="BN29" s="535"/>
      <c r="BO29" s="533"/>
      <c r="BP29" s="533"/>
      <c r="BQ29" s="526"/>
      <c r="BR29" s="544"/>
      <c r="BS29" s="525"/>
      <c r="BT29" s="525"/>
      <c r="BU29" s="525"/>
      <c r="BV29" s="525"/>
      <c r="BW29" s="608"/>
      <c r="BX29" s="528">
        <f t="shared" si="15"/>
        <v>0</v>
      </c>
      <c r="BY29" s="525"/>
      <c r="BZ29" s="525"/>
      <c r="CA29" s="525"/>
      <c r="CB29" s="525"/>
      <c r="CC29" s="525"/>
      <c r="CD29" s="525"/>
      <c r="CE29" s="525"/>
      <c r="CF29" s="525"/>
      <c r="CG29" s="525"/>
      <c r="CH29" s="544"/>
      <c r="CI29" s="525"/>
      <c r="CJ29" s="525"/>
      <c r="CK29" s="528">
        <f t="shared" si="12"/>
        <v>0</v>
      </c>
      <c r="CL29" s="526"/>
      <c r="CM29" s="525"/>
      <c r="CN29" s="526"/>
      <c r="CO29" s="525"/>
      <c r="CP29" s="527"/>
      <c r="CQ29" s="527"/>
      <c r="CR29" s="610"/>
      <c r="CS29" s="527"/>
      <c r="CT29" s="527"/>
      <c r="CU29" s="527"/>
      <c r="CV29" s="527"/>
      <c r="CW29" s="527"/>
      <c r="CX29" s="528">
        <f t="shared" si="16"/>
        <v>0</v>
      </c>
      <c r="CY29" s="611"/>
      <c r="DE29" s="612"/>
      <c r="DK29" s="528">
        <f t="shared" si="17"/>
        <v>0</v>
      </c>
      <c r="DX29" s="519">
        <f t="shared" si="18"/>
        <v>0</v>
      </c>
    </row>
    <row r="30" spans="1:128" ht="15">
      <c r="A30" s="589"/>
      <c r="B30" s="589"/>
      <c r="C30" s="512"/>
      <c r="D30" s="512"/>
      <c r="E30" s="512"/>
      <c r="F30" s="512"/>
      <c r="G30" s="512"/>
      <c r="H30" s="512"/>
      <c r="I30" s="512"/>
      <c r="J30" s="512"/>
      <c r="K30" s="512"/>
      <c r="L30" s="512"/>
      <c r="M30" s="512"/>
      <c r="N30" s="512"/>
      <c r="O30" s="514">
        <f t="shared" si="9"/>
        <v>0</v>
      </c>
      <c r="P30" s="534"/>
      <c r="Q30" s="544"/>
      <c r="R30" s="616"/>
      <c r="S30" s="544"/>
      <c r="T30" s="544"/>
      <c r="U30" s="544"/>
      <c r="V30" s="544"/>
      <c r="W30" s="544"/>
      <c r="X30" s="563"/>
      <c r="Y30" s="563"/>
      <c r="Z30" s="563"/>
      <c r="AA30" s="563"/>
      <c r="AB30" s="605">
        <f t="shared" si="10"/>
        <v>0</v>
      </c>
      <c r="AC30" s="620"/>
      <c r="AD30" s="616"/>
      <c r="AE30" s="534"/>
      <c r="AF30" s="534"/>
      <c r="AG30" s="534"/>
      <c r="AH30" s="534"/>
      <c r="AI30" s="534"/>
      <c r="AJ30" s="534"/>
      <c r="AK30" s="607">
        <f t="shared" si="13"/>
        <v>0</v>
      </c>
      <c r="AL30" s="534"/>
      <c r="AM30" s="544"/>
      <c r="AN30" s="617"/>
      <c r="AO30" s="617"/>
      <c r="AP30" s="525"/>
      <c r="AQ30" s="533"/>
      <c r="AR30" s="525"/>
      <c r="AS30" s="525"/>
      <c r="AT30" s="544"/>
      <c r="AU30" s="533"/>
      <c r="AV30" s="533"/>
      <c r="AW30" s="533"/>
      <c r="AX30" s="528">
        <f t="shared" si="11"/>
        <v>0</v>
      </c>
      <c r="AY30" s="614"/>
      <c r="AZ30" s="533"/>
      <c r="BA30" s="533"/>
      <c r="BB30" s="533"/>
      <c r="BC30" s="525"/>
      <c r="BD30" s="544"/>
      <c r="BE30" s="525"/>
      <c r="BF30" s="525"/>
      <c r="BG30" s="525"/>
      <c r="BH30" s="544"/>
      <c r="BI30" s="525"/>
      <c r="BJ30" s="608"/>
      <c r="BK30" s="528">
        <f t="shared" si="19"/>
        <v>0</v>
      </c>
      <c r="BL30" s="614"/>
      <c r="BM30" s="533"/>
      <c r="BN30" s="535"/>
      <c r="BO30" s="533"/>
      <c r="BP30" s="533"/>
      <c r="BQ30" s="526"/>
      <c r="BR30" s="525"/>
      <c r="BS30" s="544"/>
      <c r="BT30" s="525"/>
      <c r="BU30" s="525"/>
      <c r="BV30" s="525"/>
      <c r="BW30" s="608"/>
      <c r="BX30" s="528">
        <f t="shared" si="15"/>
        <v>0</v>
      </c>
      <c r="BY30" s="525"/>
      <c r="BZ30" s="525"/>
      <c r="CA30" s="525"/>
      <c r="CB30" s="525"/>
      <c r="CC30" s="525"/>
      <c r="CD30" s="525"/>
      <c r="CE30" s="525"/>
      <c r="CF30" s="525"/>
      <c r="CG30" s="544"/>
      <c r="CH30" s="525"/>
      <c r="CI30" s="525"/>
      <c r="CJ30" s="525"/>
      <c r="CK30" s="528">
        <f t="shared" si="12"/>
        <v>0</v>
      </c>
      <c r="CL30" s="526"/>
      <c r="CM30" s="525"/>
      <c r="CN30" s="526"/>
      <c r="CO30" s="525"/>
      <c r="CP30" s="527"/>
      <c r="CQ30" s="527"/>
      <c r="CR30" s="527"/>
      <c r="CS30" s="610"/>
      <c r="CT30" s="527"/>
      <c r="CU30" s="527"/>
      <c r="CV30" s="527"/>
      <c r="CW30" s="527"/>
      <c r="CX30" s="528">
        <f t="shared" si="16"/>
        <v>0</v>
      </c>
      <c r="CY30" s="611"/>
      <c r="DF30" s="612"/>
      <c r="DK30" s="528">
        <f t="shared" si="17"/>
        <v>0</v>
      </c>
      <c r="DX30" s="519">
        <f t="shared" si="18"/>
        <v>0</v>
      </c>
    </row>
    <row r="31" spans="1:128" ht="15">
      <c r="A31" s="589"/>
      <c r="B31" s="589"/>
      <c r="C31" s="512"/>
      <c r="D31" s="512"/>
      <c r="E31" s="512"/>
      <c r="F31" s="512"/>
      <c r="G31" s="512"/>
      <c r="H31" s="512"/>
      <c r="I31" s="512"/>
      <c r="J31" s="512"/>
      <c r="K31" s="512"/>
      <c r="L31" s="512"/>
      <c r="M31" s="512"/>
      <c r="N31" s="512"/>
      <c r="O31" s="514">
        <f t="shared" si="9"/>
        <v>0</v>
      </c>
      <c r="P31" s="534"/>
      <c r="Q31" s="534"/>
      <c r="R31" s="534"/>
      <c r="S31" s="534"/>
      <c r="T31" s="534"/>
      <c r="U31" s="534"/>
      <c r="V31" s="534"/>
      <c r="W31" s="544"/>
      <c r="X31" s="563"/>
      <c r="Y31" s="525"/>
      <c r="Z31" s="525"/>
      <c r="AA31" s="525"/>
      <c r="AB31" s="605">
        <f t="shared" si="10"/>
        <v>0</v>
      </c>
      <c r="AC31" s="620"/>
      <c r="AD31" s="616"/>
      <c r="AE31" s="616"/>
      <c r="AF31" s="616"/>
      <c r="AG31" s="622"/>
      <c r="AH31" s="616"/>
      <c r="AI31" s="616"/>
      <c r="AJ31" s="616"/>
      <c r="AK31" s="607">
        <f t="shared" si="13"/>
        <v>0</v>
      </c>
      <c r="AL31" s="617"/>
      <c r="AM31" s="617"/>
      <c r="AN31" s="617"/>
      <c r="AO31" s="617"/>
      <c r="AP31" s="525"/>
      <c r="AQ31" s="533"/>
      <c r="AR31" s="533"/>
      <c r="AS31" s="533"/>
      <c r="AT31" s="525"/>
      <c r="AU31" s="533"/>
      <c r="AV31" s="525"/>
      <c r="AW31" s="533"/>
      <c r="AX31" s="528">
        <f>SUM(AL31:AW31)</f>
        <v>0</v>
      </c>
      <c r="AY31" s="614"/>
      <c r="AZ31" s="533"/>
      <c r="BA31" s="533"/>
      <c r="BB31" s="533"/>
      <c r="BC31" s="533"/>
      <c r="BD31" s="525"/>
      <c r="BE31" s="525"/>
      <c r="BF31" s="525"/>
      <c r="BG31" s="533"/>
      <c r="BH31" s="563"/>
      <c r="BI31" s="525"/>
      <c r="BJ31" s="608"/>
      <c r="BK31" s="528">
        <f>SUM(AY31:BJ31)</f>
        <v>0</v>
      </c>
      <c r="BL31" s="614"/>
      <c r="BM31" s="525"/>
      <c r="BN31" s="535"/>
      <c r="BO31" s="533"/>
      <c r="BP31" s="533"/>
      <c r="BQ31" s="526"/>
      <c r="BR31" s="525"/>
      <c r="BS31" s="525"/>
      <c r="BT31" s="533"/>
      <c r="BU31" s="525"/>
      <c r="BV31" s="525"/>
      <c r="BW31" s="608"/>
      <c r="BX31" s="528">
        <f t="shared" si="15"/>
        <v>0</v>
      </c>
      <c r="BY31" s="525"/>
      <c r="BZ31" s="525"/>
      <c r="CA31" s="525"/>
      <c r="CB31" s="525"/>
      <c r="CC31" s="525"/>
      <c r="CD31" s="525"/>
      <c r="CE31" s="525"/>
      <c r="CF31" s="525"/>
      <c r="CG31" s="525"/>
      <c r="CH31" s="525"/>
      <c r="CI31" s="525"/>
      <c r="CJ31" s="525"/>
      <c r="CK31" s="528">
        <f t="shared" si="12"/>
        <v>0</v>
      </c>
      <c r="CL31" s="526"/>
      <c r="CM31" s="525"/>
      <c r="CN31" s="526"/>
      <c r="CO31" s="525"/>
      <c r="CP31" s="527"/>
      <c r="CQ31" s="527"/>
      <c r="CR31" s="527"/>
      <c r="CS31" s="527"/>
      <c r="CT31" s="527"/>
      <c r="CU31" s="527"/>
      <c r="CV31" s="527"/>
      <c r="CW31" s="527"/>
      <c r="CX31" s="528">
        <f t="shared" si="16"/>
        <v>0</v>
      </c>
      <c r="CY31" s="611"/>
      <c r="DK31" s="528">
        <f t="shared" si="17"/>
        <v>0</v>
      </c>
      <c r="DX31" s="519">
        <f t="shared" si="18"/>
        <v>0</v>
      </c>
    </row>
    <row r="32" spans="1:128" ht="15">
      <c r="A32" s="589"/>
      <c r="B32" s="589"/>
      <c r="C32" s="512"/>
      <c r="D32" s="512"/>
      <c r="E32" s="512"/>
      <c r="F32" s="512"/>
      <c r="G32" s="512"/>
      <c r="H32" s="512"/>
      <c r="I32" s="512"/>
      <c r="J32" s="512"/>
      <c r="K32" s="512"/>
      <c r="L32" s="512"/>
      <c r="M32" s="512"/>
      <c r="N32" s="512"/>
      <c r="O32" s="514"/>
      <c r="P32" s="534"/>
      <c r="Q32" s="534"/>
      <c r="R32" s="534"/>
      <c r="S32" s="534"/>
      <c r="T32" s="534"/>
      <c r="U32" s="534"/>
      <c r="V32" s="534"/>
      <c r="W32" s="544"/>
      <c r="X32" s="563"/>
      <c r="Y32" s="525"/>
      <c r="Z32" s="525"/>
      <c r="AA32" s="525"/>
      <c r="AB32" s="605">
        <f>SUM(P32:AA32)</f>
        <v>0</v>
      </c>
      <c r="AC32" s="620"/>
      <c r="AD32" s="616"/>
      <c r="AE32" s="616"/>
      <c r="AF32" s="616"/>
      <c r="AG32" s="544"/>
      <c r="AH32" s="616"/>
      <c r="AI32" s="616"/>
      <c r="AJ32" s="616"/>
      <c r="AK32" s="607">
        <f>SUM(AC32:AJ32)</f>
        <v>0</v>
      </c>
      <c r="AL32" s="617"/>
      <c r="AM32" s="617"/>
      <c r="AN32" s="617"/>
      <c r="AO32" s="617"/>
      <c r="AP32" s="525"/>
      <c r="AQ32" s="533"/>
      <c r="AR32" s="533"/>
      <c r="AS32" s="533"/>
      <c r="AT32" s="525"/>
      <c r="AU32" s="533"/>
      <c r="AV32" s="525"/>
      <c r="AW32" s="533"/>
      <c r="AX32" s="528">
        <f>SUM(AL32:AW32)</f>
        <v>0</v>
      </c>
      <c r="AY32" s="614"/>
      <c r="AZ32" s="533"/>
      <c r="BA32" s="533"/>
      <c r="BB32" s="533"/>
      <c r="BC32" s="533"/>
      <c r="BD32" s="525"/>
      <c r="BE32" s="525"/>
      <c r="BF32" s="525"/>
      <c r="BG32" s="525"/>
      <c r="BH32" s="563"/>
      <c r="BI32" s="544"/>
      <c r="BJ32" s="608"/>
      <c r="BK32" s="528">
        <f>SUM(AY32:BJ32)</f>
        <v>0</v>
      </c>
      <c r="BL32" s="614"/>
      <c r="BM32" s="544"/>
      <c r="BN32" s="526"/>
      <c r="BO32" s="533"/>
      <c r="BP32" s="533"/>
      <c r="BQ32" s="535"/>
      <c r="BR32" s="525"/>
      <c r="BS32" s="544"/>
      <c r="BT32" s="525"/>
      <c r="BU32" s="533"/>
      <c r="BV32" s="525"/>
      <c r="BW32" s="608"/>
      <c r="BX32" s="528">
        <f t="shared" si="15"/>
        <v>0</v>
      </c>
      <c r="BY32" s="525"/>
      <c r="BZ32" s="525"/>
      <c r="CA32" s="544"/>
      <c r="CB32" s="525"/>
      <c r="CC32" s="525"/>
      <c r="CD32" s="525"/>
      <c r="CE32" s="525"/>
      <c r="CF32" s="619"/>
      <c r="CG32" s="525"/>
      <c r="CH32" s="544"/>
      <c r="CI32" s="541"/>
      <c r="CJ32" s="563"/>
      <c r="CK32" s="528">
        <f>SUM(BY32:CJ32)</f>
        <v>0</v>
      </c>
      <c r="CL32" s="526"/>
      <c r="CM32" s="525"/>
      <c r="CN32" s="809"/>
      <c r="CO32" s="525"/>
      <c r="CP32" s="527"/>
      <c r="CQ32" s="527"/>
      <c r="CR32" s="527"/>
      <c r="CS32" s="572"/>
      <c r="CT32" s="527"/>
      <c r="CU32" s="527"/>
      <c r="CV32" s="527"/>
      <c r="CW32" s="527"/>
      <c r="CX32" s="528">
        <f t="shared" si="16"/>
        <v>0</v>
      </c>
      <c r="CY32" s="611"/>
      <c r="DA32" s="612"/>
      <c r="DF32" s="612"/>
      <c r="DK32" s="528">
        <f t="shared" si="17"/>
        <v>0</v>
      </c>
      <c r="DX32" s="519">
        <f t="shared" si="18"/>
        <v>0</v>
      </c>
    </row>
    <row r="33" spans="1:128" ht="15">
      <c r="A33" s="589"/>
      <c r="B33" s="589"/>
      <c r="C33" s="512"/>
      <c r="D33" s="512"/>
      <c r="E33" s="512"/>
      <c r="F33" s="512"/>
      <c r="G33" s="512"/>
      <c r="H33" s="512"/>
      <c r="I33" s="512"/>
      <c r="J33" s="512"/>
      <c r="K33" s="512"/>
      <c r="L33" s="512"/>
      <c r="M33" s="512"/>
      <c r="N33" s="512"/>
      <c r="O33" s="514"/>
      <c r="P33" s="534"/>
      <c r="Q33" s="534"/>
      <c r="R33" s="534"/>
      <c r="S33" s="534"/>
      <c r="T33" s="534"/>
      <c r="U33" s="534"/>
      <c r="V33" s="534"/>
      <c r="W33" s="544"/>
      <c r="X33" s="563"/>
      <c r="Y33" s="525"/>
      <c r="Z33" s="525"/>
      <c r="AA33" s="525"/>
      <c r="AB33" s="605">
        <f>SUM(P33:AA33)</f>
        <v>0</v>
      </c>
      <c r="AC33" s="620"/>
      <c r="AD33" s="616"/>
      <c r="AE33" s="616"/>
      <c r="AF33" s="616"/>
      <c r="AG33" s="544"/>
      <c r="AH33" s="616"/>
      <c r="AI33" s="616"/>
      <c r="AJ33" s="616"/>
      <c r="AK33" s="607">
        <f>SUM(AC33:AJ33)</f>
        <v>0</v>
      </c>
      <c r="AL33" s="617"/>
      <c r="AM33" s="617"/>
      <c r="AN33" s="617"/>
      <c r="AO33" s="617"/>
      <c r="AP33" s="525"/>
      <c r="AQ33" s="533"/>
      <c r="AR33" s="533"/>
      <c r="AS33" s="533"/>
      <c r="AT33" s="525"/>
      <c r="AU33" s="533"/>
      <c r="AV33" s="525"/>
      <c r="AW33" s="533"/>
      <c r="AX33" s="528">
        <f>SUM(AL33:AW33)</f>
        <v>0</v>
      </c>
      <c r="AY33" s="614"/>
      <c r="AZ33" s="533"/>
      <c r="BA33" s="533"/>
      <c r="BB33" s="533"/>
      <c r="BC33" s="533"/>
      <c r="BD33" s="525"/>
      <c r="BE33" s="525"/>
      <c r="BF33" s="525"/>
      <c r="BG33" s="525"/>
      <c r="BH33" s="563"/>
      <c r="BI33" s="544"/>
      <c r="BJ33" s="608"/>
      <c r="BK33" s="528">
        <f>SUM(AY33:BJ33)</f>
        <v>0</v>
      </c>
      <c r="BL33" s="614"/>
      <c r="BM33" s="544"/>
      <c r="BN33" s="535"/>
      <c r="BO33" s="533"/>
      <c r="BP33" s="533"/>
      <c r="BQ33" s="535"/>
      <c r="BR33" s="525"/>
      <c r="BS33" s="525"/>
      <c r="BT33" s="525"/>
      <c r="BU33" s="534"/>
      <c r="BV33" s="525"/>
      <c r="BW33" s="608"/>
      <c r="BX33" s="528">
        <f t="shared" si="15"/>
        <v>0</v>
      </c>
      <c r="BY33" s="525"/>
      <c r="BZ33" s="534"/>
      <c r="CA33" s="525"/>
      <c r="CB33" s="525"/>
      <c r="CC33" s="525"/>
      <c r="CD33" s="525"/>
      <c r="CE33" s="525"/>
      <c r="CF33" s="619"/>
      <c r="CG33" s="525"/>
      <c r="CH33" s="544"/>
      <c r="CI33" s="525"/>
      <c r="CJ33" s="525"/>
      <c r="CK33" s="528">
        <f t="shared" si="12"/>
        <v>0</v>
      </c>
      <c r="CL33" s="526"/>
      <c r="CM33" s="525"/>
      <c r="CN33" s="809"/>
      <c r="CO33" s="525"/>
      <c r="CP33" s="527"/>
      <c r="CQ33" s="527"/>
      <c r="CR33" s="527"/>
      <c r="CS33" s="572"/>
      <c r="CT33" s="527"/>
      <c r="CU33" s="527"/>
      <c r="CV33" s="527"/>
      <c r="CW33" s="527"/>
      <c r="CX33" s="528">
        <f t="shared" si="16"/>
        <v>0</v>
      </c>
      <c r="CY33" s="611"/>
      <c r="DA33" s="612"/>
      <c r="DF33" s="612"/>
      <c r="DK33" s="528">
        <f t="shared" si="17"/>
        <v>0</v>
      </c>
      <c r="DX33" s="519">
        <f t="shared" si="18"/>
        <v>0</v>
      </c>
    </row>
    <row r="34" spans="1:128" ht="15">
      <c r="B34" s="589"/>
      <c r="C34" s="512"/>
      <c r="D34" s="512"/>
      <c r="E34" s="512"/>
      <c r="F34" s="512"/>
      <c r="G34" s="512"/>
      <c r="H34" s="512"/>
      <c r="I34" s="512"/>
      <c r="J34" s="512"/>
      <c r="K34" s="512"/>
      <c r="L34" s="512"/>
      <c r="M34" s="512"/>
      <c r="N34" s="512"/>
      <c r="O34" s="514">
        <f t="shared" si="9"/>
        <v>0</v>
      </c>
      <c r="P34" s="534"/>
      <c r="Q34" s="534"/>
      <c r="R34" s="534"/>
      <c r="S34" s="534"/>
      <c r="T34" s="544"/>
      <c r="U34" s="534"/>
      <c r="V34" s="534"/>
      <c r="W34" s="544"/>
      <c r="X34" s="525"/>
      <c r="Y34" s="525"/>
      <c r="Z34" s="525"/>
      <c r="AA34" s="525"/>
      <c r="AB34" s="605">
        <f>SUM(P34:AA34)</f>
        <v>0</v>
      </c>
      <c r="AC34" s="620"/>
      <c r="AD34" s="616"/>
      <c r="AE34" s="616"/>
      <c r="AF34" s="616"/>
      <c r="AG34" s="544"/>
      <c r="AH34" s="616"/>
      <c r="AI34" s="616"/>
      <c r="AJ34" s="616"/>
      <c r="AK34" s="607">
        <f t="shared" si="13"/>
        <v>0</v>
      </c>
      <c r="AL34" s="617"/>
      <c r="AM34" s="617"/>
      <c r="AN34" s="617"/>
      <c r="AO34" s="617"/>
      <c r="AP34" s="525"/>
      <c r="AQ34" s="533"/>
      <c r="AR34" s="533"/>
      <c r="AS34" s="533"/>
      <c r="AT34" s="525"/>
      <c r="AU34" s="533"/>
      <c r="AV34" s="525"/>
      <c r="AW34" s="544"/>
      <c r="AX34" s="528">
        <f t="shared" si="11"/>
        <v>0</v>
      </c>
      <c r="AY34" s="614"/>
      <c r="AZ34" s="533"/>
      <c r="BA34" s="533"/>
      <c r="BB34" s="533"/>
      <c r="BC34" s="533"/>
      <c r="BD34" s="525"/>
      <c r="BE34" s="525"/>
      <c r="BF34" s="525"/>
      <c r="BG34" s="533"/>
      <c r="BH34" s="563"/>
      <c r="BI34" s="525"/>
      <c r="BJ34" s="608"/>
      <c r="BK34" s="528">
        <f t="shared" si="19"/>
        <v>0</v>
      </c>
      <c r="BL34" s="614"/>
      <c r="BM34" s="533"/>
      <c r="BN34" s="535"/>
      <c r="BO34" s="533"/>
      <c r="BP34" s="533"/>
      <c r="BQ34" s="526"/>
      <c r="BR34" s="525"/>
      <c r="BS34" s="525"/>
      <c r="BT34" s="533"/>
      <c r="BU34" s="525"/>
      <c r="BV34" s="525"/>
      <c r="BW34" s="608"/>
      <c r="BX34" s="528">
        <f t="shared" si="15"/>
        <v>0</v>
      </c>
      <c r="BY34" s="525"/>
      <c r="BZ34" s="525"/>
      <c r="CA34" s="525"/>
      <c r="CB34" s="525"/>
      <c r="CC34" s="525"/>
      <c r="CD34" s="525"/>
      <c r="CE34" s="525"/>
      <c r="CF34" s="525"/>
      <c r="CG34" s="525"/>
      <c r="CH34" s="525"/>
      <c r="CI34" s="525"/>
      <c r="CJ34" s="525"/>
      <c r="CK34" s="528">
        <f t="shared" si="12"/>
        <v>0</v>
      </c>
      <c r="CL34" s="795"/>
      <c r="CM34" s="544"/>
      <c r="CN34" s="526"/>
      <c r="CO34" s="525"/>
      <c r="CP34" s="527"/>
      <c r="CQ34" s="527"/>
      <c r="CR34" s="527"/>
      <c r="CS34" s="527"/>
      <c r="CT34" s="527"/>
      <c r="CU34" s="527"/>
      <c r="CV34" s="527"/>
      <c r="CW34" s="527"/>
      <c r="CX34" s="528">
        <f t="shared" si="16"/>
        <v>0</v>
      </c>
      <c r="CY34" s="572"/>
      <c r="DK34" s="528">
        <f t="shared" si="17"/>
        <v>0</v>
      </c>
      <c r="DX34" s="519">
        <f t="shared" si="18"/>
        <v>0</v>
      </c>
    </row>
    <row r="35" spans="1:128" ht="15">
      <c r="B35" s="589"/>
      <c r="C35" s="512"/>
      <c r="D35" s="512"/>
      <c r="E35" s="512"/>
      <c r="F35" s="512"/>
      <c r="G35" s="512"/>
      <c r="H35" s="512"/>
      <c r="I35" s="512"/>
      <c r="J35" s="512"/>
      <c r="K35" s="512"/>
      <c r="L35" s="512"/>
      <c r="M35" s="512">
        <v>18500</v>
      </c>
      <c r="N35" s="512"/>
      <c r="O35" s="514">
        <f t="shared" si="9"/>
        <v>18500</v>
      </c>
      <c r="P35" s="534"/>
      <c r="Q35" s="534"/>
      <c r="R35" s="534"/>
      <c r="S35" s="534"/>
      <c r="T35" s="534"/>
      <c r="U35" s="534"/>
      <c r="V35" s="525"/>
      <c r="W35" s="544"/>
      <c r="X35" s="525"/>
      <c r="Y35" s="525"/>
      <c r="Z35" s="525"/>
      <c r="AA35" s="525"/>
      <c r="AB35" s="605">
        <f t="shared" si="10"/>
        <v>0</v>
      </c>
      <c r="AC35" s="613"/>
      <c r="AD35" s="534"/>
      <c r="AE35" s="534"/>
      <c r="AF35" s="534"/>
      <c r="AG35" s="544"/>
      <c r="AH35" s="616"/>
      <c r="AI35" s="616"/>
      <c r="AJ35" s="616"/>
      <c r="AK35" s="607">
        <f t="shared" si="13"/>
        <v>0</v>
      </c>
      <c r="AL35" s="617"/>
      <c r="AM35" s="563"/>
      <c r="AN35" s="544"/>
      <c r="AO35" s="617"/>
      <c r="AP35" s="525"/>
      <c r="AQ35" s="533"/>
      <c r="AR35" s="533"/>
      <c r="AS35" s="533"/>
      <c r="AT35" s="533"/>
      <c r="AU35" s="533"/>
      <c r="AV35" s="533"/>
      <c r="AW35" s="533"/>
      <c r="AX35" s="528">
        <f>SUM(AL35:AW35)</f>
        <v>0</v>
      </c>
      <c r="AY35" s="614"/>
      <c r="AZ35" s="525"/>
      <c r="BA35" s="544"/>
      <c r="BB35" s="525"/>
      <c r="BC35" s="533"/>
      <c r="BD35" s="525"/>
      <c r="BE35" s="525"/>
      <c r="BF35" s="525"/>
      <c r="BG35" s="525"/>
      <c r="BH35" s="563"/>
      <c r="BI35" s="525"/>
      <c r="BJ35" s="608"/>
      <c r="BK35" s="528">
        <f t="shared" si="19"/>
        <v>0</v>
      </c>
      <c r="BL35" s="614"/>
      <c r="BM35" s="525"/>
      <c r="BN35" s="615"/>
      <c r="BO35" s="525"/>
      <c r="BP35" s="533"/>
      <c r="BQ35" s="526"/>
      <c r="BR35" s="525"/>
      <c r="BS35" s="525"/>
      <c r="BT35" s="525"/>
      <c r="BU35" s="525"/>
      <c r="BV35" s="525"/>
      <c r="BW35" s="608"/>
      <c r="BX35" s="528">
        <f t="shared" si="15"/>
        <v>0</v>
      </c>
      <c r="BY35" s="525"/>
      <c r="BZ35" s="525"/>
      <c r="CA35" s="544"/>
      <c r="CB35" s="525"/>
      <c r="CC35" s="525"/>
      <c r="CD35" s="525"/>
      <c r="CE35" s="525"/>
      <c r="CF35" s="525"/>
      <c r="CG35" s="525"/>
      <c r="CH35" s="525"/>
      <c r="CI35" s="525"/>
      <c r="CJ35" s="525"/>
      <c r="CK35" s="528">
        <f t="shared" si="12"/>
        <v>0</v>
      </c>
      <c r="CL35" s="526"/>
      <c r="CM35" s="541"/>
      <c r="CN35" s="543"/>
      <c r="CO35" s="541"/>
      <c r="CQ35" s="610"/>
      <c r="CR35" s="527"/>
      <c r="CS35" s="527"/>
      <c r="CT35" s="527"/>
      <c r="CU35" s="527"/>
      <c r="CV35" s="527"/>
      <c r="CW35" s="527"/>
      <c r="CX35" s="528">
        <f t="shared" si="16"/>
        <v>0</v>
      </c>
      <c r="CY35" s="611"/>
      <c r="CZ35" s="612"/>
      <c r="DK35" s="528">
        <f t="shared" si="17"/>
        <v>0</v>
      </c>
      <c r="DX35" s="519">
        <f t="shared" si="18"/>
        <v>0</v>
      </c>
    </row>
    <row r="36" spans="1:128" ht="15">
      <c r="C36" s="512"/>
      <c r="D36" s="512"/>
      <c r="E36" s="512"/>
      <c r="F36" s="512"/>
      <c r="G36" s="512"/>
      <c r="H36" s="512"/>
      <c r="I36" s="512"/>
      <c r="J36" s="512"/>
      <c r="K36" s="512"/>
      <c r="L36" s="512"/>
      <c r="M36" s="512"/>
      <c r="N36" s="512"/>
      <c r="O36" s="514">
        <f t="shared" si="9"/>
        <v>0</v>
      </c>
      <c r="P36" s="534"/>
      <c r="Q36" s="534"/>
      <c r="R36" s="534"/>
      <c r="S36" s="534"/>
      <c r="T36" s="616"/>
      <c r="U36" s="534"/>
      <c r="V36" s="534"/>
      <c r="W36" s="544"/>
      <c r="X36" s="525"/>
      <c r="Y36" s="525"/>
      <c r="Z36" s="525"/>
      <c r="AA36" s="525"/>
      <c r="AB36" s="605">
        <f t="shared" si="10"/>
        <v>0</v>
      </c>
      <c r="AC36" s="620"/>
      <c r="AD36" s="616"/>
      <c r="AE36" s="616"/>
      <c r="AF36" s="616"/>
      <c r="AG36" s="616"/>
      <c r="AH36" s="616"/>
      <c r="AI36" s="534"/>
      <c r="AJ36" s="544"/>
      <c r="AK36" s="607">
        <f t="shared" si="13"/>
        <v>0</v>
      </c>
      <c r="AL36" s="617"/>
      <c r="AM36" s="617"/>
      <c r="AN36" s="617"/>
      <c r="AO36" s="617"/>
      <c r="AP36" s="525"/>
      <c r="AQ36" s="533"/>
      <c r="AR36" s="533"/>
      <c r="AS36" s="533"/>
      <c r="AT36" s="533"/>
      <c r="AU36" s="525"/>
      <c r="AV36" s="544"/>
      <c r="AW36" s="533"/>
      <c r="AX36" s="528">
        <f>SUM(AL36:AW36)</f>
        <v>0</v>
      </c>
      <c r="AY36" s="614"/>
      <c r="AZ36" s="533"/>
      <c r="BA36" s="533"/>
      <c r="BB36" s="533"/>
      <c r="BC36" s="533"/>
      <c r="BD36" s="525"/>
      <c r="BE36" s="525"/>
      <c r="BF36" s="525"/>
      <c r="BG36" s="525"/>
      <c r="BH36" s="563"/>
      <c r="BI36" s="525"/>
      <c r="BJ36" s="563"/>
      <c r="BK36" s="528">
        <f>SUM(AY36:BJ36)</f>
        <v>0</v>
      </c>
      <c r="BL36" s="544"/>
      <c r="BM36" s="533"/>
      <c r="BN36" s="535"/>
      <c r="BO36" s="533"/>
      <c r="BP36" s="533"/>
      <c r="BQ36" s="526"/>
      <c r="BR36" s="525"/>
      <c r="BS36" s="525"/>
      <c r="BT36" s="525"/>
      <c r="BU36" s="525"/>
      <c r="BV36" s="525"/>
      <c r="BW36" s="544"/>
      <c r="BX36" s="528">
        <f>SUM(BL36:BW36)</f>
        <v>0</v>
      </c>
      <c r="BY36" s="525"/>
      <c r="BZ36" s="525"/>
      <c r="CA36" s="525"/>
      <c r="CB36" s="525"/>
      <c r="CC36" s="525"/>
      <c r="CD36" s="525"/>
      <c r="CE36" s="525"/>
      <c r="CF36" s="525"/>
      <c r="CG36" s="525"/>
      <c r="CH36" s="533"/>
      <c r="CI36" s="544"/>
      <c r="CJ36" s="525"/>
      <c r="CK36" s="528">
        <f t="shared" si="12"/>
        <v>0</v>
      </c>
      <c r="CL36" s="526"/>
      <c r="CM36" s="525"/>
      <c r="CN36" s="526"/>
      <c r="CO36" s="525"/>
      <c r="CP36" s="527"/>
      <c r="CQ36" s="527"/>
      <c r="CR36" s="527"/>
      <c r="CS36" s="527"/>
      <c r="CT36" s="527"/>
      <c r="CU36" s="527"/>
      <c r="CV36" s="610"/>
      <c r="CW36" s="527"/>
      <c r="CX36" s="528">
        <f t="shared" si="16"/>
        <v>0</v>
      </c>
      <c r="CY36" s="611"/>
      <c r="DI36" s="612"/>
      <c r="DK36" s="528">
        <f t="shared" si="17"/>
        <v>0</v>
      </c>
      <c r="DX36" s="519">
        <f t="shared" si="18"/>
        <v>0</v>
      </c>
    </row>
    <row r="37" spans="1:128" ht="15">
      <c r="C37" s="538"/>
      <c r="D37" s="538"/>
      <c r="E37" s="538"/>
      <c r="F37" s="538"/>
      <c r="G37" s="538"/>
      <c r="H37" s="538"/>
      <c r="I37" s="538"/>
      <c r="J37" s="538"/>
      <c r="K37" s="538"/>
      <c r="L37" s="538"/>
      <c r="M37" s="538"/>
      <c r="N37" s="538"/>
      <c r="O37" s="514">
        <f t="shared" si="9"/>
        <v>0</v>
      </c>
      <c r="P37" s="623"/>
      <c r="Q37" s="623"/>
      <c r="R37" s="623"/>
      <c r="S37" s="623"/>
      <c r="T37" s="623"/>
      <c r="U37" s="623"/>
      <c r="V37" s="534"/>
      <c r="W37" s="544"/>
      <c r="X37" s="525"/>
      <c r="Y37" s="623"/>
      <c r="Z37" s="624"/>
      <c r="AA37" s="624"/>
      <c r="AB37" s="605">
        <f t="shared" si="10"/>
        <v>0</v>
      </c>
      <c r="AC37" s="625"/>
      <c r="AD37" s="626"/>
      <c r="AE37" s="626"/>
      <c r="AF37" s="626"/>
      <c r="AG37" s="626"/>
      <c r="AH37" s="627"/>
      <c r="AI37" s="626"/>
      <c r="AJ37" s="626"/>
      <c r="AK37" s="607">
        <f t="shared" si="13"/>
        <v>0</v>
      </c>
      <c r="AL37" s="525"/>
      <c r="AM37" s="628"/>
      <c r="AN37" s="628"/>
      <c r="AO37" s="628"/>
      <c r="AP37" s="525"/>
      <c r="AQ37" s="533"/>
      <c r="AR37" s="533"/>
      <c r="AS37" s="533"/>
      <c r="AT37" s="533"/>
      <c r="AU37" s="525"/>
      <c r="AV37" s="525"/>
      <c r="AW37" s="533"/>
      <c r="AX37" s="528">
        <f t="shared" ref="AX37:AX83" si="21">SUM(AL37:AW37)</f>
        <v>0</v>
      </c>
      <c r="AY37" s="525"/>
      <c r="AZ37" s="533"/>
      <c r="BA37" s="627"/>
      <c r="BB37" s="525"/>
      <c r="BC37" s="533"/>
      <c r="BD37" s="525"/>
      <c r="BE37" s="525"/>
      <c r="BF37" s="525"/>
      <c r="BG37" s="525"/>
      <c r="BH37" s="544"/>
      <c r="BI37" s="525"/>
      <c r="BJ37" s="608"/>
      <c r="BK37" s="528">
        <f>SUM(AY37:BJ37)</f>
        <v>0</v>
      </c>
      <c r="BL37" s="614"/>
      <c r="BM37" s="533"/>
      <c r="BN37" s="535"/>
      <c r="BO37" s="533"/>
      <c r="BP37" s="533"/>
      <c r="BQ37" s="526"/>
      <c r="BR37" s="525"/>
      <c r="BS37" s="525"/>
      <c r="BT37" s="525"/>
      <c r="BU37" s="525"/>
      <c r="BV37" s="525"/>
      <c r="BW37" s="544"/>
      <c r="BX37" s="528">
        <f>SUM(BL37:BW37)</f>
        <v>0</v>
      </c>
      <c r="BY37" s="525"/>
      <c r="BZ37" s="525"/>
      <c r="CA37" s="525"/>
      <c r="CB37" s="525"/>
      <c r="CC37" s="525"/>
      <c r="CD37" s="525"/>
      <c r="CE37" s="525"/>
      <c r="CF37" s="525"/>
      <c r="CG37" s="525"/>
      <c r="CH37" s="544"/>
      <c r="CI37" s="525"/>
      <c r="CJ37" s="525"/>
      <c r="CK37" s="528">
        <f t="shared" si="12"/>
        <v>0</v>
      </c>
      <c r="CL37" s="526"/>
      <c r="CM37" s="525"/>
      <c r="CN37" s="525"/>
      <c r="CO37" s="525"/>
      <c r="CP37" s="527"/>
      <c r="CQ37" s="527"/>
      <c r="CR37" s="527"/>
      <c r="CS37" s="527"/>
      <c r="CT37" s="527"/>
      <c r="CU37" s="527"/>
      <c r="CV37" s="610"/>
      <c r="CW37" s="527"/>
      <c r="CX37" s="528">
        <f t="shared" si="16"/>
        <v>0</v>
      </c>
      <c r="CY37" s="611"/>
      <c r="DI37" s="612"/>
      <c r="DK37" s="528">
        <f t="shared" si="17"/>
        <v>0</v>
      </c>
      <c r="DX37" s="519">
        <f t="shared" si="18"/>
        <v>0</v>
      </c>
    </row>
    <row r="38" spans="1:128" ht="15">
      <c r="C38" s="538"/>
      <c r="D38" s="538"/>
      <c r="E38" s="538"/>
      <c r="F38" s="538"/>
      <c r="G38" s="538"/>
      <c r="H38" s="538"/>
      <c r="I38" s="538"/>
      <c r="J38" s="538"/>
      <c r="K38" s="538"/>
      <c r="L38" s="538"/>
      <c r="M38" s="538"/>
      <c r="N38" s="538"/>
      <c r="O38" s="514">
        <f t="shared" si="9"/>
        <v>0</v>
      </c>
      <c r="P38" s="623"/>
      <c r="Q38" s="623"/>
      <c r="R38" s="623"/>
      <c r="S38" s="623"/>
      <c r="T38" s="623"/>
      <c r="U38" s="623"/>
      <c r="V38" s="534"/>
      <c r="W38" s="544"/>
      <c r="X38" s="624"/>
      <c r="Y38" s="623"/>
      <c r="Z38" s="624"/>
      <c r="AA38" s="624"/>
      <c r="AB38" s="605">
        <f t="shared" si="10"/>
        <v>0</v>
      </c>
      <c r="AC38" s="625"/>
      <c r="AD38" s="626"/>
      <c r="AE38" s="626"/>
      <c r="AF38" s="626"/>
      <c r="AG38" s="626"/>
      <c r="AH38" s="626"/>
      <c r="AI38" s="626"/>
      <c r="AJ38" s="626"/>
      <c r="AK38" s="607">
        <f t="shared" si="13"/>
        <v>0</v>
      </c>
      <c r="AL38" s="628"/>
      <c r="AM38" s="525"/>
      <c r="AN38" s="627"/>
      <c r="AO38" s="628"/>
      <c r="AP38" s="525"/>
      <c r="AQ38" s="533"/>
      <c r="AR38" s="533"/>
      <c r="AS38" s="533"/>
      <c r="AT38" s="533"/>
      <c r="AU38" s="533"/>
      <c r="AV38" s="533"/>
      <c r="AW38" s="533"/>
      <c r="AX38" s="528">
        <f>SUM(AL38:AW38)</f>
        <v>0</v>
      </c>
      <c r="AY38" s="606"/>
      <c r="AZ38" s="525"/>
      <c r="BA38" s="544"/>
      <c r="BB38" s="525"/>
      <c r="BC38" s="525"/>
      <c r="BD38" s="525"/>
      <c r="BE38" s="525"/>
      <c r="BF38" s="525"/>
      <c r="BG38" s="525"/>
      <c r="BH38" s="563"/>
      <c r="BI38" s="525"/>
      <c r="BJ38" s="608"/>
      <c r="BK38" s="528">
        <f t="shared" si="19"/>
        <v>0</v>
      </c>
      <c r="BL38" s="614"/>
      <c r="BM38" s="533"/>
      <c r="BN38" s="615"/>
      <c r="BO38" s="533"/>
      <c r="BP38" s="533"/>
      <c r="BQ38" s="535"/>
      <c r="BR38" s="533"/>
      <c r="BS38" s="533"/>
      <c r="BT38" s="533"/>
      <c r="BU38" s="533"/>
      <c r="BV38" s="533"/>
      <c r="BW38" s="618"/>
      <c r="BX38" s="528">
        <f t="shared" si="15"/>
        <v>0</v>
      </c>
      <c r="BY38" s="525"/>
      <c r="BZ38" s="525"/>
      <c r="CA38" s="525"/>
      <c r="CB38" s="544"/>
      <c r="CC38" s="525"/>
      <c r="CD38" s="525"/>
      <c r="CE38" s="525"/>
      <c r="CF38" s="525"/>
      <c r="CG38" s="544"/>
      <c r="CH38" s="525"/>
      <c r="CI38" s="525"/>
      <c r="CJ38" s="525"/>
      <c r="CK38" s="528">
        <f t="shared" si="12"/>
        <v>0</v>
      </c>
      <c r="CL38" s="526"/>
      <c r="CM38" s="541"/>
      <c r="CN38" s="541"/>
      <c r="CO38" s="541"/>
      <c r="CP38" s="572"/>
      <c r="CQ38" s="527"/>
      <c r="CR38" s="527"/>
      <c r="CS38" s="527"/>
      <c r="CT38" s="527"/>
      <c r="CU38" s="527"/>
      <c r="CV38" s="527"/>
      <c r="CW38" s="527"/>
      <c r="CX38" s="528">
        <f t="shared" si="16"/>
        <v>0</v>
      </c>
      <c r="CY38" s="611"/>
      <c r="CZ38" s="612"/>
      <c r="DK38" s="528">
        <f t="shared" si="17"/>
        <v>0</v>
      </c>
      <c r="DX38" s="519">
        <f t="shared" si="18"/>
        <v>0</v>
      </c>
    </row>
    <row r="39" spans="1:128" ht="15">
      <c r="C39" s="538"/>
      <c r="D39" s="538"/>
      <c r="E39" s="538"/>
      <c r="F39" s="538"/>
      <c r="G39" s="538"/>
      <c r="H39" s="538"/>
      <c r="I39" s="538"/>
      <c r="J39" s="538"/>
      <c r="K39" s="538"/>
      <c r="L39" s="538"/>
      <c r="M39" s="538"/>
      <c r="N39" s="538"/>
      <c r="O39" s="514">
        <f t="shared" si="9"/>
        <v>0</v>
      </c>
      <c r="P39" s="623"/>
      <c r="Q39" s="623"/>
      <c r="R39" s="623"/>
      <c r="S39" s="623"/>
      <c r="T39" s="623"/>
      <c r="U39" s="623"/>
      <c r="V39" s="534"/>
      <c r="W39" s="544"/>
      <c r="X39" s="624"/>
      <c r="Y39" s="623"/>
      <c r="Z39" s="525"/>
      <c r="AA39" s="525"/>
      <c r="AB39" s="605">
        <f t="shared" si="10"/>
        <v>0</v>
      </c>
      <c r="AC39" s="613"/>
      <c r="AD39" s="623"/>
      <c r="AE39" s="626"/>
      <c r="AF39" s="626"/>
      <c r="AG39" s="626"/>
      <c r="AH39" s="626"/>
      <c r="AI39" s="626"/>
      <c r="AJ39" s="626"/>
      <c r="AK39" s="607">
        <f t="shared" si="13"/>
        <v>0</v>
      </c>
      <c r="AL39" s="525"/>
      <c r="AM39" s="525"/>
      <c r="AN39" s="525"/>
      <c r="AO39" s="627"/>
      <c r="AP39" s="533"/>
      <c r="AQ39" s="533"/>
      <c r="AR39" s="533"/>
      <c r="AS39" s="533"/>
      <c r="AT39" s="533"/>
      <c r="AU39" s="533"/>
      <c r="AV39" s="533"/>
      <c r="AW39" s="533"/>
      <c r="AX39" s="528">
        <f>SUM(AL39:AW39)</f>
        <v>0</v>
      </c>
      <c r="AY39" s="606"/>
      <c r="AZ39" s="534"/>
      <c r="BA39" s="525"/>
      <c r="BB39" s="525"/>
      <c r="BC39" s="525"/>
      <c r="BD39" s="525"/>
      <c r="BE39" s="525"/>
      <c r="BF39" s="525"/>
      <c r="BG39" s="525"/>
      <c r="BH39" s="563"/>
      <c r="BI39" s="525"/>
      <c r="BJ39" s="608"/>
      <c r="BK39" s="528">
        <f t="shared" si="19"/>
        <v>0</v>
      </c>
      <c r="BL39" s="614"/>
      <c r="BM39" s="533"/>
      <c r="BN39" s="526"/>
      <c r="BO39" s="525"/>
      <c r="BP39" s="525"/>
      <c r="BQ39" s="526"/>
      <c r="BR39" s="534"/>
      <c r="BS39" s="534"/>
      <c r="BT39" s="533"/>
      <c r="BU39" s="533"/>
      <c r="BV39" s="533"/>
      <c r="BW39" s="618"/>
      <c r="BX39" s="528">
        <f t="shared" si="15"/>
        <v>0</v>
      </c>
      <c r="BY39" s="525"/>
      <c r="BZ39" s="544"/>
      <c r="CA39" s="525"/>
      <c r="CB39" s="533"/>
      <c r="CC39" s="525"/>
      <c r="CD39" s="525"/>
      <c r="CE39" s="525"/>
      <c r="CF39" s="525"/>
      <c r="CG39" s="525"/>
      <c r="CH39" s="525"/>
      <c r="CI39" s="525"/>
      <c r="CJ39" s="525"/>
      <c r="CK39" s="528">
        <f t="shared" si="12"/>
        <v>0</v>
      </c>
      <c r="CL39" s="526"/>
      <c r="CM39" s="525"/>
      <c r="CN39" s="544"/>
      <c r="CO39" s="525"/>
      <c r="CP39" s="527"/>
      <c r="CQ39" s="527"/>
      <c r="CR39" s="527"/>
      <c r="CS39" s="527"/>
      <c r="CT39" s="527"/>
      <c r="CU39" s="527"/>
      <c r="CV39" s="527"/>
      <c r="CW39" s="527"/>
      <c r="CX39" s="528">
        <f t="shared" si="16"/>
        <v>0</v>
      </c>
      <c r="CY39" s="611"/>
      <c r="DA39" s="612"/>
      <c r="DK39" s="528">
        <f t="shared" si="17"/>
        <v>0</v>
      </c>
      <c r="DX39" s="519">
        <f t="shared" si="18"/>
        <v>0</v>
      </c>
    </row>
    <row r="40" spans="1:128" ht="15">
      <c r="C40" s="538"/>
      <c r="D40" s="538"/>
      <c r="E40" s="538"/>
      <c r="F40" s="538"/>
      <c r="G40" s="538"/>
      <c r="H40" s="538"/>
      <c r="I40" s="538"/>
      <c r="J40" s="538"/>
      <c r="K40" s="538"/>
      <c r="L40" s="538"/>
      <c r="M40" s="538"/>
      <c r="N40" s="538"/>
      <c r="O40" s="514">
        <f t="shared" si="9"/>
        <v>0</v>
      </c>
      <c r="P40" s="623"/>
      <c r="Q40" s="623"/>
      <c r="R40" s="623"/>
      <c r="S40" s="623"/>
      <c r="T40" s="623"/>
      <c r="U40" s="623"/>
      <c r="V40" s="534"/>
      <c r="W40" s="544"/>
      <c r="X40" s="623"/>
      <c r="Y40" s="623"/>
      <c r="Z40" s="624"/>
      <c r="AA40" s="624"/>
      <c r="AB40" s="605">
        <f t="shared" si="10"/>
        <v>0</v>
      </c>
      <c r="AC40" s="625"/>
      <c r="AD40" s="626"/>
      <c r="AE40" s="626"/>
      <c r="AF40" s="626"/>
      <c r="AG40" s="626"/>
      <c r="AH40" s="626"/>
      <c r="AI40" s="626"/>
      <c r="AJ40" s="626"/>
      <c r="AK40" s="607">
        <f t="shared" si="13"/>
        <v>0</v>
      </c>
      <c r="AL40" s="628"/>
      <c r="AM40" s="627"/>
      <c r="AN40" s="628"/>
      <c r="AO40" s="628"/>
      <c r="AP40" s="533"/>
      <c r="AQ40" s="533"/>
      <c r="AR40" s="533"/>
      <c r="AS40" s="533"/>
      <c r="AT40" s="533"/>
      <c r="AU40" s="533"/>
      <c r="AV40" s="533"/>
      <c r="AW40" s="533"/>
      <c r="AX40" s="528">
        <f>SUM(AL40:AW40)</f>
        <v>0</v>
      </c>
      <c r="AY40" s="606"/>
      <c r="AZ40" s="627"/>
      <c r="BA40" s="533"/>
      <c r="BB40" s="525"/>
      <c r="BC40" s="525"/>
      <c r="BD40" s="525"/>
      <c r="BE40" s="525"/>
      <c r="BF40" s="525"/>
      <c r="BG40" s="525"/>
      <c r="BH40" s="563"/>
      <c r="BI40" s="525"/>
      <c r="BJ40" s="608"/>
      <c r="BK40" s="528">
        <f t="shared" si="19"/>
        <v>0</v>
      </c>
      <c r="BL40" s="614"/>
      <c r="BM40" s="533"/>
      <c r="BN40" s="629"/>
      <c r="BO40" s="533"/>
      <c r="BP40" s="533"/>
      <c r="BQ40" s="535"/>
      <c r="BR40" s="533"/>
      <c r="BS40" s="533"/>
      <c r="BT40" s="533"/>
      <c r="BU40" s="533"/>
      <c r="BV40" s="533"/>
      <c r="BW40" s="618"/>
      <c r="BX40" s="528">
        <f t="shared" si="15"/>
        <v>0</v>
      </c>
      <c r="BY40" s="525"/>
      <c r="BZ40" s="525"/>
      <c r="CA40" s="627"/>
      <c r="CB40" s="525"/>
      <c r="CC40" s="525"/>
      <c r="CD40" s="525"/>
      <c r="CE40" s="525"/>
      <c r="CF40" s="525"/>
      <c r="CG40" s="525"/>
      <c r="CH40" s="525"/>
      <c r="CI40" s="525"/>
      <c r="CJ40" s="525"/>
      <c r="CK40" s="528">
        <f t="shared" si="12"/>
        <v>0</v>
      </c>
      <c r="CL40" s="526"/>
      <c r="CM40" s="525"/>
      <c r="CN40" s="541"/>
      <c r="CO40" s="541"/>
      <c r="CP40" s="572"/>
      <c r="CQ40" s="527"/>
      <c r="CR40" s="527"/>
      <c r="CS40" s="527"/>
      <c r="CT40" s="527"/>
      <c r="CU40" s="527"/>
      <c r="CV40" s="527"/>
      <c r="CW40" s="527"/>
      <c r="CX40" s="528">
        <f t="shared" si="16"/>
        <v>0</v>
      </c>
      <c r="CY40" s="611"/>
      <c r="DA40" s="612"/>
      <c r="DK40" s="528">
        <f t="shared" si="17"/>
        <v>0</v>
      </c>
      <c r="DX40" s="519">
        <f t="shared" si="18"/>
        <v>0</v>
      </c>
    </row>
    <row r="41" spans="1:128" ht="15">
      <c r="C41" s="538"/>
      <c r="D41" s="538"/>
      <c r="E41" s="538"/>
      <c r="F41" s="538"/>
      <c r="G41" s="538"/>
      <c r="H41" s="538"/>
      <c r="I41" s="538"/>
      <c r="J41" s="538"/>
      <c r="K41" s="538"/>
      <c r="L41" s="538"/>
      <c r="M41" s="538"/>
      <c r="N41" s="538"/>
      <c r="O41" s="514">
        <f t="shared" si="9"/>
        <v>0</v>
      </c>
      <c r="P41" s="623"/>
      <c r="Q41" s="623"/>
      <c r="R41" s="623"/>
      <c r="S41" s="623"/>
      <c r="T41" s="623"/>
      <c r="U41" s="623"/>
      <c r="V41" s="534"/>
      <c r="W41" s="544"/>
      <c r="X41" s="623"/>
      <c r="Y41" s="623"/>
      <c r="Z41" s="525"/>
      <c r="AA41" s="534"/>
      <c r="AB41" s="605">
        <f t="shared" si="10"/>
        <v>0</v>
      </c>
      <c r="AC41" s="613"/>
      <c r="AD41" s="534"/>
      <c r="AE41" s="534"/>
      <c r="AF41" s="630"/>
      <c r="AG41" s="630"/>
      <c r="AH41" s="626"/>
      <c r="AI41" s="630"/>
      <c r="AJ41" s="626"/>
      <c r="AK41" s="607">
        <f t="shared" si="13"/>
        <v>0</v>
      </c>
      <c r="AL41" s="628"/>
      <c r="AM41" s="525"/>
      <c r="AN41" s="525"/>
      <c r="AO41" s="525"/>
      <c r="AP41" s="525"/>
      <c r="AQ41" s="525"/>
      <c r="AR41" s="525"/>
      <c r="AS41" s="525"/>
      <c r="AT41" s="630"/>
      <c r="AU41" s="533"/>
      <c r="AV41" s="525"/>
      <c r="AW41" s="630"/>
      <c r="AX41" s="528">
        <f>SUM(AL41:AW41)</f>
        <v>0</v>
      </c>
      <c r="AY41" s="606"/>
      <c r="AZ41" s="525"/>
      <c r="BA41" s="631"/>
      <c r="BB41" s="525"/>
      <c r="BC41" s="525"/>
      <c r="BD41" s="525"/>
      <c r="BE41" s="525"/>
      <c r="BF41" s="632"/>
      <c r="BG41" s="631"/>
      <c r="BH41" s="563"/>
      <c r="BI41" s="631"/>
      <c r="BJ41" s="608"/>
      <c r="BK41" s="528">
        <f t="shared" si="19"/>
        <v>0</v>
      </c>
      <c r="BL41" s="614"/>
      <c r="BM41" s="630"/>
      <c r="BN41" s="526"/>
      <c r="BO41" s="533"/>
      <c r="BP41" s="525"/>
      <c r="BQ41" s="544"/>
      <c r="BR41" s="533"/>
      <c r="BS41" s="544"/>
      <c r="BT41" s="525"/>
      <c r="BU41" s="533"/>
      <c r="BV41" s="544"/>
      <c r="BW41" s="525"/>
      <c r="BX41" s="528">
        <f>SUM(BL41:BV41)</f>
        <v>0</v>
      </c>
      <c r="BY41" s="525"/>
      <c r="BZ41" s="544"/>
      <c r="CA41" s="525"/>
      <c r="CB41" s="525"/>
      <c r="CC41" s="525"/>
      <c r="CD41" s="525"/>
      <c r="CE41" s="619"/>
      <c r="CF41" s="619"/>
      <c r="CG41" s="619"/>
      <c r="CH41" s="619"/>
      <c r="CI41" s="619"/>
      <c r="CJ41" s="525"/>
      <c r="CK41" s="528">
        <f t="shared" si="12"/>
        <v>0</v>
      </c>
      <c r="CL41" s="526"/>
      <c r="CM41" s="525"/>
      <c r="CN41" s="619"/>
      <c r="CO41" s="617"/>
      <c r="CP41" s="633"/>
      <c r="CQ41" s="633"/>
      <c r="CR41" s="610"/>
      <c r="CS41" s="633"/>
      <c r="CT41" s="610"/>
      <c r="CU41" s="633"/>
      <c r="CV41" s="633"/>
      <c r="CW41" s="610"/>
      <c r="CX41" s="528">
        <f t="shared" si="16"/>
        <v>0</v>
      </c>
      <c r="CY41" s="611"/>
      <c r="DA41" s="612"/>
      <c r="DE41" s="612"/>
      <c r="DG41" s="612"/>
      <c r="DJ41" s="612"/>
      <c r="DK41" s="528">
        <f t="shared" si="17"/>
        <v>0</v>
      </c>
      <c r="DX41" s="519">
        <f t="shared" si="18"/>
        <v>0</v>
      </c>
    </row>
    <row r="42" spans="1:128" ht="15">
      <c r="C42" s="538"/>
      <c r="D42" s="538"/>
      <c r="E42" s="538"/>
      <c r="F42" s="538"/>
      <c r="G42" s="538"/>
      <c r="H42" s="538"/>
      <c r="I42" s="538"/>
      <c r="J42" s="538"/>
      <c r="K42" s="538"/>
      <c r="L42" s="538"/>
      <c r="M42" s="538"/>
      <c r="N42" s="538"/>
      <c r="O42" s="514">
        <f t="shared" si="9"/>
        <v>0</v>
      </c>
      <c r="P42" s="623"/>
      <c r="Q42" s="623"/>
      <c r="R42" s="623"/>
      <c r="S42" s="623"/>
      <c r="T42" s="623"/>
      <c r="U42" s="623"/>
      <c r="V42" s="534"/>
      <c r="W42" s="544"/>
      <c r="X42" s="623"/>
      <c r="Y42" s="623"/>
      <c r="Z42" s="525"/>
      <c r="AA42" s="534"/>
      <c r="AB42" s="605">
        <f t="shared" si="10"/>
        <v>0</v>
      </c>
      <c r="AC42" s="613"/>
      <c r="AD42" s="534"/>
      <c r="AE42" s="534"/>
      <c r="AF42" s="630"/>
      <c r="AG42" s="626"/>
      <c r="AH42" s="626"/>
      <c r="AI42" s="630"/>
      <c r="AJ42" s="626"/>
      <c r="AK42" s="607">
        <f t="shared" si="13"/>
        <v>0</v>
      </c>
      <c r="AL42" s="628"/>
      <c r="AM42" s="634"/>
      <c r="AN42" s="628"/>
      <c r="AO42" s="628"/>
      <c r="AP42" s="544"/>
      <c r="AQ42" s="525"/>
      <c r="AR42" s="533"/>
      <c r="AS42" s="533"/>
      <c r="AT42" s="533"/>
      <c r="AU42" s="533"/>
      <c r="AV42" s="533"/>
      <c r="AW42" s="533"/>
      <c r="AX42" s="528">
        <f t="shared" ref="AX42:AX43" si="22">SUM(AL42:AW42)</f>
        <v>0</v>
      </c>
      <c r="AY42" s="606"/>
      <c r="AZ42" s="525"/>
      <c r="BA42" s="525"/>
      <c r="BB42" s="525"/>
      <c r="BC42" s="525"/>
      <c r="BD42" s="544"/>
      <c r="BE42" s="525"/>
      <c r="BF42" s="525"/>
      <c r="BG42" s="525"/>
      <c r="BH42" s="563"/>
      <c r="BI42" s="525"/>
      <c r="BJ42" s="608"/>
      <c r="BK42" s="528">
        <f t="shared" si="19"/>
        <v>0</v>
      </c>
      <c r="BL42" s="614"/>
      <c r="BM42" s="533"/>
      <c r="BN42" s="535"/>
      <c r="BO42" s="533"/>
      <c r="BP42" s="525"/>
      <c r="BQ42" s="526"/>
      <c r="BR42" s="544"/>
      <c r="BS42" s="533"/>
      <c r="BT42" s="533"/>
      <c r="BU42" s="533"/>
      <c r="BV42" s="533"/>
      <c r="BW42" s="618"/>
      <c r="BX42" s="528">
        <f t="shared" si="15"/>
        <v>0</v>
      </c>
      <c r="BY42" s="525"/>
      <c r="BZ42" s="525"/>
      <c r="CA42" s="525"/>
      <c r="CB42" s="525"/>
      <c r="CC42" s="525"/>
      <c r="CD42" s="544"/>
      <c r="CE42" s="525"/>
      <c r="CF42" s="525"/>
      <c r="CG42" s="525"/>
      <c r="CH42" s="525"/>
      <c r="CI42" s="525"/>
      <c r="CJ42" s="525"/>
      <c r="CK42" s="528">
        <f t="shared" si="12"/>
        <v>0</v>
      </c>
      <c r="CL42" s="526"/>
      <c r="CM42" s="525"/>
      <c r="CN42" s="525"/>
      <c r="CO42" s="525"/>
      <c r="CP42" s="527"/>
      <c r="CQ42" s="610"/>
      <c r="CR42" s="527"/>
      <c r="CS42" s="527"/>
      <c r="CT42" s="527"/>
      <c r="CU42" s="527"/>
      <c r="CV42" s="527"/>
      <c r="CW42" s="527"/>
      <c r="CX42" s="528">
        <f t="shared" si="16"/>
        <v>0</v>
      </c>
      <c r="CY42" s="611"/>
      <c r="DD42" s="612"/>
      <c r="DK42" s="528">
        <f t="shared" si="17"/>
        <v>0</v>
      </c>
      <c r="DX42" s="519">
        <f t="shared" si="18"/>
        <v>0</v>
      </c>
    </row>
    <row r="43" spans="1:128" ht="15">
      <c r="C43" s="538"/>
      <c r="D43" s="538"/>
      <c r="E43" s="538"/>
      <c r="F43" s="538"/>
      <c r="G43" s="538"/>
      <c r="H43" s="538"/>
      <c r="I43" s="538"/>
      <c r="J43" s="538"/>
      <c r="K43" s="538"/>
      <c r="L43" s="538"/>
      <c r="M43" s="538"/>
      <c r="N43" s="538"/>
      <c r="O43" s="514">
        <f t="shared" si="9"/>
        <v>0</v>
      </c>
      <c r="P43" s="623"/>
      <c r="Q43" s="623"/>
      <c r="R43" s="623"/>
      <c r="S43" s="623"/>
      <c r="T43" s="623"/>
      <c r="U43" s="623"/>
      <c r="V43" s="534"/>
      <c r="W43" s="544"/>
      <c r="X43" s="623"/>
      <c r="Y43" s="623"/>
      <c r="Z43" s="525"/>
      <c r="AA43" s="534"/>
      <c r="AB43" s="605">
        <f t="shared" si="10"/>
        <v>0</v>
      </c>
      <c r="AC43" s="613"/>
      <c r="AD43" s="534"/>
      <c r="AE43" s="630"/>
      <c r="AF43" s="534"/>
      <c r="AG43" s="534"/>
      <c r="AH43" s="635"/>
      <c r="AI43" s="630"/>
      <c r="AJ43" s="626"/>
      <c r="AK43" s="607">
        <f t="shared" si="13"/>
        <v>0</v>
      </c>
      <c r="AL43" s="628"/>
      <c r="AM43" s="634"/>
      <c r="AN43" s="628"/>
      <c r="AO43" s="628"/>
      <c r="AP43" s="533"/>
      <c r="AQ43" s="533"/>
      <c r="AR43" s="525"/>
      <c r="AS43" s="525"/>
      <c r="AT43" s="525"/>
      <c r="AU43" s="525"/>
      <c r="AV43" s="525"/>
      <c r="AW43" s="563"/>
      <c r="AX43" s="528">
        <f t="shared" si="22"/>
        <v>0</v>
      </c>
      <c r="AY43" s="525"/>
      <c r="AZ43" s="544"/>
      <c r="BA43" s="525"/>
      <c r="BB43" s="525"/>
      <c r="BC43" s="525"/>
      <c r="BD43" s="525"/>
      <c r="BE43" s="533"/>
      <c r="BF43" s="525"/>
      <c r="BG43" s="525"/>
      <c r="BH43" s="563"/>
      <c r="BI43" s="525"/>
      <c r="BJ43" s="608"/>
      <c r="BK43" s="528">
        <f>SUM(AZ43:BJ43)</f>
        <v>0</v>
      </c>
      <c r="BL43" s="614"/>
      <c r="BM43" s="533"/>
      <c r="BN43" s="535"/>
      <c r="BO43" s="533"/>
      <c r="BP43" s="533"/>
      <c r="BQ43" s="535"/>
      <c r="BR43" s="533"/>
      <c r="BS43" s="533"/>
      <c r="BT43" s="533"/>
      <c r="BU43" s="533"/>
      <c r="BV43" s="533"/>
      <c r="BW43" s="618"/>
      <c r="BX43" s="528">
        <f t="shared" si="15"/>
        <v>0</v>
      </c>
      <c r="BY43" s="525"/>
      <c r="BZ43" s="525"/>
      <c r="CA43" s="525"/>
      <c r="CB43" s="525"/>
      <c r="CC43" s="525"/>
      <c r="CD43" s="525"/>
      <c r="CE43" s="525"/>
      <c r="CF43" s="525"/>
      <c r="CG43" s="525"/>
      <c r="CH43" s="525"/>
      <c r="CI43" s="525"/>
      <c r="CJ43" s="525"/>
      <c r="CK43" s="528">
        <f t="shared" si="12"/>
        <v>0</v>
      </c>
      <c r="CL43" s="526"/>
      <c r="CM43" s="525"/>
      <c r="CN43" s="525"/>
      <c r="CO43" s="525"/>
      <c r="CP43" s="527"/>
      <c r="CQ43" s="527"/>
      <c r="CR43" s="527"/>
      <c r="CS43" s="527"/>
      <c r="CT43" s="527"/>
      <c r="CU43" s="527"/>
      <c r="CV43" s="527"/>
      <c r="CW43" s="527"/>
      <c r="CX43" s="528">
        <f t="shared" si="16"/>
        <v>0</v>
      </c>
      <c r="CY43" s="611"/>
      <c r="DK43" s="519">
        <f t="shared" si="17"/>
        <v>0</v>
      </c>
      <c r="DX43" s="519">
        <f t="shared" si="18"/>
        <v>0</v>
      </c>
    </row>
    <row r="44" spans="1:128" ht="15">
      <c r="C44" s="538"/>
      <c r="D44" s="538"/>
      <c r="E44" s="538"/>
      <c r="F44" s="538"/>
      <c r="G44" s="538"/>
      <c r="H44" s="538"/>
      <c r="I44" s="538"/>
      <c r="J44" s="538"/>
      <c r="K44" s="538"/>
      <c r="L44" s="538"/>
      <c r="M44" s="538"/>
      <c r="N44" s="538"/>
      <c r="O44" s="514">
        <f t="shared" si="9"/>
        <v>0</v>
      </c>
      <c r="P44" s="623"/>
      <c r="Q44" s="623"/>
      <c r="R44" s="623"/>
      <c r="S44" s="623"/>
      <c r="T44" s="623"/>
      <c r="U44" s="623"/>
      <c r="V44" s="534"/>
      <c r="W44" s="544"/>
      <c r="X44" s="623"/>
      <c r="Y44" s="623"/>
      <c r="Z44" s="525"/>
      <c r="AA44" s="534"/>
      <c r="AB44" s="605">
        <v>0</v>
      </c>
      <c r="AC44" s="613"/>
      <c r="AD44" s="534"/>
      <c r="AE44" s="630"/>
      <c r="AF44" s="534"/>
      <c r="AG44" s="630"/>
      <c r="AH44" s="534"/>
      <c r="AI44" s="544"/>
      <c r="AJ44" s="626"/>
      <c r="AK44" s="607">
        <f t="shared" si="13"/>
        <v>0</v>
      </c>
      <c r="AL44" s="628"/>
      <c r="AM44" s="634"/>
      <c r="AN44" s="628"/>
      <c r="AO44" s="628"/>
      <c r="AP44" s="525"/>
      <c r="AQ44" s="533"/>
      <c r="AR44" s="533"/>
      <c r="AS44" s="533"/>
      <c r="AT44" s="533"/>
      <c r="AU44" s="533"/>
      <c r="AV44" s="525"/>
      <c r="AW44" s="533"/>
      <c r="AX44" s="528">
        <f t="shared" si="21"/>
        <v>0</v>
      </c>
      <c r="AY44" s="525"/>
      <c r="AZ44" s="525"/>
      <c r="BA44" s="525"/>
      <c r="BB44" s="544"/>
      <c r="BC44" s="525"/>
      <c r="BD44" s="525"/>
      <c r="BE44" s="525"/>
      <c r="BF44" s="525"/>
      <c r="BG44" s="525"/>
      <c r="BH44" s="563"/>
      <c r="BI44" s="525"/>
      <c r="BJ44" s="544"/>
      <c r="BK44" s="528">
        <f>SUM(BB44:BJ44)</f>
        <v>0</v>
      </c>
      <c r="BL44" s="614"/>
      <c r="BM44" s="533"/>
      <c r="BN44" s="535"/>
      <c r="BO44" s="533"/>
      <c r="BP44" s="533"/>
      <c r="BQ44" s="535"/>
      <c r="BR44" s="533"/>
      <c r="BS44" s="533"/>
      <c r="BT44" s="533"/>
      <c r="BU44" s="533"/>
      <c r="BV44" s="525"/>
      <c r="BW44" s="544"/>
      <c r="BX44" s="528">
        <f>SUM(BL44:BW44)</f>
        <v>0</v>
      </c>
      <c r="BY44" s="525"/>
      <c r="BZ44" s="525"/>
      <c r="CA44" s="525"/>
      <c r="CB44" s="525"/>
      <c r="CC44" s="525"/>
      <c r="CD44" s="525"/>
      <c r="CE44" s="525"/>
      <c r="CF44" s="525"/>
      <c r="CG44" s="525"/>
      <c r="CH44" s="525"/>
      <c r="CI44" s="544"/>
      <c r="CJ44" s="563"/>
      <c r="CK44" s="528">
        <f>SUM(BY44:CJ44)</f>
        <v>0</v>
      </c>
      <c r="CL44" s="526"/>
      <c r="CM44" s="525"/>
      <c r="CN44" s="525"/>
      <c r="CO44" s="525"/>
      <c r="CP44" s="527"/>
      <c r="CQ44" s="527"/>
      <c r="CR44" s="527"/>
      <c r="CS44" s="527"/>
      <c r="CT44" s="527"/>
      <c r="CU44" s="527"/>
      <c r="CV44" s="610"/>
      <c r="CW44" s="527"/>
      <c r="CX44" s="528">
        <f t="shared" si="16"/>
        <v>0</v>
      </c>
      <c r="CY44" s="611"/>
      <c r="DI44" s="612"/>
      <c r="DK44" s="519">
        <f t="shared" si="17"/>
        <v>0</v>
      </c>
      <c r="DX44" s="519">
        <f t="shared" si="18"/>
        <v>0</v>
      </c>
    </row>
    <row r="45" spans="1:128" ht="15">
      <c r="C45" s="538"/>
      <c r="D45" s="538"/>
      <c r="E45" s="538"/>
      <c r="F45" s="538"/>
      <c r="G45" s="538"/>
      <c r="H45" s="538"/>
      <c r="I45" s="538"/>
      <c r="J45" s="538"/>
      <c r="K45" s="538"/>
      <c r="L45" s="538"/>
      <c r="M45" s="538"/>
      <c r="N45" s="538"/>
      <c r="O45" s="514"/>
      <c r="P45" s="623"/>
      <c r="Q45" s="623"/>
      <c r="R45" s="623"/>
      <c r="S45" s="623"/>
      <c r="T45" s="623"/>
      <c r="U45" s="623"/>
      <c r="V45" s="534"/>
      <c r="W45" s="544"/>
      <c r="X45" s="623"/>
      <c r="Y45" s="623"/>
      <c r="Z45" s="525"/>
      <c r="AA45" s="534"/>
      <c r="AB45" s="605">
        <v>0</v>
      </c>
      <c r="AC45" s="613"/>
      <c r="AD45" s="534"/>
      <c r="AE45" s="630"/>
      <c r="AF45" s="534"/>
      <c r="AG45" s="630"/>
      <c r="AH45" s="534"/>
      <c r="AI45" s="544"/>
      <c r="AJ45" s="626"/>
      <c r="AK45" s="607">
        <f t="shared" si="13"/>
        <v>0</v>
      </c>
      <c r="AL45" s="628"/>
      <c r="AM45" s="634"/>
      <c r="AN45" s="628"/>
      <c r="AO45" s="628"/>
      <c r="AP45" s="544"/>
      <c r="AQ45" s="534"/>
      <c r="AR45" s="533"/>
      <c r="AS45" s="533"/>
      <c r="AT45" s="533"/>
      <c r="AU45" s="533"/>
      <c r="AV45" s="533"/>
      <c r="AW45" s="533"/>
      <c r="AX45" s="528">
        <f>SUM(AL45:AW45)</f>
        <v>0</v>
      </c>
      <c r="AY45" s="606"/>
      <c r="AZ45" s="525"/>
      <c r="BA45" s="525"/>
      <c r="BB45" s="525"/>
      <c r="BC45" s="544"/>
      <c r="BD45" s="525"/>
      <c r="BE45" s="525"/>
      <c r="BF45" s="525"/>
      <c r="BG45" s="525"/>
      <c r="BH45" s="563"/>
      <c r="BI45" s="525"/>
      <c r="BJ45" s="563"/>
      <c r="BK45" s="528">
        <f>SUM(AY45:BJ45)</f>
        <v>0</v>
      </c>
      <c r="BL45" s="614"/>
      <c r="BM45" s="533"/>
      <c r="BN45" s="535"/>
      <c r="BO45" s="533"/>
      <c r="BP45" s="544"/>
      <c r="BQ45" s="615"/>
      <c r="BR45" s="533"/>
      <c r="BS45" s="533"/>
      <c r="BT45" s="533"/>
      <c r="BU45" s="533"/>
      <c r="BV45" s="533"/>
      <c r="BW45" s="618"/>
      <c r="BX45" s="528">
        <f t="shared" si="15"/>
        <v>0</v>
      </c>
      <c r="BY45" s="525"/>
      <c r="BZ45" s="525"/>
      <c r="CA45" s="525"/>
      <c r="CB45" s="525"/>
      <c r="CC45" s="525"/>
      <c r="CD45" s="525"/>
      <c r="CE45" s="525"/>
      <c r="CF45" s="525"/>
      <c r="CG45" s="544"/>
      <c r="CH45" s="525"/>
      <c r="CI45" s="525"/>
      <c r="CJ45" s="525"/>
      <c r="CK45" s="528">
        <f t="shared" si="12"/>
        <v>0</v>
      </c>
      <c r="CL45" s="526"/>
      <c r="CM45" s="525"/>
      <c r="CN45" s="525"/>
      <c r="CO45" s="525"/>
      <c r="CQ45" s="572"/>
      <c r="CR45" s="527"/>
      <c r="CS45" s="527"/>
      <c r="CT45" s="527"/>
      <c r="CU45" s="527"/>
      <c r="CV45" s="527"/>
      <c r="CW45" s="527"/>
      <c r="CX45" s="528">
        <f t="shared" si="16"/>
        <v>0</v>
      </c>
      <c r="CY45" s="611"/>
      <c r="DC45" s="612"/>
      <c r="DK45" s="519">
        <f t="shared" si="17"/>
        <v>0</v>
      </c>
      <c r="DX45" s="519">
        <f t="shared" si="18"/>
        <v>0</v>
      </c>
    </row>
    <row r="46" spans="1:128" ht="15">
      <c r="C46" s="538"/>
      <c r="D46" s="538"/>
      <c r="E46" s="538"/>
      <c r="F46" s="538"/>
      <c r="G46" s="538"/>
      <c r="H46" s="538"/>
      <c r="I46" s="538"/>
      <c r="J46" s="538"/>
      <c r="K46" s="538"/>
      <c r="L46" s="538"/>
      <c r="M46" s="538"/>
      <c r="N46" s="538"/>
      <c r="O46" s="514"/>
      <c r="P46" s="623"/>
      <c r="Q46" s="623"/>
      <c r="R46" s="623"/>
      <c r="S46" s="623"/>
      <c r="T46" s="623"/>
      <c r="U46" s="623"/>
      <c r="V46" s="534"/>
      <c r="W46" s="544"/>
      <c r="X46" s="623"/>
      <c r="Y46" s="623"/>
      <c r="Z46" s="525"/>
      <c r="AA46" s="534"/>
      <c r="AB46" s="605">
        <v>0</v>
      </c>
      <c r="AC46" s="613"/>
      <c r="AD46" s="534"/>
      <c r="AE46" s="630"/>
      <c r="AF46" s="534"/>
      <c r="AG46" s="630"/>
      <c r="AH46" s="534"/>
      <c r="AI46" s="544"/>
      <c r="AJ46" s="626"/>
      <c r="AK46" s="607">
        <f t="shared" si="13"/>
        <v>0</v>
      </c>
      <c r="AL46" s="628"/>
      <c r="AM46" s="634"/>
      <c r="AN46" s="628"/>
      <c r="AO46" s="628"/>
      <c r="AP46" s="525"/>
      <c r="AQ46" s="525"/>
      <c r="AR46" s="525"/>
      <c r="AS46" s="533"/>
      <c r="AT46" s="525"/>
      <c r="AU46" s="533"/>
      <c r="AV46" s="525"/>
      <c r="AW46" s="544"/>
      <c r="AX46" s="528">
        <f>SUM(AL46:AW46)</f>
        <v>0</v>
      </c>
      <c r="AY46" s="606"/>
      <c r="AZ46" s="525"/>
      <c r="BA46" s="525"/>
      <c r="BB46" s="525"/>
      <c r="BC46" s="525"/>
      <c r="BD46" s="533"/>
      <c r="BE46" s="525"/>
      <c r="BF46" s="525"/>
      <c r="BG46" s="525"/>
      <c r="BH46" s="563"/>
      <c r="BI46" s="525"/>
      <c r="BJ46" s="608"/>
      <c r="BK46" s="528">
        <f t="shared" si="19"/>
        <v>0</v>
      </c>
      <c r="BL46" s="614"/>
      <c r="BM46" s="533"/>
      <c r="BN46" s="535"/>
      <c r="BO46" s="533"/>
      <c r="BP46" s="525"/>
      <c r="BQ46" s="526"/>
      <c r="BR46" s="544"/>
      <c r="BS46" s="533"/>
      <c r="BT46" s="533"/>
      <c r="BU46" s="533"/>
      <c r="BV46" s="533"/>
      <c r="BW46" s="618"/>
      <c r="BX46" s="528">
        <f t="shared" si="15"/>
        <v>0</v>
      </c>
      <c r="BY46" s="525"/>
      <c r="BZ46" s="525"/>
      <c r="CA46" s="525"/>
      <c r="CB46" s="525"/>
      <c r="CC46" s="525"/>
      <c r="CD46" s="525"/>
      <c r="CE46" s="525"/>
      <c r="CF46" s="525"/>
      <c r="CG46" s="525"/>
      <c r="CH46" s="525"/>
      <c r="CI46" s="619"/>
      <c r="CJ46" s="525"/>
      <c r="CK46" s="528">
        <f t="shared" si="12"/>
        <v>0</v>
      </c>
      <c r="CL46" s="526"/>
      <c r="CM46" s="525"/>
      <c r="CN46" s="525"/>
      <c r="CO46" s="525"/>
      <c r="CP46" s="527"/>
      <c r="CR46" s="572"/>
      <c r="CS46" s="527"/>
      <c r="CT46" s="527"/>
      <c r="CU46" s="527"/>
      <c r="CV46" s="527"/>
      <c r="CW46" s="527"/>
      <c r="CX46" s="528">
        <f t="shared" si="16"/>
        <v>0</v>
      </c>
      <c r="CY46" s="611"/>
      <c r="DC46" s="612"/>
      <c r="DK46" s="519">
        <f t="shared" si="17"/>
        <v>0</v>
      </c>
      <c r="DX46" s="519">
        <f t="shared" si="18"/>
        <v>0</v>
      </c>
    </row>
    <row r="47" spans="1:128" ht="15">
      <c r="C47" s="538"/>
      <c r="D47" s="538"/>
      <c r="E47" s="538"/>
      <c r="F47" s="538"/>
      <c r="G47" s="538"/>
      <c r="H47" s="538"/>
      <c r="I47" s="538"/>
      <c r="J47" s="538"/>
      <c r="K47" s="538"/>
      <c r="L47" s="538"/>
      <c r="M47" s="538"/>
      <c r="N47" s="538"/>
      <c r="O47" s="514"/>
      <c r="P47" s="623"/>
      <c r="Q47" s="623"/>
      <c r="R47" s="623"/>
      <c r="S47" s="623"/>
      <c r="T47" s="623"/>
      <c r="U47" s="623"/>
      <c r="V47" s="534"/>
      <c r="W47" s="544"/>
      <c r="X47" s="623"/>
      <c r="Y47" s="623"/>
      <c r="Z47" s="525"/>
      <c r="AA47" s="534"/>
      <c r="AB47" s="605">
        <v>0</v>
      </c>
      <c r="AC47" s="613"/>
      <c r="AD47" s="534"/>
      <c r="AE47" s="630"/>
      <c r="AF47" s="534"/>
      <c r="AG47" s="630"/>
      <c r="AH47" s="534"/>
      <c r="AI47" s="544"/>
      <c r="AJ47" s="626"/>
      <c r="AK47" s="607">
        <f t="shared" si="13"/>
        <v>0</v>
      </c>
      <c r="AL47" s="628"/>
      <c r="AM47" s="634"/>
      <c r="AN47" s="628"/>
      <c r="AO47" s="628"/>
      <c r="AP47" s="525"/>
      <c r="AQ47" s="525"/>
      <c r="AR47" s="525"/>
      <c r="AS47" s="533"/>
      <c r="AT47" s="525"/>
      <c r="AU47" s="533"/>
      <c r="AV47" s="525"/>
      <c r="AW47" s="544"/>
      <c r="AX47" s="528">
        <f>SUM(AL47:AW47)</f>
        <v>0</v>
      </c>
      <c r="AY47" s="613"/>
      <c r="AZ47" s="525"/>
      <c r="BA47" s="525"/>
      <c r="BB47" s="525"/>
      <c r="BC47" s="525"/>
      <c r="BD47" s="533"/>
      <c r="BE47" s="525"/>
      <c r="BF47" s="525"/>
      <c r="BG47" s="525"/>
      <c r="BH47" s="563"/>
      <c r="BI47" s="525"/>
      <c r="BJ47" s="533"/>
      <c r="BK47" s="528">
        <f>SUM(AY47:BJ47)</f>
        <v>0</v>
      </c>
      <c r="BL47" s="525"/>
      <c r="BM47" s="525"/>
      <c r="BN47" s="615"/>
      <c r="BO47" s="533"/>
      <c r="BP47" s="533"/>
      <c r="BQ47" s="535"/>
      <c r="BR47" s="533"/>
      <c r="BS47" s="533"/>
      <c r="BT47" s="533"/>
      <c r="BU47" s="533"/>
      <c r="BV47" s="525"/>
      <c r="BW47" s="563"/>
      <c r="BX47" s="528">
        <f>SUM(BL47:BW47)</f>
        <v>0</v>
      </c>
      <c r="BY47" s="525"/>
      <c r="BZ47" s="544"/>
      <c r="CA47" s="525"/>
      <c r="CB47" s="525"/>
      <c r="CC47" s="525"/>
      <c r="CD47" s="525"/>
      <c r="CE47" s="525"/>
      <c r="CF47" s="525"/>
      <c r="CG47" s="525"/>
      <c r="CH47" s="525"/>
      <c r="CI47" s="619"/>
      <c r="CJ47" s="525"/>
      <c r="CK47" s="528">
        <f>SUM(BZ47:CJ47)</f>
        <v>0</v>
      </c>
      <c r="CL47" s="526"/>
      <c r="CM47" s="525"/>
      <c r="CN47" s="525"/>
      <c r="CO47" s="525"/>
      <c r="CP47" s="572"/>
      <c r="CQ47" s="527"/>
      <c r="CR47" s="527"/>
      <c r="CS47" s="527"/>
      <c r="CT47" s="527"/>
      <c r="CU47" s="527"/>
      <c r="CV47" s="610"/>
      <c r="CW47" s="527"/>
      <c r="CX47" s="528">
        <f t="shared" si="16"/>
        <v>0</v>
      </c>
      <c r="CY47" s="611"/>
      <c r="DC47" s="612"/>
      <c r="DK47" s="519">
        <f t="shared" si="17"/>
        <v>0</v>
      </c>
      <c r="DX47" s="519">
        <f t="shared" si="18"/>
        <v>0</v>
      </c>
    </row>
    <row r="48" spans="1:128" ht="15">
      <c r="C48" s="538"/>
      <c r="D48" s="538"/>
      <c r="E48" s="538"/>
      <c r="F48" s="538"/>
      <c r="G48" s="538"/>
      <c r="H48" s="538"/>
      <c r="I48" s="538"/>
      <c r="J48" s="538"/>
      <c r="K48" s="538"/>
      <c r="L48" s="538"/>
      <c r="M48" s="538"/>
      <c r="N48" s="538"/>
      <c r="O48" s="514"/>
      <c r="P48" s="623"/>
      <c r="Q48" s="623"/>
      <c r="R48" s="623"/>
      <c r="S48" s="623"/>
      <c r="T48" s="623"/>
      <c r="U48" s="623"/>
      <c r="V48" s="534"/>
      <c r="W48" s="544"/>
      <c r="X48" s="623"/>
      <c r="Y48" s="623"/>
      <c r="Z48" s="525"/>
      <c r="AA48" s="534"/>
      <c r="AB48" s="605">
        <v>0</v>
      </c>
      <c r="AC48" s="613"/>
      <c r="AD48" s="534"/>
      <c r="AE48" s="630"/>
      <c r="AF48" s="534"/>
      <c r="AG48" s="630"/>
      <c r="AH48" s="534"/>
      <c r="AI48" s="544"/>
      <c r="AJ48" s="626"/>
      <c r="AK48" s="607">
        <f>SUM(AC48:AJ48)</f>
        <v>0</v>
      </c>
      <c r="AL48" s="628"/>
      <c r="AM48" s="634"/>
      <c r="AN48" s="628"/>
      <c r="AO48" s="628"/>
      <c r="AP48" s="525"/>
      <c r="AQ48" s="525"/>
      <c r="AR48" s="525"/>
      <c r="AS48" s="533"/>
      <c r="AT48" s="525"/>
      <c r="AU48" s="533"/>
      <c r="AV48" s="525"/>
      <c r="AW48" s="544"/>
      <c r="AX48" s="528">
        <f>SUM(AL48:AW48)</f>
        <v>0</v>
      </c>
      <c r="AY48" s="613"/>
      <c r="AZ48" s="525"/>
      <c r="BA48" s="525"/>
      <c r="BB48" s="525"/>
      <c r="BC48" s="525"/>
      <c r="BD48" s="544"/>
      <c r="BE48" s="525"/>
      <c r="BF48" s="525"/>
      <c r="BG48" s="525"/>
      <c r="BH48" s="563"/>
      <c r="BI48" s="525"/>
      <c r="BJ48" s="608"/>
      <c r="BK48" s="528">
        <f t="shared" ref="BK48:BK57" si="23">SUM(AY48:BJ48)</f>
        <v>0</v>
      </c>
      <c r="BL48" s="614"/>
      <c r="BM48" s="525"/>
      <c r="BN48" s="526"/>
      <c r="BO48" s="525"/>
      <c r="BP48" s="525"/>
      <c r="BQ48" s="615"/>
      <c r="BR48" s="533"/>
      <c r="BS48" s="533"/>
      <c r="BT48" s="533"/>
      <c r="BU48" s="533"/>
      <c r="BV48" s="533"/>
      <c r="BW48" s="618"/>
      <c r="BX48" s="528">
        <f t="shared" si="15"/>
        <v>0</v>
      </c>
      <c r="BY48" s="525"/>
      <c r="BZ48" s="544"/>
      <c r="CA48" s="525"/>
      <c r="CB48" s="525"/>
      <c r="CC48" s="525"/>
      <c r="CD48" s="619"/>
      <c r="CE48" s="525"/>
      <c r="CF48" s="525"/>
      <c r="CG48" s="525"/>
      <c r="CH48" s="525"/>
      <c r="CI48" s="525"/>
      <c r="CJ48" s="525"/>
      <c r="CK48" s="528">
        <f t="shared" si="12"/>
        <v>0</v>
      </c>
      <c r="CL48" s="526"/>
      <c r="CM48" s="525"/>
      <c r="CN48" s="544"/>
      <c r="CO48" s="525"/>
      <c r="CP48" s="527"/>
      <c r="CQ48" s="527"/>
      <c r="CR48" s="527"/>
      <c r="CS48" s="527"/>
      <c r="CT48" s="527"/>
      <c r="CU48" s="527"/>
      <c r="CV48" s="527"/>
      <c r="CW48" s="527"/>
      <c r="CX48" s="528">
        <f t="shared" si="16"/>
        <v>0</v>
      </c>
      <c r="CY48" s="611"/>
      <c r="DA48" s="612"/>
      <c r="DK48" s="519">
        <f t="shared" si="17"/>
        <v>0</v>
      </c>
      <c r="DX48" s="519">
        <f t="shared" si="18"/>
        <v>0</v>
      </c>
    </row>
    <row r="49" spans="2:128" ht="15">
      <c r="C49" s="538"/>
      <c r="D49" s="538"/>
      <c r="E49" s="538"/>
      <c r="F49" s="538"/>
      <c r="G49" s="538"/>
      <c r="H49" s="538"/>
      <c r="I49" s="538"/>
      <c r="J49" s="538"/>
      <c r="K49" s="538"/>
      <c r="L49" s="538"/>
      <c r="M49" s="538"/>
      <c r="N49" s="538"/>
      <c r="O49" s="514"/>
      <c r="P49" s="623"/>
      <c r="Q49" s="623"/>
      <c r="R49" s="623"/>
      <c r="S49" s="623"/>
      <c r="T49" s="623"/>
      <c r="U49" s="623"/>
      <c r="V49" s="534"/>
      <c r="W49" s="544"/>
      <c r="X49" s="623"/>
      <c r="Y49" s="623"/>
      <c r="Z49" s="525"/>
      <c r="AA49" s="534"/>
      <c r="AB49" s="605">
        <v>0</v>
      </c>
      <c r="AC49" s="613"/>
      <c r="AD49" s="534"/>
      <c r="AE49" s="630"/>
      <c r="AF49" s="534"/>
      <c r="AG49" s="630"/>
      <c r="AH49" s="534"/>
      <c r="AI49" s="544"/>
      <c r="AJ49" s="626"/>
      <c r="AK49" s="607">
        <f>SUM(AC49:AJ49)</f>
        <v>0</v>
      </c>
      <c r="AL49" s="628"/>
      <c r="AM49" s="634"/>
      <c r="AN49" s="628"/>
      <c r="AO49" s="628"/>
      <c r="AP49" s="525"/>
      <c r="AQ49" s="525"/>
      <c r="AR49" s="525"/>
      <c r="AS49" s="533"/>
      <c r="AT49" s="525"/>
      <c r="AU49" s="533"/>
      <c r="AV49" s="525"/>
      <c r="AW49" s="544"/>
      <c r="AX49" s="528">
        <f>SUM(AL49:AW49)</f>
        <v>0</v>
      </c>
      <c r="AY49" s="613"/>
      <c r="AZ49" s="525"/>
      <c r="BA49" s="525"/>
      <c r="BB49" s="525"/>
      <c r="BC49" s="525"/>
      <c r="BD49" s="544"/>
      <c r="BE49" s="525"/>
      <c r="BF49" s="525"/>
      <c r="BG49" s="525"/>
      <c r="BH49" s="563"/>
      <c r="BI49" s="525"/>
      <c r="BJ49" s="608"/>
      <c r="BK49" s="528">
        <f t="shared" si="23"/>
        <v>0</v>
      </c>
      <c r="BL49" s="614"/>
      <c r="BM49" s="533"/>
      <c r="BN49" s="535"/>
      <c r="BO49" s="533"/>
      <c r="BP49" s="525"/>
      <c r="BQ49" s="615"/>
      <c r="BR49" s="533"/>
      <c r="BS49" s="533"/>
      <c r="BT49" s="533"/>
      <c r="BU49" s="533"/>
      <c r="BV49" s="533"/>
      <c r="BW49" s="618"/>
      <c r="BX49" s="528">
        <f t="shared" si="15"/>
        <v>0</v>
      </c>
      <c r="BY49" s="525"/>
      <c r="BZ49" s="525"/>
      <c r="CA49" s="525"/>
      <c r="CB49" s="525"/>
      <c r="CC49" s="525"/>
      <c r="CD49" s="544"/>
      <c r="CE49" s="525"/>
      <c r="CF49" s="525"/>
      <c r="CG49" s="525"/>
      <c r="CH49" s="525"/>
      <c r="CI49" s="525"/>
      <c r="CJ49" s="525"/>
      <c r="CK49" s="528">
        <f t="shared" si="12"/>
        <v>0</v>
      </c>
      <c r="CL49" s="526"/>
      <c r="CM49" s="525"/>
      <c r="CN49" s="525"/>
      <c r="CO49" s="525"/>
      <c r="CP49" s="610"/>
      <c r="CQ49" s="610"/>
      <c r="CR49" s="527"/>
      <c r="CS49" s="527"/>
      <c r="CT49" s="527"/>
      <c r="CU49" s="527"/>
      <c r="CV49" s="527"/>
      <c r="CW49" s="527"/>
      <c r="CX49" s="528">
        <f t="shared" si="16"/>
        <v>0</v>
      </c>
      <c r="CY49" s="611"/>
      <c r="DD49" s="612"/>
      <c r="DK49" s="519">
        <f t="shared" si="17"/>
        <v>0</v>
      </c>
      <c r="DX49" s="519">
        <f t="shared" si="18"/>
        <v>0</v>
      </c>
    </row>
    <row r="50" spans="2:128" ht="15">
      <c r="C50" s="538"/>
      <c r="D50" s="538"/>
      <c r="E50" s="538"/>
      <c r="F50" s="538"/>
      <c r="G50" s="538"/>
      <c r="H50" s="538"/>
      <c r="I50" s="538"/>
      <c r="J50" s="538"/>
      <c r="K50" s="538"/>
      <c r="L50" s="538"/>
      <c r="M50" s="538"/>
      <c r="N50" s="538"/>
      <c r="O50" s="514"/>
      <c r="P50" s="623"/>
      <c r="Q50" s="623"/>
      <c r="R50" s="623"/>
      <c r="S50" s="623"/>
      <c r="T50" s="623"/>
      <c r="U50" s="623"/>
      <c r="V50" s="534"/>
      <c r="W50" s="544"/>
      <c r="X50" s="623"/>
      <c r="Y50" s="623"/>
      <c r="Z50" s="525"/>
      <c r="AA50" s="534"/>
      <c r="AB50" s="605">
        <v>0</v>
      </c>
      <c r="AC50" s="613"/>
      <c r="AD50" s="534"/>
      <c r="AE50" s="630"/>
      <c r="AF50" s="534"/>
      <c r="AG50" s="630"/>
      <c r="AH50" s="534"/>
      <c r="AI50" s="544"/>
      <c r="AJ50" s="626"/>
      <c r="AK50" s="607">
        <f t="shared" ref="AK50:AK57" si="24">SUM(AC50:AJ50)</f>
        <v>0</v>
      </c>
      <c r="AL50" s="628"/>
      <c r="AM50" s="634"/>
      <c r="AN50" s="628"/>
      <c r="AO50" s="628"/>
      <c r="AP50" s="525"/>
      <c r="AQ50" s="525"/>
      <c r="AR50" s="525"/>
      <c r="AS50" s="533"/>
      <c r="AT50" s="525"/>
      <c r="AU50" s="533"/>
      <c r="AV50" s="525"/>
      <c r="AW50" s="544"/>
      <c r="AX50" s="528">
        <f t="shared" ref="AX50:AX57" si="25">SUM(AL50:AW50)</f>
        <v>0</v>
      </c>
      <c r="AY50" s="613"/>
      <c r="AZ50" s="525"/>
      <c r="BA50" s="525"/>
      <c r="BB50" s="525"/>
      <c r="BC50" s="525"/>
      <c r="BD50" s="544"/>
      <c r="BE50" s="525"/>
      <c r="BF50" s="615"/>
      <c r="BG50" s="525"/>
      <c r="BH50" s="563"/>
      <c r="BI50" s="525"/>
      <c r="BJ50" s="608"/>
      <c r="BK50" s="528">
        <f t="shared" si="23"/>
        <v>0</v>
      </c>
      <c r="BL50" s="614"/>
      <c r="BM50" s="533"/>
      <c r="BN50" s="535"/>
      <c r="BO50" s="533"/>
      <c r="BP50" s="563"/>
      <c r="BQ50" s="526"/>
      <c r="BR50" s="525"/>
      <c r="BS50" s="544"/>
      <c r="BT50" s="525"/>
      <c r="BU50" s="533"/>
      <c r="BV50" s="533"/>
      <c r="BW50" s="618"/>
      <c r="BX50" s="528">
        <f t="shared" si="15"/>
        <v>0</v>
      </c>
      <c r="BY50" s="525"/>
      <c r="BZ50" s="525"/>
      <c r="CA50" s="525"/>
      <c r="CB50" s="525"/>
      <c r="CC50" s="563"/>
      <c r="CD50" s="525"/>
      <c r="CE50" s="525"/>
      <c r="CF50" s="525"/>
      <c r="CG50" s="544"/>
      <c r="CH50" s="525"/>
      <c r="CI50" s="525"/>
      <c r="CJ50" s="525"/>
      <c r="CK50" s="528">
        <f t="shared" si="12"/>
        <v>0</v>
      </c>
      <c r="CL50" s="526"/>
      <c r="CM50" s="525"/>
      <c r="CN50" s="525"/>
      <c r="CO50" s="525"/>
      <c r="CP50" s="527"/>
      <c r="CQ50" s="527"/>
      <c r="CR50" s="610"/>
      <c r="CS50" s="527"/>
      <c r="CT50" s="527"/>
      <c r="CU50" s="527"/>
      <c r="CV50" s="527"/>
      <c r="CW50" s="527"/>
      <c r="CX50" s="528">
        <f t="shared" si="16"/>
        <v>0</v>
      </c>
      <c r="CY50" s="611"/>
      <c r="DE50" s="612"/>
      <c r="DK50" s="519">
        <f t="shared" si="17"/>
        <v>0</v>
      </c>
      <c r="DX50" s="519">
        <f t="shared" si="18"/>
        <v>0</v>
      </c>
    </row>
    <row r="51" spans="2:128" ht="15">
      <c r="C51" s="538"/>
      <c r="D51" s="538"/>
      <c r="E51" s="538"/>
      <c r="F51" s="538"/>
      <c r="G51" s="538"/>
      <c r="H51" s="538"/>
      <c r="I51" s="538"/>
      <c r="J51" s="538"/>
      <c r="K51" s="538"/>
      <c r="L51" s="538"/>
      <c r="M51" s="538"/>
      <c r="N51" s="538"/>
      <c r="O51" s="514"/>
      <c r="P51" s="623"/>
      <c r="Q51" s="623"/>
      <c r="R51" s="623"/>
      <c r="S51" s="623"/>
      <c r="T51" s="623"/>
      <c r="U51" s="623"/>
      <c r="V51" s="534"/>
      <c r="W51" s="544"/>
      <c r="X51" s="623"/>
      <c r="Y51" s="623"/>
      <c r="Z51" s="525"/>
      <c r="AA51" s="534"/>
      <c r="AB51" s="605">
        <v>0</v>
      </c>
      <c r="AC51" s="613"/>
      <c r="AD51" s="534"/>
      <c r="AE51" s="630"/>
      <c r="AF51" s="534"/>
      <c r="AG51" s="630"/>
      <c r="AH51" s="534"/>
      <c r="AI51" s="544"/>
      <c r="AJ51" s="626"/>
      <c r="AK51" s="607">
        <f t="shared" si="24"/>
        <v>0</v>
      </c>
      <c r="AL51" s="628"/>
      <c r="AM51" s="634"/>
      <c r="AN51" s="628"/>
      <c r="AO51" s="628"/>
      <c r="AP51" s="525"/>
      <c r="AQ51" s="525"/>
      <c r="AR51" s="525"/>
      <c r="AS51" s="533"/>
      <c r="AT51" s="525"/>
      <c r="AU51" s="533"/>
      <c r="AV51" s="525"/>
      <c r="AW51" s="544"/>
      <c r="AX51" s="528">
        <f t="shared" si="25"/>
        <v>0</v>
      </c>
      <c r="AY51" s="613"/>
      <c r="AZ51" s="525"/>
      <c r="BA51" s="525"/>
      <c r="BB51" s="525"/>
      <c r="BC51" s="525"/>
      <c r="BD51" s="544"/>
      <c r="BE51" s="525"/>
      <c r="BF51" s="525"/>
      <c r="BG51" s="544"/>
      <c r="BH51" s="563"/>
      <c r="BI51" s="525"/>
      <c r="BJ51" s="608"/>
      <c r="BK51" s="528">
        <f t="shared" si="23"/>
        <v>0</v>
      </c>
      <c r="BL51" s="614"/>
      <c r="BM51" s="533"/>
      <c r="BN51" s="535"/>
      <c r="BO51" s="533"/>
      <c r="BP51" s="563"/>
      <c r="BQ51" s="526"/>
      <c r="BR51" s="533"/>
      <c r="BS51" s="544"/>
      <c r="BT51" s="525"/>
      <c r="BU51" s="544"/>
      <c r="BV51" s="533"/>
      <c r="BW51" s="618"/>
      <c r="BX51" s="528">
        <f t="shared" si="15"/>
        <v>0</v>
      </c>
      <c r="BY51" s="525"/>
      <c r="BZ51" s="525"/>
      <c r="CA51" s="525"/>
      <c r="CB51" s="525"/>
      <c r="CC51" s="563"/>
      <c r="CD51" s="525"/>
      <c r="CE51" s="525"/>
      <c r="CF51" s="619"/>
      <c r="CG51" s="525"/>
      <c r="CH51" s="525"/>
      <c r="CI51" s="525"/>
      <c r="CJ51" s="525"/>
      <c r="CK51" s="528">
        <f t="shared" si="12"/>
        <v>0</v>
      </c>
      <c r="CL51" s="526"/>
      <c r="CM51" s="525"/>
      <c r="CN51" s="525"/>
      <c r="CO51" s="525"/>
      <c r="CP51" s="527"/>
      <c r="CQ51" s="527"/>
      <c r="CR51" s="527"/>
      <c r="CS51" s="527"/>
      <c r="CT51" s="527"/>
      <c r="CU51" s="527"/>
      <c r="CV51" s="527"/>
      <c r="CW51" s="527"/>
      <c r="CX51" s="528">
        <f t="shared" si="16"/>
        <v>0</v>
      </c>
      <c r="CY51" s="611"/>
      <c r="DK51" s="519">
        <f t="shared" si="17"/>
        <v>0</v>
      </c>
      <c r="DX51" s="519">
        <f t="shared" si="18"/>
        <v>0</v>
      </c>
    </row>
    <row r="52" spans="2:128" ht="15">
      <c r="C52" s="538"/>
      <c r="D52" s="538"/>
      <c r="E52" s="538"/>
      <c r="F52" s="538"/>
      <c r="G52" s="538"/>
      <c r="H52" s="538"/>
      <c r="I52" s="538"/>
      <c r="J52" s="538"/>
      <c r="K52" s="538"/>
      <c r="L52" s="538"/>
      <c r="M52" s="538"/>
      <c r="N52" s="538"/>
      <c r="O52" s="514"/>
      <c r="P52" s="623"/>
      <c r="Q52" s="623"/>
      <c r="R52" s="623"/>
      <c r="S52" s="623"/>
      <c r="T52" s="623"/>
      <c r="U52" s="623"/>
      <c r="V52" s="534"/>
      <c r="W52" s="544"/>
      <c r="X52" s="623"/>
      <c r="Y52" s="623"/>
      <c r="Z52" s="525"/>
      <c r="AA52" s="534"/>
      <c r="AB52" s="605">
        <v>0</v>
      </c>
      <c r="AC52" s="613"/>
      <c r="AD52" s="534"/>
      <c r="AE52" s="630"/>
      <c r="AF52" s="534"/>
      <c r="AG52" s="630"/>
      <c r="AH52" s="534"/>
      <c r="AI52" s="544"/>
      <c r="AJ52" s="626"/>
      <c r="AK52" s="607">
        <f t="shared" si="24"/>
        <v>0</v>
      </c>
      <c r="AL52" s="628"/>
      <c r="AM52" s="634"/>
      <c r="AN52" s="628"/>
      <c r="AO52" s="628"/>
      <c r="AP52" s="525"/>
      <c r="AQ52" s="525"/>
      <c r="AR52" s="525"/>
      <c r="AS52" s="533"/>
      <c r="AT52" s="525"/>
      <c r="AU52" s="533"/>
      <c r="AV52" s="525"/>
      <c r="AW52" s="544"/>
      <c r="AX52" s="528">
        <f t="shared" si="25"/>
        <v>0</v>
      </c>
      <c r="AY52" s="613"/>
      <c r="AZ52" s="525"/>
      <c r="BA52" s="525"/>
      <c r="BB52" s="525"/>
      <c r="BC52" s="525"/>
      <c r="BD52" s="544"/>
      <c r="BE52" s="525"/>
      <c r="BF52" s="525"/>
      <c r="BG52" s="525"/>
      <c r="BH52" s="563"/>
      <c r="BI52" s="544"/>
      <c r="BJ52" s="608"/>
      <c r="BK52" s="528">
        <f t="shared" si="23"/>
        <v>0</v>
      </c>
      <c r="BL52" s="614"/>
      <c r="BM52" s="525"/>
      <c r="BN52" s="526"/>
      <c r="BO52" s="544"/>
      <c r="BP52" s="563"/>
      <c r="BQ52" s="526"/>
      <c r="BR52" s="533"/>
      <c r="BS52" s="533"/>
      <c r="BT52" s="525"/>
      <c r="BU52" s="544"/>
      <c r="BV52" s="533"/>
      <c r="BW52" s="618"/>
      <c r="BX52" s="528">
        <f t="shared" si="15"/>
        <v>0</v>
      </c>
      <c r="BY52" s="525"/>
      <c r="BZ52" s="563"/>
      <c r="CA52" s="544"/>
      <c r="CB52" s="525"/>
      <c r="CC52" s="563"/>
      <c r="CD52" s="525"/>
      <c r="CE52" s="525"/>
      <c r="CF52" s="525"/>
      <c r="CG52" s="533"/>
      <c r="CH52" s="525"/>
      <c r="CI52" s="541"/>
      <c r="CJ52" s="563"/>
      <c r="CK52" s="528">
        <f>SUM(BY52:CJ52)</f>
        <v>0</v>
      </c>
      <c r="CL52" s="615"/>
      <c r="CM52" s="541"/>
      <c r="CN52" s="619"/>
      <c r="CO52" s="525"/>
      <c r="CP52" s="527"/>
      <c r="CQ52" s="527"/>
      <c r="CR52" s="527"/>
      <c r="CS52" s="527"/>
      <c r="CT52" s="527"/>
      <c r="CU52" s="610"/>
      <c r="CV52" s="527"/>
      <c r="CW52" s="527"/>
      <c r="CX52" s="528">
        <f>SUM(CL52:CW52)</f>
        <v>0</v>
      </c>
      <c r="CY52" s="611"/>
      <c r="DA52" s="612"/>
      <c r="DH52" s="612"/>
      <c r="DK52" s="519">
        <f t="shared" si="17"/>
        <v>0</v>
      </c>
      <c r="DX52" s="519">
        <f t="shared" si="18"/>
        <v>0</v>
      </c>
    </row>
    <row r="53" spans="2:128" ht="15">
      <c r="C53" s="538"/>
      <c r="D53" s="538"/>
      <c r="E53" s="538"/>
      <c r="F53" s="538"/>
      <c r="G53" s="538"/>
      <c r="H53" s="538"/>
      <c r="I53" s="538"/>
      <c r="J53" s="538"/>
      <c r="K53" s="538"/>
      <c r="L53" s="538"/>
      <c r="M53" s="538"/>
      <c r="N53" s="538"/>
      <c r="O53" s="514"/>
      <c r="P53" s="623"/>
      <c r="Q53" s="623"/>
      <c r="R53" s="623"/>
      <c r="S53" s="623"/>
      <c r="T53" s="623"/>
      <c r="U53" s="623"/>
      <c r="V53" s="534"/>
      <c r="W53" s="544"/>
      <c r="X53" s="623"/>
      <c r="Y53" s="623"/>
      <c r="Z53" s="525"/>
      <c r="AA53" s="534"/>
      <c r="AB53" s="605">
        <v>0</v>
      </c>
      <c r="AC53" s="613"/>
      <c r="AD53" s="534"/>
      <c r="AE53" s="630"/>
      <c r="AF53" s="534"/>
      <c r="AG53" s="630"/>
      <c r="AH53" s="534"/>
      <c r="AI53" s="544"/>
      <c r="AJ53" s="626"/>
      <c r="AK53" s="607">
        <f t="shared" si="24"/>
        <v>0</v>
      </c>
      <c r="AL53" s="628"/>
      <c r="AM53" s="634"/>
      <c r="AN53" s="628"/>
      <c r="AO53" s="628"/>
      <c r="AP53" s="525"/>
      <c r="AQ53" s="525"/>
      <c r="AR53" s="525"/>
      <c r="AS53" s="533"/>
      <c r="AT53" s="525"/>
      <c r="AU53" s="533"/>
      <c r="AV53" s="525"/>
      <c r="AW53" s="544"/>
      <c r="AX53" s="528">
        <f t="shared" si="25"/>
        <v>0</v>
      </c>
      <c r="AY53" s="613"/>
      <c r="AZ53" s="525"/>
      <c r="BA53" s="525"/>
      <c r="BB53" s="525"/>
      <c r="BC53" s="525"/>
      <c r="BD53" s="544"/>
      <c r="BE53" s="525"/>
      <c r="BF53" s="525"/>
      <c r="BG53" s="525"/>
      <c r="BH53" s="563"/>
      <c r="BI53" s="544"/>
      <c r="BJ53" s="608"/>
      <c r="BK53" s="528">
        <f t="shared" si="23"/>
        <v>0</v>
      </c>
      <c r="BL53" s="614"/>
      <c r="BM53" s="563"/>
      <c r="BN53" s="535"/>
      <c r="BO53" s="533"/>
      <c r="BP53" s="563"/>
      <c r="BQ53" s="526"/>
      <c r="BR53" s="533"/>
      <c r="BS53" s="533"/>
      <c r="BT53" s="533"/>
      <c r="BU53" s="533"/>
      <c r="BV53" s="525"/>
      <c r="BW53" s="544"/>
      <c r="BX53" s="528">
        <f>SUM(BL53:BW53)</f>
        <v>0</v>
      </c>
      <c r="BY53" s="525"/>
      <c r="BZ53" s="525"/>
      <c r="CA53" s="525"/>
      <c r="CB53" s="525"/>
      <c r="CC53" s="563"/>
      <c r="CD53" s="525"/>
      <c r="CE53" s="525"/>
      <c r="CF53" s="525"/>
      <c r="CG53" s="525"/>
      <c r="CH53" s="544"/>
      <c r="CI53" s="525"/>
      <c r="CJ53" s="619"/>
      <c r="CK53" s="528">
        <f t="shared" si="12"/>
        <v>0</v>
      </c>
      <c r="CL53" s="526"/>
      <c r="CM53" s="525"/>
      <c r="CN53" s="525"/>
      <c r="CO53" s="525"/>
      <c r="CP53" s="527"/>
      <c r="CQ53" s="527"/>
      <c r="CR53" s="527"/>
      <c r="CS53" s="527"/>
      <c r="CT53" s="527"/>
      <c r="CU53" s="527"/>
      <c r="CV53" s="527"/>
      <c r="CW53" s="610"/>
      <c r="CX53" s="528">
        <f t="shared" si="16"/>
        <v>0</v>
      </c>
      <c r="CY53" s="611"/>
      <c r="DJ53" s="612"/>
      <c r="DK53" s="519">
        <f t="shared" si="17"/>
        <v>0</v>
      </c>
      <c r="DX53" s="519">
        <f t="shared" si="18"/>
        <v>0</v>
      </c>
    </row>
    <row r="54" spans="2:128" ht="15">
      <c r="C54" s="538"/>
      <c r="D54" s="538"/>
      <c r="E54" s="538"/>
      <c r="F54" s="538"/>
      <c r="G54" s="538"/>
      <c r="H54" s="538"/>
      <c r="I54" s="538"/>
      <c r="J54" s="538"/>
      <c r="K54" s="538"/>
      <c r="L54" s="538"/>
      <c r="M54" s="538"/>
      <c r="N54" s="538"/>
      <c r="O54" s="514"/>
      <c r="P54" s="623"/>
      <c r="Q54" s="623"/>
      <c r="R54" s="623"/>
      <c r="S54" s="623"/>
      <c r="T54" s="623"/>
      <c r="U54" s="623"/>
      <c r="V54" s="534"/>
      <c r="W54" s="544"/>
      <c r="X54" s="623"/>
      <c r="Y54" s="623"/>
      <c r="Z54" s="525"/>
      <c r="AA54" s="534"/>
      <c r="AB54" s="605">
        <v>0</v>
      </c>
      <c r="AC54" s="613"/>
      <c r="AD54" s="534"/>
      <c r="AE54" s="630"/>
      <c r="AF54" s="534"/>
      <c r="AG54" s="630"/>
      <c r="AH54" s="534"/>
      <c r="AI54" s="544"/>
      <c r="AJ54" s="626"/>
      <c r="AK54" s="607">
        <f t="shared" si="24"/>
        <v>0</v>
      </c>
      <c r="AL54" s="628"/>
      <c r="AM54" s="634"/>
      <c r="AN54" s="628"/>
      <c r="AO54" s="628"/>
      <c r="AP54" s="525"/>
      <c r="AQ54" s="525"/>
      <c r="AR54" s="525"/>
      <c r="AS54" s="533"/>
      <c r="AT54" s="525"/>
      <c r="AU54" s="533"/>
      <c r="AV54" s="525"/>
      <c r="AW54" s="544"/>
      <c r="AX54" s="528">
        <f t="shared" si="25"/>
        <v>0</v>
      </c>
      <c r="AY54" s="613"/>
      <c r="AZ54" s="525"/>
      <c r="BA54" s="525"/>
      <c r="BB54" s="525"/>
      <c r="BC54" s="525"/>
      <c r="BD54" s="544"/>
      <c r="BE54" s="525"/>
      <c r="BF54" s="525"/>
      <c r="BG54" s="525"/>
      <c r="BH54" s="563"/>
      <c r="BI54" s="544"/>
      <c r="BJ54" s="608"/>
      <c r="BK54" s="528">
        <f t="shared" si="23"/>
        <v>0</v>
      </c>
      <c r="BL54" s="614"/>
      <c r="BM54" s="544"/>
      <c r="BN54" s="535"/>
      <c r="BO54" s="533"/>
      <c r="BP54" s="563"/>
      <c r="BQ54" s="526"/>
      <c r="BR54" s="533"/>
      <c r="BS54" s="533"/>
      <c r="BT54" s="533"/>
      <c r="BU54" s="533"/>
      <c r="BV54" s="533"/>
      <c r="BW54" s="618"/>
      <c r="BX54" s="528">
        <f t="shared" si="15"/>
        <v>0</v>
      </c>
      <c r="BY54" s="525"/>
      <c r="BZ54" s="619"/>
      <c r="CA54" s="525"/>
      <c r="CB54" s="525"/>
      <c r="CC54" s="563"/>
      <c r="CD54" s="525"/>
      <c r="CE54" s="525"/>
      <c r="CF54" s="525"/>
      <c r="CG54" s="525"/>
      <c r="CH54" s="525"/>
      <c r="CI54" s="525"/>
      <c r="CJ54" s="525"/>
      <c r="CK54" s="528">
        <f t="shared" si="12"/>
        <v>0</v>
      </c>
      <c r="CL54" s="526"/>
      <c r="CM54" s="544"/>
      <c r="CN54" s="541"/>
      <c r="CO54" s="525"/>
      <c r="CP54" s="527"/>
      <c r="CQ54" s="527"/>
      <c r="CR54" s="527"/>
      <c r="CS54" s="527"/>
      <c r="CT54" s="527"/>
      <c r="CU54" s="527"/>
      <c r="CV54" s="527"/>
      <c r="CW54" s="527"/>
      <c r="CX54" s="528">
        <f t="shared" si="16"/>
        <v>0</v>
      </c>
      <c r="CY54" s="611"/>
      <c r="DK54" s="519">
        <f t="shared" si="17"/>
        <v>0</v>
      </c>
      <c r="DX54" s="519">
        <f t="shared" si="18"/>
        <v>0</v>
      </c>
    </row>
    <row r="55" spans="2:128" ht="15">
      <c r="C55" s="538"/>
      <c r="D55" s="538"/>
      <c r="E55" s="538"/>
      <c r="F55" s="538"/>
      <c r="G55" s="538"/>
      <c r="H55" s="538"/>
      <c r="I55" s="538"/>
      <c r="J55" s="538"/>
      <c r="K55" s="538"/>
      <c r="L55" s="538"/>
      <c r="M55" s="538"/>
      <c r="N55" s="538"/>
      <c r="O55" s="514"/>
      <c r="P55" s="623"/>
      <c r="Q55" s="623"/>
      <c r="R55" s="623"/>
      <c r="S55" s="623"/>
      <c r="T55" s="623"/>
      <c r="U55" s="623"/>
      <c r="V55" s="534"/>
      <c r="W55" s="544"/>
      <c r="X55" s="623"/>
      <c r="Y55" s="623"/>
      <c r="Z55" s="525"/>
      <c r="AA55" s="534"/>
      <c r="AB55" s="605">
        <v>0</v>
      </c>
      <c r="AC55" s="613"/>
      <c r="AD55" s="534"/>
      <c r="AE55" s="630"/>
      <c r="AF55" s="534"/>
      <c r="AG55" s="630"/>
      <c r="AH55" s="534"/>
      <c r="AI55" s="544"/>
      <c r="AJ55" s="626"/>
      <c r="AK55" s="607">
        <f t="shared" si="24"/>
        <v>0</v>
      </c>
      <c r="AL55" s="628"/>
      <c r="AM55" s="634"/>
      <c r="AN55" s="628"/>
      <c r="AO55" s="628"/>
      <c r="AP55" s="525"/>
      <c r="AQ55" s="525"/>
      <c r="AR55" s="525"/>
      <c r="AS55" s="533"/>
      <c r="AT55" s="525"/>
      <c r="AU55" s="533"/>
      <c r="AV55" s="525"/>
      <c r="AW55" s="544"/>
      <c r="AX55" s="528">
        <f t="shared" si="25"/>
        <v>0</v>
      </c>
      <c r="AY55" s="613"/>
      <c r="AZ55" s="525"/>
      <c r="BA55" s="525"/>
      <c r="BB55" s="525"/>
      <c r="BC55" s="525"/>
      <c r="BD55" s="544"/>
      <c r="BE55" s="525"/>
      <c r="BF55" s="525"/>
      <c r="BG55" s="525"/>
      <c r="BH55" s="563"/>
      <c r="BI55" s="544"/>
      <c r="BJ55" s="608"/>
      <c r="BK55" s="528">
        <f t="shared" si="23"/>
        <v>0</v>
      </c>
      <c r="BL55" s="614"/>
      <c r="BM55" s="544"/>
      <c r="BN55" s="535"/>
      <c r="BO55" s="533"/>
      <c r="BP55" s="563"/>
      <c r="BQ55" s="526"/>
      <c r="BR55" s="533"/>
      <c r="BS55" s="533"/>
      <c r="BT55" s="533"/>
      <c r="BU55" s="533"/>
      <c r="BV55" s="544"/>
      <c r="BW55" s="618"/>
      <c r="BX55" s="528">
        <f t="shared" si="15"/>
        <v>0</v>
      </c>
      <c r="BY55" s="525"/>
      <c r="BZ55" s="619"/>
      <c r="CA55" s="525"/>
      <c r="CB55" s="525"/>
      <c r="CC55" s="563"/>
      <c r="CD55" s="525"/>
      <c r="CE55" s="525"/>
      <c r="CF55" s="525"/>
      <c r="CG55" s="525"/>
      <c r="CH55" s="525"/>
      <c r="CI55" s="544"/>
      <c r="CJ55" s="525"/>
      <c r="CK55" s="528">
        <f t="shared" si="12"/>
        <v>0</v>
      </c>
      <c r="CL55" s="526"/>
      <c r="CM55" s="525"/>
      <c r="CN55" s="525"/>
      <c r="CO55" s="525"/>
      <c r="CP55" s="527"/>
      <c r="CQ55" s="527"/>
      <c r="CR55" s="527"/>
      <c r="CS55" s="527"/>
      <c r="CT55" s="527"/>
      <c r="CU55" s="610"/>
      <c r="CV55" s="527"/>
      <c r="CW55" s="527"/>
      <c r="CX55" s="528">
        <f t="shared" si="16"/>
        <v>0</v>
      </c>
      <c r="CY55" s="611"/>
      <c r="DH55" s="612"/>
      <c r="DK55" s="519">
        <f t="shared" si="17"/>
        <v>0</v>
      </c>
      <c r="DX55" s="519">
        <f t="shared" si="18"/>
        <v>0</v>
      </c>
    </row>
    <row r="56" spans="2:128" ht="15">
      <c r="C56" s="538"/>
      <c r="D56" s="538"/>
      <c r="E56" s="538"/>
      <c r="F56" s="538"/>
      <c r="G56" s="538"/>
      <c r="H56" s="538"/>
      <c r="I56" s="538"/>
      <c r="J56" s="538"/>
      <c r="K56" s="538"/>
      <c r="L56" s="538"/>
      <c r="M56" s="538"/>
      <c r="N56" s="538"/>
      <c r="O56" s="514"/>
      <c r="P56" s="623"/>
      <c r="Q56" s="623"/>
      <c r="R56" s="623"/>
      <c r="S56" s="623"/>
      <c r="T56" s="623"/>
      <c r="U56" s="623"/>
      <c r="V56" s="534"/>
      <c r="W56" s="544"/>
      <c r="X56" s="623"/>
      <c r="Y56" s="623"/>
      <c r="Z56" s="525"/>
      <c r="AA56" s="534"/>
      <c r="AB56" s="605">
        <v>0</v>
      </c>
      <c r="AC56" s="613"/>
      <c r="AD56" s="534"/>
      <c r="AE56" s="630"/>
      <c r="AF56" s="534"/>
      <c r="AG56" s="630"/>
      <c r="AH56" s="534"/>
      <c r="AI56" s="544"/>
      <c r="AJ56" s="626"/>
      <c r="AK56" s="607">
        <f t="shared" si="24"/>
        <v>0</v>
      </c>
      <c r="AL56" s="628"/>
      <c r="AM56" s="634"/>
      <c r="AN56" s="628"/>
      <c r="AO56" s="628"/>
      <c r="AP56" s="525"/>
      <c r="AQ56" s="525"/>
      <c r="AR56" s="525"/>
      <c r="AS56" s="533"/>
      <c r="AT56" s="525"/>
      <c r="AU56" s="533"/>
      <c r="AV56" s="525"/>
      <c r="AW56" s="544"/>
      <c r="AX56" s="528">
        <f t="shared" si="25"/>
        <v>0</v>
      </c>
      <c r="AY56" s="613"/>
      <c r="AZ56" s="525"/>
      <c r="BA56" s="525"/>
      <c r="BB56" s="525"/>
      <c r="BC56" s="525"/>
      <c r="BD56" s="544"/>
      <c r="BE56" s="525"/>
      <c r="BF56" s="525"/>
      <c r="BG56" s="525"/>
      <c r="BH56" s="563"/>
      <c r="BI56" s="544"/>
      <c r="BJ56" s="608"/>
      <c r="BK56" s="528">
        <f t="shared" si="23"/>
        <v>0</v>
      </c>
      <c r="BL56" s="614"/>
      <c r="BM56" s="544"/>
      <c r="BN56" s="535"/>
      <c r="BO56" s="533"/>
      <c r="BP56" s="563"/>
      <c r="BQ56" s="526"/>
      <c r="BR56" s="533"/>
      <c r="BS56" s="533"/>
      <c r="BT56" s="533"/>
      <c r="BU56" s="533"/>
      <c r="BV56" s="525"/>
      <c r="BW56" s="563"/>
      <c r="BX56" s="528">
        <f>SUM(BL56:BW56)</f>
        <v>0</v>
      </c>
      <c r="BY56" s="544"/>
      <c r="BZ56" s="544"/>
      <c r="CA56" s="525"/>
      <c r="CB56" s="525"/>
      <c r="CC56" s="544"/>
      <c r="CD56" s="544"/>
      <c r="CE56" s="544"/>
      <c r="CF56" s="544"/>
      <c r="CG56" s="525"/>
      <c r="CH56" s="544"/>
      <c r="CI56" s="544"/>
      <c r="CJ56" s="544"/>
      <c r="CK56" s="528">
        <f t="shared" si="12"/>
        <v>0</v>
      </c>
      <c r="CL56" s="544"/>
      <c r="CM56" s="544"/>
      <c r="CN56" s="541"/>
      <c r="CO56" s="544"/>
      <c r="CP56" s="572"/>
      <c r="CQ56" s="527"/>
      <c r="CR56" s="527"/>
      <c r="CS56" s="527"/>
      <c r="CT56" s="527"/>
      <c r="CU56" s="527"/>
      <c r="CV56" s="527"/>
      <c r="CW56" s="527"/>
      <c r="CX56" s="528">
        <f t="shared" si="16"/>
        <v>0</v>
      </c>
      <c r="CY56" s="527"/>
      <c r="CZ56" s="527"/>
      <c r="DA56" s="527"/>
      <c r="DB56" s="527"/>
      <c r="DC56" s="527"/>
      <c r="DK56" s="519">
        <f t="shared" si="17"/>
        <v>0</v>
      </c>
      <c r="DX56" s="519">
        <f t="shared" si="18"/>
        <v>0</v>
      </c>
    </row>
    <row r="57" spans="2:128" ht="15">
      <c r="B57" s="636"/>
      <c r="C57" s="538"/>
      <c r="D57" s="538"/>
      <c r="E57" s="538"/>
      <c r="F57" s="538"/>
      <c r="G57" s="538"/>
      <c r="H57" s="538"/>
      <c r="I57" s="538"/>
      <c r="J57" s="538"/>
      <c r="K57" s="538"/>
      <c r="L57" s="538"/>
      <c r="M57" s="538"/>
      <c r="N57" s="538"/>
      <c r="O57" s="514"/>
      <c r="P57" s="623"/>
      <c r="Q57" s="623"/>
      <c r="R57" s="623"/>
      <c r="S57" s="623"/>
      <c r="T57" s="623"/>
      <c r="U57" s="623"/>
      <c r="V57" s="534"/>
      <c r="W57" s="544"/>
      <c r="X57" s="623"/>
      <c r="Y57" s="623"/>
      <c r="Z57" s="525"/>
      <c r="AA57" s="534"/>
      <c r="AB57" s="605">
        <v>0</v>
      </c>
      <c r="AC57" s="613"/>
      <c r="AD57" s="534"/>
      <c r="AE57" s="630"/>
      <c r="AF57" s="534"/>
      <c r="AG57" s="630"/>
      <c r="AH57" s="534"/>
      <c r="AI57" s="544"/>
      <c r="AJ57" s="626"/>
      <c r="AK57" s="607">
        <f t="shared" si="24"/>
        <v>0</v>
      </c>
      <c r="AL57" s="628"/>
      <c r="AM57" s="634"/>
      <c r="AN57" s="628"/>
      <c r="AO57" s="628"/>
      <c r="AP57" s="525"/>
      <c r="AQ57" s="525"/>
      <c r="AR57" s="525"/>
      <c r="AS57" s="533"/>
      <c r="AT57" s="525"/>
      <c r="AU57" s="533"/>
      <c r="AV57" s="525"/>
      <c r="AW57" s="544"/>
      <c r="AX57" s="528">
        <f t="shared" si="25"/>
        <v>0</v>
      </c>
      <c r="AY57" s="613"/>
      <c r="AZ57" s="525"/>
      <c r="BA57" s="525"/>
      <c r="BB57" s="525"/>
      <c r="BC57" s="525"/>
      <c r="BD57" s="544"/>
      <c r="BE57" s="525"/>
      <c r="BF57" s="525"/>
      <c r="BG57" s="525"/>
      <c r="BH57" s="563"/>
      <c r="BI57" s="544"/>
      <c r="BJ57" s="608"/>
      <c r="BK57" s="528">
        <f t="shared" si="23"/>
        <v>0</v>
      </c>
      <c r="BL57" s="614"/>
      <c r="BM57" s="544"/>
      <c r="BN57" s="535"/>
      <c r="BO57" s="533"/>
      <c r="BP57" s="563"/>
      <c r="BQ57" s="526"/>
      <c r="BR57" s="533"/>
      <c r="BS57" s="533"/>
      <c r="BT57" s="533"/>
      <c r="BU57" s="533"/>
      <c r="BV57" s="525"/>
      <c r="BW57" s="563"/>
      <c r="BX57" s="528">
        <f>SUM(BL57:BW57)</f>
        <v>0</v>
      </c>
      <c r="BY57" s="544"/>
      <c r="BZ57" s="563"/>
      <c r="CA57" s="563"/>
      <c r="CB57" s="563"/>
      <c r="CC57" s="563"/>
      <c r="CD57" s="534"/>
      <c r="CE57" s="525"/>
      <c r="CF57" s="525"/>
      <c r="CG57" s="525"/>
      <c r="CH57" s="525"/>
      <c r="CI57" s="525"/>
      <c r="CJ57" s="525"/>
      <c r="CK57" s="528">
        <f t="shared" si="12"/>
        <v>0</v>
      </c>
      <c r="CL57" s="526"/>
      <c r="CM57" s="525"/>
      <c r="CN57" s="525"/>
      <c r="CO57" s="525"/>
      <c r="CQ57" s="527"/>
      <c r="CR57" s="527"/>
      <c r="CS57" s="527"/>
      <c r="CT57" s="527"/>
      <c r="CU57" s="527"/>
      <c r="CV57" s="527"/>
      <c r="CW57" s="527"/>
      <c r="CX57" s="528">
        <f t="shared" si="16"/>
        <v>0</v>
      </c>
      <c r="CY57" s="611"/>
      <c r="DC57" s="612"/>
      <c r="DK57" s="519">
        <f t="shared" si="17"/>
        <v>0</v>
      </c>
      <c r="DX57" s="519">
        <f t="shared" si="18"/>
        <v>0</v>
      </c>
    </row>
    <row r="58" spans="2:128" ht="15">
      <c r="B58" s="636"/>
      <c r="C58" s="538"/>
      <c r="D58" s="538"/>
      <c r="E58" s="538"/>
      <c r="F58" s="538"/>
      <c r="G58" s="538"/>
      <c r="H58" s="538"/>
      <c r="I58" s="538"/>
      <c r="J58" s="538"/>
      <c r="K58" s="538"/>
      <c r="L58" s="538"/>
      <c r="M58" s="538"/>
      <c r="N58" s="538"/>
      <c r="O58" s="514"/>
      <c r="P58" s="623"/>
      <c r="Q58" s="623"/>
      <c r="R58" s="623"/>
      <c r="S58" s="623"/>
      <c r="T58" s="623"/>
      <c r="U58" s="623"/>
      <c r="V58" s="534"/>
      <c r="W58" s="544"/>
      <c r="X58" s="623"/>
      <c r="Y58" s="623"/>
      <c r="Z58" s="525"/>
      <c r="AA58" s="534"/>
      <c r="AB58" s="605"/>
      <c r="AC58" s="613"/>
      <c r="AD58" s="534"/>
      <c r="AE58" s="630"/>
      <c r="AF58" s="534"/>
      <c r="AG58" s="630"/>
      <c r="AH58" s="534"/>
      <c r="AI58" s="544"/>
      <c r="AJ58" s="626"/>
      <c r="AK58" s="607"/>
      <c r="AL58" s="628"/>
      <c r="AM58" s="634"/>
      <c r="AN58" s="628"/>
      <c r="AO58" s="628"/>
      <c r="AP58" s="525"/>
      <c r="AQ58" s="525"/>
      <c r="AR58" s="525"/>
      <c r="AS58" s="533"/>
      <c r="AT58" s="525"/>
      <c r="AU58" s="533"/>
      <c r="AV58" s="525"/>
      <c r="AW58" s="544"/>
      <c r="AX58" s="528"/>
      <c r="AY58" s="613"/>
      <c r="AZ58" s="525"/>
      <c r="BA58" s="525"/>
      <c r="BB58" s="525"/>
      <c r="BC58" s="525"/>
      <c r="BD58" s="544"/>
      <c r="BE58" s="525"/>
      <c r="BF58" s="525"/>
      <c r="BG58" s="525"/>
      <c r="BH58" s="563"/>
      <c r="BI58" s="544"/>
      <c r="BJ58" s="608"/>
      <c r="BK58" s="528"/>
      <c r="BL58" s="614"/>
      <c r="BM58" s="544"/>
      <c r="BN58" s="535"/>
      <c r="BO58" s="533"/>
      <c r="BP58" s="563"/>
      <c r="BQ58" s="526"/>
      <c r="BR58" s="533"/>
      <c r="BS58" s="533"/>
      <c r="BT58" s="533"/>
      <c r="BU58" s="533"/>
      <c r="BV58" s="525"/>
      <c r="BW58" s="563"/>
      <c r="BX58" s="528"/>
      <c r="BY58" s="544"/>
      <c r="BZ58" s="563"/>
      <c r="CA58" s="563"/>
      <c r="CB58" s="563"/>
      <c r="CC58" s="563"/>
      <c r="CD58" s="534"/>
      <c r="CE58" s="525"/>
      <c r="CF58" s="525"/>
      <c r="CG58" s="525"/>
      <c r="CH58" s="525"/>
      <c r="CI58" s="525"/>
      <c r="CJ58" s="525"/>
      <c r="CK58" s="528">
        <f t="shared" si="12"/>
        <v>0</v>
      </c>
      <c r="CL58" s="543"/>
      <c r="CM58" s="541"/>
      <c r="CN58" s="544"/>
      <c r="CO58" s="544"/>
      <c r="CP58" s="527"/>
      <c r="CQ58" s="527"/>
      <c r="CR58" s="527"/>
      <c r="CS58" s="527"/>
      <c r="CT58" s="527"/>
      <c r="CU58" s="527"/>
      <c r="CV58" s="527"/>
      <c r="CW58" s="527"/>
      <c r="CX58" s="528">
        <f t="shared" si="16"/>
        <v>0</v>
      </c>
      <c r="CY58" s="611"/>
      <c r="DC58" s="612"/>
      <c r="DK58" s="519">
        <f t="shared" si="17"/>
        <v>0</v>
      </c>
      <c r="DX58" s="519"/>
    </row>
    <row r="59" spans="2:128" ht="15">
      <c r="B59" s="636"/>
      <c r="C59" s="538"/>
      <c r="D59" s="538"/>
      <c r="E59" s="538"/>
      <c r="F59" s="538"/>
      <c r="G59" s="538"/>
      <c r="H59" s="538"/>
      <c r="I59" s="538"/>
      <c r="J59" s="538"/>
      <c r="K59" s="538"/>
      <c r="L59" s="538"/>
      <c r="M59" s="538"/>
      <c r="N59" s="538"/>
      <c r="O59" s="514"/>
      <c r="P59" s="623"/>
      <c r="Q59" s="623"/>
      <c r="R59" s="623"/>
      <c r="S59" s="623"/>
      <c r="T59" s="623"/>
      <c r="U59" s="623"/>
      <c r="V59" s="534"/>
      <c r="W59" s="544"/>
      <c r="X59" s="623"/>
      <c r="Y59" s="623"/>
      <c r="Z59" s="525"/>
      <c r="AA59" s="534"/>
      <c r="AB59" s="605"/>
      <c r="AC59" s="613"/>
      <c r="AD59" s="534"/>
      <c r="AE59" s="630"/>
      <c r="AF59" s="534"/>
      <c r="AG59" s="630"/>
      <c r="AH59" s="534"/>
      <c r="AI59" s="544"/>
      <c r="AJ59" s="626"/>
      <c r="AK59" s="607"/>
      <c r="AL59" s="628"/>
      <c r="AM59" s="634"/>
      <c r="AN59" s="628"/>
      <c r="AO59" s="628"/>
      <c r="AP59" s="525"/>
      <c r="AQ59" s="525"/>
      <c r="AR59" s="525"/>
      <c r="AS59" s="533"/>
      <c r="AT59" s="525"/>
      <c r="AU59" s="533"/>
      <c r="AV59" s="525"/>
      <c r="AW59" s="544"/>
      <c r="AX59" s="528"/>
      <c r="AY59" s="613"/>
      <c r="AZ59" s="525"/>
      <c r="BA59" s="525"/>
      <c r="BB59" s="525"/>
      <c r="BC59" s="525"/>
      <c r="BD59" s="544"/>
      <c r="BE59" s="525"/>
      <c r="BF59" s="525"/>
      <c r="BG59" s="525"/>
      <c r="BH59" s="563"/>
      <c r="BI59" s="544"/>
      <c r="BJ59" s="608"/>
      <c r="BK59" s="528"/>
      <c r="BL59" s="614"/>
      <c r="BM59" s="544"/>
      <c r="BN59" s="535"/>
      <c r="BO59" s="533"/>
      <c r="BP59" s="563"/>
      <c r="BQ59" s="526"/>
      <c r="BR59" s="533"/>
      <c r="BS59" s="533"/>
      <c r="BT59" s="533"/>
      <c r="BU59" s="533"/>
      <c r="BV59" s="525"/>
      <c r="BW59" s="563"/>
      <c r="BX59" s="528"/>
      <c r="BY59" s="544"/>
      <c r="BZ59" s="563"/>
      <c r="CA59" s="563"/>
      <c r="CB59" s="563"/>
      <c r="CC59" s="563"/>
      <c r="CD59" s="534"/>
      <c r="CE59" s="525"/>
      <c r="CF59" s="525"/>
      <c r="CG59" s="525"/>
      <c r="CH59" s="525"/>
      <c r="CI59" s="525"/>
      <c r="CJ59" s="525"/>
      <c r="CK59" s="528">
        <f t="shared" si="12"/>
        <v>0</v>
      </c>
      <c r="CL59" s="543"/>
      <c r="CM59" s="541"/>
      <c r="CN59" s="563"/>
      <c r="CO59" s="541"/>
      <c r="CP59" s="527"/>
      <c r="CQ59" s="527"/>
      <c r="CR59" s="527"/>
      <c r="CS59" s="807"/>
      <c r="CT59" s="807"/>
      <c r="CU59" s="527"/>
      <c r="CV59" s="527"/>
      <c r="CW59" s="527"/>
      <c r="CX59" s="528">
        <f t="shared" si="16"/>
        <v>0</v>
      </c>
      <c r="CY59" s="611"/>
      <c r="DC59" s="612"/>
      <c r="DK59" s="519"/>
      <c r="DX59" s="519"/>
    </row>
    <row r="60" spans="2:128" ht="15">
      <c r="B60" s="560"/>
      <c r="C60" s="538"/>
      <c r="D60" s="538"/>
      <c r="E60" s="538"/>
      <c r="F60" s="538"/>
      <c r="G60" s="538"/>
      <c r="H60" s="538"/>
      <c r="I60" s="538"/>
      <c r="J60" s="538"/>
      <c r="K60" s="538"/>
      <c r="L60" s="538"/>
      <c r="M60" s="538"/>
      <c r="N60" s="538"/>
      <c r="O60" s="514">
        <f t="shared" si="9"/>
        <v>0</v>
      </c>
      <c r="P60" s="623"/>
      <c r="Q60" s="623"/>
      <c r="R60" s="623"/>
      <c r="S60" s="623"/>
      <c r="T60" s="623"/>
      <c r="U60" s="623"/>
      <c r="V60" s="534"/>
      <c r="W60" s="544"/>
      <c r="X60" s="623"/>
      <c r="Y60" s="623"/>
      <c r="Z60" s="525"/>
      <c r="AA60" s="534"/>
      <c r="AB60" s="605"/>
      <c r="AC60" s="613"/>
      <c r="AD60" s="534"/>
      <c r="AE60" s="630"/>
      <c r="AF60" s="534"/>
      <c r="AG60" s="630"/>
      <c r="AH60" s="616"/>
      <c r="AI60" s="630"/>
      <c r="AJ60" s="626"/>
      <c r="AK60" s="607"/>
      <c r="AL60" s="628"/>
      <c r="AM60" s="634"/>
      <c r="AN60" s="628"/>
      <c r="AO60" s="628"/>
      <c r="AP60" s="525"/>
      <c r="AQ60" s="533"/>
      <c r="AR60" s="533"/>
      <c r="AS60" s="533"/>
      <c r="AT60" s="533"/>
      <c r="AU60" s="533"/>
      <c r="AV60" s="533"/>
      <c r="AW60" s="533"/>
      <c r="AX60" s="528"/>
      <c r="AY60" s="606"/>
      <c r="AZ60" s="525"/>
      <c r="BA60" s="525"/>
      <c r="BB60" s="525"/>
      <c r="BC60" s="525"/>
      <c r="BD60" s="525"/>
      <c r="BE60" s="525"/>
      <c r="BF60" s="525"/>
      <c r="BG60" s="525"/>
      <c r="BH60" s="563"/>
      <c r="BI60" s="525"/>
      <c r="BJ60" s="608"/>
      <c r="BK60" s="528"/>
      <c r="BL60" s="614"/>
      <c r="BM60" s="533"/>
      <c r="BN60" s="535"/>
      <c r="BO60" s="533"/>
      <c r="BP60" s="533"/>
      <c r="BQ60" s="535"/>
      <c r="BR60" s="533"/>
      <c r="BS60" s="533"/>
      <c r="BT60" s="533"/>
      <c r="BU60" s="533"/>
      <c r="BV60" s="533"/>
      <c r="BW60" s="618"/>
      <c r="BX60" s="528">
        <f t="shared" si="15"/>
        <v>0</v>
      </c>
      <c r="BY60" s="525"/>
      <c r="BZ60" s="525"/>
      <c r="CA60" s="525"/>
      <c r="CB60" s="525"/>
      <c r="CC60" s="525"/>
      <c r="CD60" s="525"/>
      <c r="CE60" s="525"/>
      <c r="CF60" s="525"/>
      <c r="CG60" s="525"/>
      <c r="CH60" s="525"/>
      <c r="CI60" s="525"/>
      <c r="CJ60" s="525"/>
      <c r="CK60" s="528">
        <f t="shared" si="12"/>
        <v>0</v>
      </c>
      <c r="CL60" s="526"/>
      <c r="CM60" s="525"/>
      <c r="CN60" s="525"/>
      <c r="CO60" s="525"/>
      <c r="CP60" s="527"/>
      <c r="CQ60" s="527"/>
      <c r="CR60" s="527"/>
      <c r="CS60" s="527"/>
      <c r="CT60" s="527"/>
      <c r="CU60" s="527"/>
      <c r="CV60" s="527"/>
      <c r="CW60" s="527"/>
      <c r="CX60" s="528">
        <f t="shared" si="16"/>
        <v>0</v>
      </c>
      <c r="CY60" s="611"/>
      <c r="DK60" s="519">
        <f t="shared" si="17"/>
        <v>0</v>
      </c>
      <c r="DX60" s="519">
        <f t="shared" si="18"/>
        <v>0</v>
      </c>
    </row>
    <row r="61" spans="2:128" ht="15">
      <c r="C61" s="538"/>
      <c r="D61" s="538"/>
      <c r="E61" s="538"/>
      <c r="F61" s="538"/>
      <c r="G61" s="538"/>
      <c r="H61" s="538"/>
      <c r="I61" s="538"/>
      <c r="J61" s="538"/>
      <c r="K61" s="538"/>
      <c r="L61" s="538"/>
      <c r="M61" s="538"/>
      <c r="N61" s="538"/>
      <c r="O61" s="514">
        <f t="shared" si="9"/>
        <v>0</v>
      </c>
      <c r="P61" s="623"/>
      <c r="Q61" s="623"/>
      <c r="R61" s="623"/>
      <c r="S61" s="623"/>
      <c r="T61" s="623"/>
      <c r="U61" s="623"/>
      <c r="V61" s="534"/>
      <c r="W61" s="544"/>
      <c r="X61" s="623"/>
      <c r="Y61" s="623"/>
      <c r="Z61" s="525"/>
      <c r="AA61" s="534"/>
      <c r="AB61" s="605">
        <f t="shared" si="10"/>
        <v>0</v>
      </c>
      <c r="AC61" s="613"/>
      <c r="AD61" s="534"/>
      <c r="AE61" s="630"/>
      <c r="AF61" s="534"/>
      <c r="AG61" s="630"/>
      <c r="AH61" s="616"/>
      <c r="AI61" s="630"/>
      <c r="AJ61" s="534"/>
      <c r="AK61" s="607">
        <f t="shared" si="13"/>
        <v>0</v>
      </c>
      <c r="AL61" s="628"/>
      <c r="AM61" s="634"/>
      <c r="AN61" s="628"/>
      <c r="AO61" s="628"/>
      <c r="AP61" s="525"/>
      <c r="AQ61" s="525"/>
      <c r="AR61" s="525"/>
      <c r="AS61" s="525"/>
      <c r="AT61" s="525"/>
      <c r="AU61" s="525"/>
      <c r="AV61" s="525"/>
      <c r="AW61" s="525"/>
      <c r="AX61" s="528">
        <f t="shared" si="21"/>
        <v>0</v>
      </c>
      <c r="AY61" s="606"/>
      <c r="AZ61" s="525"/>
      <c r="BA61" s="525"/>
      <c r="BB61" s="525"/>
      <c r="BC61" s="525"/>
      <c r="BD61" s="525"/>
      <c r="BE61" s="525"/>
      <c r="BF61" s="525"/>
      <c r="BG61" s="525"/>
      <c r="BH61" s="563"/>
      <c r="BI61" s="525"/>
      <c r="BJ61" s="608"/>
      <c r="BK61" s="528">
        <f t="shared" si="19"/>
        <v>0</v>
      </c>
      <c r="BL61" s="614"/>
      <c r="BM61" s="533"/>
      <c r="BN61" s="535"/>
      <c r="BO61" s="533"/>
      <c r="BP61" s="533"/>
      <c r="BQ61" s="535"/>
      <c r="BR61" s="533"/>
      <c r="BS61" s="533"/>
      <c r="BT61" s="533"/>
      <c r="BU61" s="533"/>
      <c r="BV61" s="533"/>
      <c r="BW61" s="618"/>
      <c r="BX61" s="528">
        <f t="shared" si="15"/>
        <v>0</v>
      </c>
      <c r="BY61" s="525"/>
      <c r="BZ61" s="525"/>
      <c r="CA61" s="525"/>
      <c r="CB61" s="525"/>
      <c r="CC61" s="525"/>
      <c r="CD61" s="525"/>
      <c r="CE61" s="525"/>
      <c r="CF61" s="525"/>
      <c r="CG61" s="525"/>
      <c r="CH61" s="525"/>
      <c r="CI61" s="525"/>
      <c r="CJ61" s="525"/>
      <c r="CK61" s="528">
        <f t="shared" si="12"/>
        <v>0</v>
      </c>
      <c r="CL61" s="526"/>
      <c r="CM61" s="525"/>
      <c r="CN61" s="525"/>
      <c r="CO61" s="525"/>
      <c r="CP61" s="527"/>
      <c r="CQ61" s="527"/>
      <c r="CR61" s="527"/>
      <c r="CS61" s="527"/>
      <c r="CT61" s="527"/>
      <c r="CU61" s="527"/>
      <c r="CV61" s="527"/>
      <c r="CW61" s="527"/>
      <c r="CX61" s="528">
        <f t="shared" si="16"/>
        <v>0</v>
      </c>
      <c r="CY61" s="611"/>
      <c r="DK61" s="519">
        <f t="shared" si="17"/>
        <v>0</v>
      </c>
      <c r="DX61" s="519">
        <f t="shared" si="18"/>
        <v>0</v>
      </c>
    </row>
    <row r="62" spans="2:128" ht="15">
      <c r="C62" s="538"/>
      <c r="D62" s="538"/>
      <c r="E62" s="538"/>
      <c r="F62" s="538"/>
      <c r="G62" s="538"/>
      <c r="H62" s="538"/>
      <c r="I62" s="538"/>
      <c r="J62" s="538"/>
      <c r="K62" s="538"/>
      <c r="L62" s="538"/>
      <c r="M62" s="538"/>
      <c r="N62" s="538"/>
      <c r="O62" s="514">
        <f t="shared" si="9"/>
        <v>0</v>
      </c>
      <c r="P62" s="623"/>
      <c r="Q62" s="623"/>
      <c r="R62" s="534"/>
      <c r="S62" s="623"/>
      <c r="T62" s="623"/>
      <c r="U62" s="623"/>
      <c r="V62" s="534"/>
      <c r="W62" s="544"/>
      <c r="X62" s="623"/>
      <c r="Y62" s="623"/>
      <c r="Z62" s="525"/>
      <c r="AA62" s="534"/>
      <c r="AB62" s="605">
        <f t="shared" si="10"/>
        <v>0</v>
      </c>
      <c r="AC62" s="613"/>
      <c r="AD62" s="534"/>
      <c r="AE62" s="630"/>
      <c r="AF62" s="534"/>
      <c r="AG62" s="630"/>
      <c r="AH62" s="616"/>
      <c r="AI62" s="534"/>
      <c r="AJ62" s="534"/>
      <c r="AK62" s="607">
        <f t="shared" si="13"/>
        <v>0</v>
      </c>
      <c r="AL62" s="525"/>
      <c r="AM62" s="525"/>
      <c r="AN62" s="525"/>
      <c r="AO62" s="525"/>
      <c r="AP62" s="525"/>
      <c r="AQ62" s="525"/>
      <c r="AR62" s="525"/>
      <c r="AS62" s="525"/>
      <c r="AT62" s="525"/>
      <c r="AU62" s="525"/>
      <c r="AV62" s="525"/>
      <c r="AW62" s="525"/>
      <c r="AX62" s="528">
        <f t="shared" si="21"/>
        <v>0</v>
      </c>
      <c r="AY62" s="525"/>
      <c r="AZ62" s="525"/>
      <c r="BA62" s="525"/>
      <c r="BB62" s="525"/>
      <c r="BC62" s="525"/>
      <c r="BD62" s="525"/>
      <c r="BE62" s="525"/>
      <c r="BF62" s="525"/>
      <c r="BG62" s="525"/>
      <c r="BH62" s="563"/>
      <c r="BI62" s="525"/>
      <c r="BJ62" s="563"/>
      <c r="BK62" s="528">
        <f>SUM(AY62:BJ62)</f>
        <v>0</v>
      </c>
      <c r="BL62" s="614"/>
      <c r="BM62" s="533"/>
      <c r="BN62" s="535"/>
      <c r="BO62" s="533"/>
      <c r="BP62" s="533"/>
      <c r="BQ62" s="535"/>
      <c r="BR62" s="533"/>
      <c r="BS62" s="533"/>
      <c r="BT62" s="533"/>
      <c r="BU62" s="533"/>
      <c r="BV62" s="533"/>
      <c r="BW62" s="618"/>
      <c r="BX62" s="528">
        <f t="shared" si="15"/>
        <v>0</v>
      </c>
      <c r="BY62" s="525"/>
      <c r="BZ62" s="525"/>
      <c r="CA62" s="525"/>
      <c r="CB62" s="525"/>
      <c r="CC62" s="525"/>
      <c r="CD62" s="525"/>
      <c r="CE62" s="525"/>
      <c r="CF62" s="525"/>
      <c r="CG62" s="525"/>
      <c r="CH62" s="525"/>
      <c r="CI62" s="525"/>
      <c r="CJ62" s="525"/>
      <c r="CK62" s="528">
        <f t="shared" si="12"/>
        <v>0</v>
      </c>
      <c r="CL62" s="526"/>
      <c r="CM62" s="525"/>
      <c r="CN62" s="525"/>
      <c r="CO62" s="525"/>
      <c r="CP62" s="527"/>
      <c r="CQ62" s="527"/>
      <c r="CR62" s="527"/>
      <c r="CS62" s="527"/>
      <c r="CT62" s="527"/>
      <c r="CU62" s="527"/>
      <c r="CV62" s="527"/>
      <c r="CW62" s="527"/>
      <c r="CX62" s="528">
        <f t="shared" si="16"/>
        <v>0</v>
      </c>
      <c r="CY62" s="611"/>
      <c r="DK62" s="519">
        <f t="shared" si="17"/>
        <v>0</v>
      </c>
      <c r="DX62" s="519">
        <f t="shared" si="18"/>
        <v>0</v>
      </c>
    </row>
    <row r="63" spans="2:128" ht="15">
      <c r="C63" s="538"/>
      <c r="D63" s="538"/>
      <c r="E63" s="538"/>
      <c r="F63" s="538"/>
      <c r="G63" s="512">
        <f>4000*1.21</f>
        <v>4840</v>
      </c>
      <c r="H63" s="538"/>
      <c r="I63" s="538"/>
      <c r="J63" s="538"/>
      <c r="K63" s="538"/>
      <c r="L63" s="538"/>
      <c r="M63" s="538"/>
      <c r="N63" s="538"/>
      <c r="O63" s="514">
        <f t="shared" si="9"/>
        <v>4840</v>
      </c>
      <c r="P63" s="623"/>
      <c r="Q63" s="534"/>
      <c r="R63" s="623"/>
      <c r="S63" s="623"/>
      <c r="T63" s="623"/>
      <c r="U63" s="623"/>
      <c r="V63" s="534"/>
      <c r="W63" s="544"/>
      <c r="X63" s="623"/>
      <c r="Y63" s="623"/>
      <c r="Z63" s="525"/>
      <c r="AA63" s="534"/>
      <c r="AB63" s="605">
        <f t="shared" si="10"/>
        <v>0</v>
      </c>
      <c r="AC63" s="613"/>
      <c r="AD63" s="544"/>
      <c r="AE63" s="630"/>
      <c r="AF63" s="534"/>
      <c r="AG63" s="630"/>
      <c r="AH63" s="616"/>
      <c r="AI63" s="630"/>
      <c r="AJ63" s="626"/>
      <c r="AK63" s="607">
        <f t="shared" si="13"/>
        <v>0</v>
      </c>
      <c r="AL63" s="628"/>
      <c r="AM63" s="634"/>
      <c r="AN63" s="628"/>
      <c r="AO63" s="628"/>
      <c r="AP63" s="525"/>
      <c r="AQ63" s="525"/>
      <c r="AR63" s="525"/>
      <c r="AS63" s="525"/>
      <c r="AT63" s="525"/>
      <c r="AU63" s="525"/>
      <c r="AV63" s="525"/>
      <c r="AW63" s="525"/>
      <c r="AX63" s="528">
        <f t="shared" si="21"/>
        <v>0</v>
      </c>
      <c r="AY63" s="606"/>
      <c r="AZ63" s="525"/>
      <c r="BA63" s="525"/>
      <c r="BB63" s="525"/>
      <c r="BC63" s="525"/>
      <c r="BD63" s="525"/>
      <c r="BE63" s="525"/>
      <c r="BF63" s="525"/>
      <c r="BG63" s="525"/>
      <c r="BH63" s="563"/>
      <c r="BI63" s="525"/>
      <c r="BJ63" s="608"/>
      <c r="BK63" s="528">
        <f t="shared" si="19"/>
        <v>0</v>
      </c>
      <c r="BL63" s="614"/>
      <c r="BM63" s="533"/>
      <c r="BN63" s="535"/>
      <c r="BO63" s="533"/>
      <c r="BP63" s="533"/>
      <c r="BQ63" s="535"/>
      <c r="BR63" s="533"/>
      <c r="BS63" s="533"/>
      <c r="BT63" s="533"/>
      <c r="BU63" s="533"/>
      <c r="BV63" s="533"/>
      <c r="BW63" s="618"/>
      <c r="BX63" s="528">
        <f t="shared" si="15"/>
        <v>0</v>
      </c>
      <c r="BY63" s="525"/>
      <c r="BZ63" s="525"/>
      <c r="CA63" s="525"/>
      <c r="CB63" s="525"/>
      <c r="CC63" s="525"/>
      <c r="CD63" s="525"/>
      <c r="CE63" s="525"/>
      <c r="CF63" s="525"/>
      <c r="CG63" s="525"/>
      <c r="CH63" s="525"/>
      <c r="CI63" s="525"/>
      <c r="CJ63" s="525"/>
      <c r="CK63" s="528">
        <f t="shared" si="12"/>
        <v>0</v>
      </c>
      <c r="CL63" s="526"/>
      <c r="CM63" s="525"/>
      <c r="CN63" s="525"/>
      <c r="CO63" s="525"/>
      <c r="CP63" s="527"/>
      <c r="CQ63" s="527"/>
      <c r="CR63" s="527"/>
      <c r="CS63" s="527"/>
      <c r="CT63" s="527"/>
      <c r="CU63" s="527"/>
      <c r="CV63" s="527"/>
      <c r="CW63" s="527"/>
      <c r="CX63" s="528">
        <f t="shared" si="16"/>
        <v>0</v>
      </c>
      <c r="CY63" s="611"/>
      <c r="DK63" s="519">
        <f t="shared" si="17"/>
        <v>0</v>
      </c>
      <c r="DX63" s="519">
        <f t="shared" si="18"/>
        <v>0</v>
      </c>
    </row>
    <row r="64" spans="2:128" ht="15">
      <c r="C64" s="538"/>
      <c r="D64" s="538"/>
      <c r="E64" s="538"/>
      <c r="F64" s="538"/>
      <c r="G64" s="538"/>
      <c r="H64" s="538"/>
      <c r="I64" s="538"/>
      <c r="J64" s="538"/>
      <c r="K64" s="538"/>
      <c r="L64" s="538"/>
      <c r="M64" s="538"/>
      <c r="N64" s="538"/>
      <c r="O64" s="514">
        <f t="shared" si="9"/>
        <v>0</v>
      </c>
      <c r="P64" s="623"/>
      <c r="Q64" s="623"/>
      <c r="R64" s="623"/>
      <c r="S64" s="623"/>
      <c r="T64" s="623"/>
      <c r="U64" s="534"/>
      <c r="V64" s="534"/>
      <c r="W64" s="544"/>
      <c r="X64" s="623"/>
      <c r="Y64" s="623"/>
      <c r="Z64" s="525"/>
      <c r="AA64" s="534"/>
      <c r="AB64" s="605">
        <f t="shared" si="10"/>
        <v>0</v>
      </c>
      <c r="AC64" s="613"/>
      <c r="AD64" s="534"/>
      <c r="AE64" s="630"/>
      <c r="AF64" s="534"/>
      <c r="AG64" s="630"/>
      <c r="AH64" s="616"/>
      <c r="AI64" s="630"/>
      <c r="AJ64" s="626"/>
      <c r="AK64" s="607">
        <f t="shared" si="13"/>
        <v>0</v>
      </c>
      <c r="AL64" s="628"/>
      <c r="AM64" s="634"/>
      <c r="AN64" s="628"/>
      <c r="AO64" s="628"/>
      <c r="AP64" s="525"/>
      <c r="AQ64" s="525"/>
      <c r="AR64" s="525"/>
      <c r="AS64" s="525"/>
      <c r="AT64" s="525"/>
      <c r="AU64" s="525"/>
      <c r="AV64" s="525"/>
      <c r="AW64" s="525"/>
      <c r="AX64" s="528">
        <f t="shared" si="21"/>
        <v>0</v>
      </c>
      <c r="AY64" s="606"/>
      <c r="AZ64" s="525"/>
      <c r="BA64" s="525"/>
      <c r="BB64" s="525"/>
      <c r="BC64" s="525"/>
      <c r="BD64" s="525"/>
      <c r="BE64" s="525"/>
      <c r="BF64" s="525"/>
      <c r="BG64" s="525"/>
      <c r="BH64" s="563"/>
      <c r="BI64" s="525"/>
      <c r="BJ64" s="608"/>
      <c r="BK64" s="528">
        <f t="shared" si="19"/>
        <v>0</v>
      </c>
      <c r="BL64" s="614"/>
      <c r="BM64" s="533"/>
      <c r="BN64" s="535"/>
      <c r="BO64" s="533"/>
      <c r="BP64" s="533"/>
      <c r="BQ64" s="535"/>
      <c r="BR64" s="533"/>
      <c r="BS64" s="533"/>
      <c r="BT64" s="533"/>
      <c r="BU64" s="533"/>
      <c r="BV64" s="533"/>
      <c r="BW64" s="618"/>
      <c r="BX64" s="528">
        <f t="shared" si="15"/>
        <v>0</v>
      </c>
      <c r="BY64" s="525"/>
      <c r="BZ64" s="525"/>
      <c r="CA64" s="525"/>
      <c r="CB64" s="525"/>
      <c r="CC64" s="525"/>
      <c r="CD64" s="525"/>
      <c r="CE64" s="525"/>
      <c r="CF64" s="525"/>
      <c r="CG64" s="525"/>
      <c r="CH64" s="525"/>
      <c r="CI64" s="525"/>
      <c r="CJ64" s="525"/>
      <c r="CK64" s="528">
        <f t="shared" si="12"/>
        <v>0</v>
      </c>
      <c r="CL64" s="526"/>
      <c r="CM64" s="525"/>
      <c r="CN64" s="525"/>
      <c r="CO64" s="525"/>
      <c r="CP64" s="527"/>
      <c r="CQ64" s="527"/>
      <c r="CR64" s="527"/>
      <c r="CS64" s="527"/>
      <c r="CT64" s="527"/>
      <c r="CU64" s="527"/>
      <c r="CV64" s="527"/>
      <c r="CW64" s="527"/>
      <c r="CX64" s="528">
        <f t="shared" si="16"/>
        <v>0</v>
      </c>
      <c r="CY64" s="611"/>
      <c r="DK64" s="519">
        <f t="shared" si="17"/>
        <v>0</v>
      </c>
      <c r="DX64" s="519">
        <f t="shared" si="18"/>
        <v>0</v>
      </c>
    </row>
    <row r="65" spans="2:128" ht="15">
      <c r="C65" s="538"/>
      <c r="D65" s="538"/>
      <c r="E65" s="538"/>
      <c r="F65" s="538"/>
      <c r="G65" s="538"/>
      <c r="H65" s="538"/>
      <c r="I65" s="538"/>
      <c r="J65" s="538"/>
      <c r="K65" s="538"/>
      <c r="L65" s="538"/>
      <c r="M65" s="538"/>
      <c r="N65" s="538"/>
      <c r="O65" s="514">
        <f t="shared" si="9"/>
        <v>0</v>
      </c>
      <c r="P65" s="623"/>
      <c r="Q65" s="623"/>
      <c r="R65" s="623"/>
      <c r="S65" s="623"/>
      <c r="T65" s="623"/>
      <c r="U65" s="534"/>
      <c r="V65" s="534"/>
      <c r="W65" s="544"/>
      <c r="X65" s="623"/>
      <c r="Y65" s="623"/>
      <c r="Z65" s="525"/>
      <c r="AA65" s="534"/>
      <c r="AB65" s="605">
        <f t="shared" si="10"/>
        <v>0</v>
      </c>
      <c r="AC65" s="609"/>
      <c r="AD65" s="534"/>
      <c r="AE65" s="630"/>
      <c r="AF65" s="534"/>
      <c r="AG65" s="544"/>
      <c r="AH65" s="616"/>
      <c r="AI65" s="630"/>
      <c r="AJ65" s="626"/>
      <c r="AK65" s="607">
        <f t="shared" si="13"/>
        <v>0</v>
      </c>
      <c r="AL65" s="628"/>
      <c r="AM65" s="634"/>
      <c r="AN65" s="628"/>
      <c r="AO65" s="628"/>
      <c r="AP65" s="525"/>
      <c r="AQ65" s="525"/>
      <c r="AR65" s="525"/>
      <c r="AS65" s="525"/>
      <c r="AT65" s="525"/>
      <c r="AU65" s="525"/>
      <c r="AV65" s="525"/>
      <c r="AW65" s="525"/>
      <c r="AX65" s="528">
        <f t="shared" si="21"/>
        <v>0</v>
      </c>
      <c r="AY65" s="606"/>
      <c r="AZ65" s="525"/>
      <c r="BA65" s="525"/>
      <c r="BB65" s="525"/>
      <c r="BC65" s="525"/>
      <c r="BD65" s="525"/>
      <c r="BE65" s="544"/>
      <c r="BF65" s="525"/>
      <c r="BG65" s="525"/>
      <c r="BH65" s="563"/>
      <c r="BI65" s="525"/>
      <c r="BJ65" s="608"/>
      <c r="BK65" s="528">
        <f t="shared" si="19"/>
        <v>0</v>
      </c>
      <c r="BL65" s="614"/>
      <c r="BM65" s="533"/>
      <c r="BN65" s="535"/>
      <c r="BO65" s="533"/>
      <c r="BP65" s="533"/>
      <c r="BQ65" s="535"/>
      <c r="BR65" s="533"/>
      <c r="BS65" s="533"/>
      <c r="BT65" s="533"/>
      <c r="BU65" s="533"/>
      <c r="BV65" s="533"/>
      <c r="BW65" s="544"/>
      <c r="BX65" s="528">
        <f t="shared" si="15"/>
        <v>0</v>
      </c>
      <c r="BY65" s="525"/>
      <c r="BZ65" s="525"/>
      <c r="CA65" s="525"/>
      <c r="CB65" s="525"/>
      <c r="CC65" s="525"/>
      <c r="CD65" s="525"/>
      <c r="CE65" s="525"/>
      <c r="CF65" s="525"/>
      <c r="CG65" s="525"/>
      <c r="CH65" s="525"/>
      <c r="CI65" s="525"/>
      <c r="CJ65" s="525"/>
      <c r="CK65" s="528">
        <f t="shared" si="12"/>
        <v>0</v>
      </c>
      <c r="CL65" s="526"/>
      <c r="CM65" s="525"/>
      <c r="CN65" s="525"/>
      <c r="CO65" s="525"/>
      <c r="CP65" s="527"/>
      <c r="CQ65" s="527"/>
      <c r="CR65" s="527"/>
      <c r="CS65" s="527"/>
      <c r="CT65" s="527"/>
      <c r="CU65" s="527"/>
      <c r="CV65" s="527"/>
      <c r="CW65" s="527"/>
      <c r="CX65" s="528">
        <f t="shared" si="16"/>
        <v>0</v>
      </c>
      <c r="CY65" s="611"/>
      <c r="DK65" s="519">
        <f t="shared" si="17"/>
        <v>0</v>
      </c>
      <c r="DX65" s="519">
        <f t="shared" si="18"/>
        <v>0</v>
      </c>
    </row>
    <row r="66" spans="2:128" ht="15">
      <c r="C66" s="538"/>
      <c r="D66" s="538"/>
      <c r="E66" s="538"/>
      <c r="F66" s="538"/>
      <c r="G66" s="538"/>
      <c r="H66" s="538"/>
      <c r="I66" s="538"/>
      <c r="J66" s="538"/>
      <c r="K66" s="538"/>
      <c r="L66" s="538"/>
      <c r="M66" s="538"/>
      <c r="N66" s="538"/>
      <c r="O66" s="514">
        <f>SUM(C66:N66)</f>
        <v>0</v>
      </c>
      <c r="P66" s="623"/>
      <c r="Q66" s="623"/>
      <c r="R66" s="623"/>
      <c r="S66" s="623"/>
      <c r="T66" s="623"/>
      <c r="U66" s="623"/>
      <c r="V66" s="534"/>
      <c r="W66" s="544"/>
      <c r="X66" s="623"/>
      <c r="Y66" s="623"/>
      <c r="Z66" s="525"/>
      <c r="AA66" s="534"/>
      <c r="AB66" s="605">
        <f>SUM(P66:AA66)</f>
        <v>0</v>
      </c>
      <c r="AC66" s="613"/>
      <c r="AD66" s="534"/>
      <c r="AE66" s="630"/>
      <c r="AF66" s="534"/>
      <c r="AG66" s="630"/>
      <c r="AH66" s="534"/>
      <c r="AI66" s="534"/>
      <c r="AJ66" s="534"/>
      <c r="AK66" s="607">
        <f t="shared" si="13"/>
        <v>0</v>
      </c>
      <c r="AL66" s="544"/>
      <c r="AM66" s="544"/>
      <c r="AN66" s="628"/>
      <c r="AO66" s="628"/>
      <c r="AP66" s="525"/>
      <c r="AQ66" s="525"/>
      <c r="AR66" s="525"/>
      <c r="AS66" s="525"/>
      <c r="AT66" s="525"/>
      <c r="AU66" s="525"/>
      <c r="AV66" s="525"/>
      <c r="AW66" s="525"/>
      <c r="AX66" s="528">
        <f>SUM(AL66:AW66)</f>
        <v>0</v>
      </c>
      <c r="AY66" s="606"/>
      <c r="AZ66" s="525"/>
      <c r="BA66" s="525"/>
      <c r="BB66" s="525"/>
      <c r="BC66" s="525"/>
      <c r="BD66" s="525"/>
      <c r="BE66" s="525"/>
      <c r="BF66" s="525"/>
      <c r="BG66" s="525"/>
      <c r="BH66" s="563"/>
      <c r="BI66" s="525"/>
      <c r="BJ66" s="608"/>
      <c r="BK66" s="528">
        <f t="shared" si="19"/>
        <v>0</v>
      </c>
      <c r="BL66" s="614"/>
      <c r="BM66" s="533"/>
      <c r="BN66" s="535"/>
      <c r="BO66" s="533"/>
      <c r="BP66" s="533"/>
      <c r="BQ66" s="535"/>
      <c r="BR66" s="533"/>
      <c r="BS66" s="533"/>
      <c r="BT66" s="533"/>
      <c r="BU66" s="533"/>
      <c r="BV66" s="533"/>
      <c r="BW66" s="618"/>
      <c r="BX66" s="528">
        <f t="shared" si="15"/>
        <v>0</v>
      </c>
      <c r="BY66" s="525"/>
      <c r="BZ66" s="525"/>
      <c r="CA66" s="525"/>
      <c r="CB66" s="525"/>
      <c r="CC66" s="525"/>
      <c r="CD66" s="525"/>
      <c r="CE66" s="525"/>
      <c r="CF66" s="525"/>
      <c r="CG66" s="525"/>
      <c r="CH66" s="525"/>
      <c r="CI66" s="525"/>
      <c r="CJ66" s="525"/>
      <c r="CK66" s="528">
        <f t="shared" si="12"/>
        <v>0</v>
      </c>
      <c r="CL66" s="526"/>
      <c r="CM66" s="525"/>
      <c r="CN66" s="525"/>
      <c r="CO66" s="525"/>
      <c r="CP66" s="527"/>
      <c r="CQ66" s="527"/>
      <c r="CR66" s="527"/>
      <c r="CS66" s="527"/>
      <c r="CT66" s="527"/>
      <c r="CU66" s="527"/>
      <c r="CV66" s="527"/>
      <c r="CW66" s="527"/>
      <c r="CX66" s="528">
        <f t="shared" si="16"/>
        <v>0</v>
      </c>
      <c r="CY66" s="611"/>
      <c r="DK66" s="519">
        <f t="shared" si="17"/>
        <v>0</v>
      </c>
      <c r="DX66" s="519">
        <f t="shared" si="18"/>
        <v>0</v>
      </c>
    </row>
    <row r="67" spans="2:128" ht="15">
      <c r="C67" s="538"/>
      <c r="D67" s="538"/>
      <c r="E67" s="538"/>
      <c r="F67" s="538"/>
      <c r="G67" s="538"/>
      <c r="H67" s="538"/>
      <c r="I67" s="538"/>
      <c r="J67" s="538"/>
      <c r="K67" s="538"/>
      <c r="L67" s="538"/>
      <c r="M67" s="538"/>
      <c r="N67" s="538"/>
      <c r="O67" s="514"/>
      <c r="P67" s="623"/>
      <c r="Q67" s="623"/>
      <c r="R67" s="623"/>
      <c r="S67" s="623"/>
      <c r="T67" s="623"/>
      <c r="U67" s="623"/>
      <c r="V67" s="534"/>
      <c r="W67" s="544"/>
      <c r="X67" s="623"/>
      <c r="Y67" s="623"/>
      <c r="Z67" s="525"/>
      <c r="AA67" s="534"/>
      <c r="AB67" s="605">
        <f>SUM(P67:AA67)</f>
        <v>0</v>
      </c>
      <c r="AC67" s="613"/>
      <c r="AD67" s="534"/>
      <c r="AE67" s="630"/>
      <c r="AF67" s="534"/>
      <c r="AG67" s="630"/>
      <c r="AH67" s="534"/>
      <c r="AI67" s="534"/>
      <c r="AJ67" s="534"/>
      <c r="AK67" s="607">
        <f t="shared" si="13"/>
        <v>0</v>
      </c>
      <c r="AL67" s="544"/>
      <c r="AM67" s="544"/>
      <c r="AN67" s="628"/>
      <c r="AO67" s="627"/>
      <c r="AP67" s="525"/>
      <c r="AQ67" s="525"/>
      <c r="AR67" s="525"/>
      <c r="AS67" s="525"/>
      <c r="AT67" s="525"/>
      <c r="AU67" s="525"/>
      <c r="AV67" s="525"/>
      <c r="AW67" s="525"/>
      <c r="AX67" s="528">
        <f>SUM(AL67:AW67)</f>
        <v>0</v>
      </c>
      <c r="AY67" s="606"/>
      <c r="AZ67" s="525"/>
      <c r="BA67" s="525"/>
      <c r="BB67" s="525"/>
      <c r="BC67" s="525"/>
      <c r="BD67" s="525"/>
      <c r="BE67" s="525"/>
      <c r="BF67" s="525"/>
      <c r="BG67" s="525"/>
      <c r="BH67" s="563"/>
      <c r="BI67" s="525"/>
      <c r="BJ67" s="608"/>
      <c r="BK67" s="528">
        <f t="shared" si="19"/>
        <v>0</v>
      </c>
      <c r="BL67" s="614"/>
      <c r="BM67" s="533"/>
      <c r="BN67" s="535"/>
      <c r="BO67" s="533"/>
      <c r="BP67" s="533"/>
      <c r="BQ67" s="535"/>
      <c r="BR67" s="533"/>
      <c r="BS67" s="533"/>
      <c r="BT67" s="533"/>
      <c r="BU67" s="533"/>
      <c r="BV67" s="533"/>
      <c r="BW67" s="618"/>
      <c r="BX67" s="528">
        <f t="shared" si="15"/>
        <v>0</v>
      </c>
      <c r="BY67" s="525"/>
      <c r="BZ67" s="525"/>
      <c r="CA67" s="525"/>
      <c r="CB67" s="525"/>
      <c r="CC67" s="525"/>
      <c r="CD67" s="525"/>
      <c r="CE67" s="525"/>
      <c r="CF67" s="525"/>
      <c r="CG67" s="525"/>
      <c r="CH67" s="525"/>
      <c r="CI67" s="525"/>
      <c r="CJ67" s="525"/>
      <c r="CK67" s="528">
        <f t="shared" si="12"/>
        <v>0</v>
      </c>
      <c r="CL67" s="526"/>
      <c r="CM67" s="525"/>
      <c r="CN67" s="525"/>
      <c r="CO67" s="525"/>
      <c r="CP67" s="527"/>
      <c r="CQ67" s="527"/>
      <c r="CR67" s="527"/>
      <c r="CS67" s="527"/>
      <c r="CT67" s="527"/>
      <c r="CU67" s="527"/>
      <c r="CV67" s="527"/>
      <c r="CW67" s="527"/>
      <c r="CX67" s="528">
        <f t="shared" si="16"/>
        <v>0</v>
      </c>
      <c r="CY67" s="611"/>
      <c r="DK67" s="519">
        <f t="shared" si="17"/>
        <v>0</v>
      </c>
      <c r="DX67" s="519">
        <f t="shared" si="18"/>
        <v>0</v>
      </c>
    </row>
    <row r="68" spans="2:128" ht="15">
      <c r="B68" s="560"/>
      <c r="C68" s="538"/>
      <c r="D68" s="538"/>
      <c r="E68" s="538"/>
      <c r="F68" s="538"/>
      <c r="G68" s="538"/>
      <c r="H68" s="538"/>
      <c r="I68" s="538"/>
      <c r="J68" s="538"/>
      <c r="K68" s="538"/>
      <c r="L68" s="538"/>
      <c r="M68" s="538"/>
      <c r="N68" s="538"/>
      <c r="O68" s="514">
        <f t="shared" si="9"/>
        <v>0</v>
      </c>
      <c r="P68" s="623"/>
      <c r="Q68" s="623"/>
      <c r="R68" s="623"/>
      <c r="S68" s="623"/>
      <c r="T68" s="623"/>
      <c r="U68" s="623"/>
      <c r="V68" s="534"/>
      <c r="W68" s="544"/>
      <c r="X68" s="623"/>
      <c r="Y68" s="623"/>
      <c r="Z68" s="525"/>
      <c r="AA68" s="534"/>
      <c r="AB68" s="605"/>
      <c r="AC68" s="613"/>
      <c r="AD68" s="534"/>
      <c r="AE68" s="630"/>
      <c r="AF68" s="534"/>
      <c r="AG68" s="630"/>
      <c r="AH68" s="616"/>
      <c r="AI68" s="630"/>
      <c r="AJ68" s="626"/>
      <c r="AK68" s="607"/>
      <c r="AL68" s="628"/>
      <c r="AM68" s="634"/>
      <c r="AN68" s="628"/>
      <c r="AO68" s="628"/>
      <c r="AP68" s="525"/>
      <c r="AQ68" s="525"/>
      <c r="AR68" s="525"/>
      <c r="AS68" s="525"/>
      <c r="AT68" s="525"/>
      <c r="AU68" s="525"/>
      <c r="AV68" s="525"/>
      <c r="AW68" s="525"/>
      <c r="AX68" s="528"/>
      <c r="AY68" s="606"/>
      <c r="AZ68" s="525"/>
      <c r="BA68" s="525"/>
      <c r="BB68" s="525"/>
      <c r="BC68" s="525"/>
      <c r="BD68" s="525"/>
      <c r="BE68" s="525"/>
      <c r="BF68" s="525"/>
      <c r="BG68" s="525"/>
      <c r="BH68" s="563"/>
      <c r="BI68" s="525"/>
      <c r="BJ68" s="608"/>
      <c r="BK68" s="528"/>
      <c r="BL68" s="614"/>
      <c r="BM68" s="533"/>
      <c r="BN68" s="535"/>
      <c r="BO68" s="533"/>
      <c r="BP68" s="533"/>
      <c r="BQ68" s="535"/>
      <c r="BR68" s="533"/>
      <c r="BS68" s="533"/>
      <c r="BT68" s="533"/>
      <c r="BU68" s="533"/>
      <c r="BV68" s="533"/>
      <c r="BW68" s="618"/>
      <c r="BX68" s="528">
        <f t="shared" si="15"/>
        <v>0</v>
      </c>
      <c r="BY68" s="525"/>
      <c r="BZ68" s="525"/>
      <c r="CA68" s="525"/>
      <c r="CB68" s="525"/>
      <c r="CC68" s="525"/>
      <c r="CD68" s="525"/>
      <c r="CE68" s="525"/>
      <c r="CF68" s="525"/>
      <c r="CG68" s="525"/>
      <c r="CH68" s="525"/>
      <c r="CI68" s="525"/>
      <c r="CJ68" s="525"/>
      <c r="CK68" s="528">
        <f t="shared" si="12"/>
        <v>0</v>
      </c>
      <c r="CL68" s="526"/>
      <c r="CM68" s="525"/>
      <c r="CN68" s="525"/>
      <c r="CO68" s="525"/>
      <c r="CP68" s="527"/>
      <c r="CQ68" s="527"/>
      <c r="CR68" s="527"/>
      <c r="CS68" s="527"/>
      <c r="CT68" s="527"/>
      <c r="CU68" s="527"/>
      <c r="CV68" s="527"/>
      <c r="CW68" s="527"/>
      <c r="CX68" s="528">
        <f t="shared" si="16"/>
        <v>0</v>
      </c>
      <c r="CY68" s="611"/>
      <c r="DK68" s="519">
        <f t="shared" si="17"/>
        <v>0</v>
      </c>
      <c r="DX68" s="519">
        <f t="shared" si="18"/>
        <v>0</v>
      </c>
    </row>
    <row r="69" spans="2:128" ht="15">
      <c r="B69" s="589"/>
      <c r="C69" s="538"/>
      <c r="D69" s="538"/>
      <c r="E69" s="538"/>
      <c r="F69" s="538"/>
      <c r="G69" s="538"/>
      <c r="H69" s="538"/>
      <c r="I69" s="538"/>
      <c r="J69" s="538"/>
      <c r="K69" s="538"/>
      <c r="L69" s="538"/>
      <c r="M69" s="538"/>
      <c r="N69" s="538"/>
      <c r="O69" s="514">
        <f t="shared" si="9"/>
        <v>0</v>
      </c>
      <c r="P69" s="623"/>
      <c r="Q69" s="623"/>
      <c r="R69" s="623"/>
      <c r="S69" s="623"/>
      <c r="T69" s="623"/>
      <c r="U69" s="623"/>
      <c r="V69" s="534"/>
      <c r="W69" s="544"/>
      <c r="X69" s="623"/>
      <c r="Y69" s="623"/>
      <c r="Z69" s="525"/>
      <c r="AA69" s="534"/>
      <c r="AB69" s="605">
        <f t="shared" si="10"/>
        <v>0</v>
      </c>
      <c r="AC69" s="606"/>
      <c r="AD69" s="525"/>
      <c r="AE69" s="630"/>
      <c r="AF69" s="525"/>
      <c r="AG69" s="634"/>
      <c r="AH69" s="617"/>
      <c r="AI69" s="634"/>
      <c r="AJ69" s="628"/>
      <c r="AK69" s="607">
        <f t="shared" si="13"/>
        <v>0</v>
      </c>
      <c r="AL69" s="628"/>
      <c r="AM69" s="634"/>
      <c r="AN69" s="628"/>
      <c r="AO69" s="628"/>
      <c r="AP69" s="525"/>
      <c r="AQ69" s="525"/>
      <c r="AR69" s="525"/>
      <c r="AS69" s="525"/>
      <c r="AT69" s="525"/>
      <c r="AU69" s="525"/>
      <c r="AV69" s="525"/>
      <c r="AW69" s="525"/>
      <c r="AX69" s="528">
        <f t="shared" si="21"/>
        <v>0</v>
      </c>
      <c r="AY69" s="606"/>
      <c r="AZ69" s="525"/>
      <c r="BA69" s="525"/>
      <c r="BB69" s="525"/>
      <c r="BC69" s="525"/>
      <c r="BD69" s="525"/>
      <c r="BE69" s="525"/>
      <c r="BF69" s="525"/>
      <c r="BG69" s="525"/>
      <c r="BH69" s="563"/>
      <c r="BI69" s="525"/>
      <c r="BJ69" s="608"/>
      <c r="BK69" s="528">
        <f t="shared" si="19"/>
        <v>0</v>
      </c>
      <c r="BL69" s="614"/>
      <c r="BM69" s="533"/>
      <c r="BN69" s="535"/>
      <c r="BO69" s="533"/>
      <c r="BP69" s="533"/>
      <c r="BQ69" s="535"/>
      <c r="BR69" s="533"/>
      <c r="BS69" s="533"/>
      <c r="BT69" s="533"/>
      <c r="BU69" s="533"/>
      <c r="BV69" s="533"/>
      <c r="BW69" s="618"/>
      <c r="BX69" s="528">
        <f t="shared" si="15"/>
        <v>0</v>
      </c>
      <c r="BY69" s="525"/>
      <c r="BZ69" s="525"/>
      <c r="CA69" s="525"/>
      <c r="CB69" s="525"/>
      <c r="CC69" s="525"/>
      <c r="CD69" s="525"/>
      <c r="CE69" s="525"/>
      <c r="CF69" s="525"/>
      <c r="CG69" s="525"/>
      <c r="CH69" s="525"/>
      <c r="CI69" s="525"/>
      <c r="CJ69" s="525"/>
      <c r="CK69" s="528">
        <f t="shared" si="12"/>
        <v>0</v>
      </c>
      <c r="CL69" s="526"/>
      <c r="CM69" s="525"/>
      <c r="CN69" s="525"/>
      <c r="CO69" s="525"/>
      <c r="CP69" s="527"/>
      <c r="CQ69" s="527"/>
      <c r="CR69" s="527"/>
      <c r="CS69" s="527"/>
      <c r="CT69" s="527"/>
      <c r="CU69" s="527"/>
      <c r="CV69" s="527"/>
      <c r="CW69" s="527"/>
      <c r="CX69" s="528">
        <f t="shared" si="16"/>
        <v>0</v>
      </c>
      <c r="CY69" s="611"/>
      <c r="DK69" s="519">
        <f t="shared" si="17"/>
        <v>0</v>
      </c>
      <c r="DX69" s="519">
        <f t="shared" si="18"/>
        <v>0</v>
      </c>
    </row>
    <row r="70" spans="2:128" ht="15">
      <c r="C70" s="538"/>
      <c r="D70" s="538"/>
      <c r="E70" s="538"/>
      <c r="F70" s="538"/>
      <c r="G70" s="538"/>
      <c r="H70" s="538"/>
      <c r="I70" s="538"/>
      <c r="J70" s="538"/>
      <c r="K70" s="538"/>
      <c r="L70" s="538"/>
      <c r="M70" s="538"/>
      <c r="N70" s="538"/>
      <c r="O70" s="514">
        <f t="shared" si="9"/>
        <v>0</v>
      </c>
      <c r="P70" s="623"/>
      <c r="Q70" s="623"/>
      <c r="R70" s="623"/>
      <c r="S70" s="623"/>
      <c r="T70" s="623"/>
      <c r="U70" s="623"/>
      <c r="V70" s="534"/>
      <c r="W70" s="544"/>
      <c r="X70" s="623"/>
      <c r="Y70" s="623"/>
      <c r="Z70" s="525"/>
      <c r="AA70" s="534"/>
      <c r="AB70" s="605">
        <f t="shared" si="10"/>
        <v>0</v>
      </c>
      <c r="AC70" s="606"/>
      <c r="AD70" s="525"/>
      <c r="AE70" s="630"/>
      <c r="AF70" s="525"/>
      <c r="AG70" s="634"/>
      <c r="AH70" s="617"/>
      <c r="AI70" s="634"/>
      <c r="AJ70" s="628"/>
      <c r="AK70" s="607">
        <f t="shared" si="13"/>
        <v>0</v>
      </c>
      <c r="AL70" s="628"/>
      <c r="AM70" s="634"/>
      <c r="AN70" s="628"/>
      <c r="AO70" s="628"/>
      <c r="AP70" s="525"/>
      <c r="AQ70" s="525"/>
      <c r="AR70" s="525"/>
      <c r="AS70" s="525"/>
      <c r="AT70" s="525"/>
      <c r="AU70" s="525"/>
      <c r="AV70" s="525"/>
      <c r="AW70" s="525"/>
      <c r="AX70" s="528">
        <f t="shared" si="21"/>
        <v>0</v>
      </c>
      <c r="AY70" s="606"/>
      <c r="AZ70" s="525"/>
      <c r="BA70" s="525"/>
      <c r="BB70" s="525"/>
      <c r="BC70" s="525"/>
      <c r="BD70" s="525"/>
      <c r="BE70" s="525"/>
      <c r="BF70" s="525"/>
      <c r="BG70" s="525"/>
      <c r="BH70" s="563"/>
      <c r="BI70" s="525"/>
      <c r="BJ70" s="608"/>
      <c r="BK70" s="528">
        <f t="shared" si="19"/>
        <v>0</v>
      </c>
      <c r="BL70" s="614"/>
      <c r="BM70" s="533"/>
      <c r="BN70" s="535"/>
      <c r="BO70" s="533"/>
      <c r="BP70" s="533"/>
      <c r="BQ70" s="535"/>
      <c r="BR70" s="533"/>
      <c r="BS70" s="533"/>
      <c r="BT70" s="533"/>
      <c r="BU70" s="533"/>
      <c r="BV70" s="533"/>
      <c r="BW70" s="618"/>
      <c r="BX70" s="528">
        <f t="shared" si="15"/>
        <v>0</v>
      </c>
      <c r="BY70" s="525"/>
      <c r="BZ70" s="525"/>
      <c r="CA70" s="525"/>
      <c r="CB70" s="525"/>
      <c r="CC70" s="525"/>
      <c r="CD70" s="525"/>
      <c r="CE70" s="525"/>
      <c r="CF70" s="525"/>
      <c r="CG70" s="525"/>
      <c r="CH70" s="525"/>
      <c r="CI70" s="525"/>
      <c r="CJ70" s="525"/>
      <c r="CK70" s="528">
        <f t="shared" si="12"/>
        <v>0</v>
      </c>
      <c r="CL70" s="526"/>
      <c r="CM70" s="525"/>
      <c r="CN70" s="525"/>
      <c r="CO70" s="525"/>
      <c r="CP70" s="527"/>
      <c r="CQ70" s="527"/>
      <c r="CR70" s="527"/>
      <c r="CS70" s="527"/>
      <c r="CT70" s="527"/>
      <c r="CU70" s="527"/>
      <c r="CV70" s="527"/>
      <c r="CW70" s="527"/>
      <c r="CX70" s="528">
        <f t="shared" si="16"/>
        <v>0</v>
      </c>
      <c r="CY70" s="611"/>
      <c r="DK70" s="519">
        <f t="shared" si="17"/>
        <v>0</v>
      </c>
      <c r="DX70" s="519">
        <f t="shared" si="18"/>
        <v>0</v>
      </c>
    </row>
    <row r="71" spans="2:128" ht="15">
      <c r="C71" s="538"/>
      <c r="D71" s="538"/>
      <c r="E71" s="538"/>
      <c r="F71" s="538"/>
      <c r="G71" s="538"/>
      <c r="H71" s="538"/>
      <c r="I71" s="538"/>
      <c r="J71" s="538"/>
      <c r="K71" s="538"/>
      <c r="L71" s="538"/>
      <c r="M71" s="538"/>
      <c r="N71" s="538"/>
      <c r="O71" s="514">
        <f t="shared" si="9"/>
        <v>0</v>
      </c>
      <c r="P71" s="623"/>
      <c r="Q71" s="623"/>
      <c r="R71" s="623"/>
      <c r="S71" s="623"/>
      <c r="T71" s="544"/>
      <c r="U71" s="544"/>
      <c r="V71" s="534"/>
      <c r="W71" s="544"/>
      <c r="X71" s="623"/>
      <c r="Y71" s="623"/>
      <c r="Z71" s="525"/>
      <c r="AA71" s="534"/>
      <c r="AB71" s="605">
        <f t="shared" si="10"/>
        <v>0</v>
      </c>
      <c r="AC71" s="606"/>
      <c r="AD71" s="525"/>
      <c r="AE71" s="630"/>
      <c r="AF71" s="525"/>
      <c r="AG71" s="634"/>
      <c r="AH71" s="617"/>
      <c r="AI71" s="634"/>
      <c r="AJ71" s="628"/>
      <c r="AK71" s="607">
        <f t="shared" si="13"/>
        <v>0</v>
      </c>
      <c r="AL71" s="628"/>
      <c r="AM71" s="634"/>
      <c r="AN71" s="628"/>
      <c r="AO71" s="628"/>
      <c r="AP71" s="525"/>
      <c r="AQ71" s="525"/>
      <c r="AR71" s="525"/>
      <c r="AS71" s="525"/>
      <c r="AT71" s="525"/>
      <c r="AU71" s="525"/>
      <c r="AV71" s="525"/>
      <c r="AW71" s="525"/>
      <c r="AX71" s="528">
        <f t="shared" si="21"/>
        <v>0</v>
      </c>
      <c r="AY71" s="606"/>
      <c r="AZ71" s="525"/>
      <c r="BA71" s="525"/>
      <c r="BB71" s="525"/>
      <c r="BC71" s="525"/>
      <c r="BD71" s="525"/>
      <c r="BE71" s="525"/>
      <c r="BF71" s="525"/>
      <c r="BG71" s="525"/>
      <c r="BH71" s="563"/>
      <c r="BI71" s="525"/>
      <c r="BJ71" s="608"/>
      <c r="BK71" s="528">
        <f t="shared" si="19"/>
        <v>0</v>
      </c>
      <c r="BL71" s="614"/>
      <c r="BM71" s="533"/>
      <c r="BN71" s="535"/>
      <c r="BO71" s="533"/>
      <c r="BP71" s="533"/>
      <c r="BQ71" s="535"/>
      <c r="BR71" s="533"/>
      <c r="BS71" s="533"/>
      <c r="BT71" s="533"/>
      <c r="BU71" s="533"/>
      <c r="BV71" s="533"/>
      <c r="BW71" s="618"/>
      <c r="BX71" s="528">
        <f t="shared" si="15"/>
        <v>0</v>
      </c>
      <c r="BY71" s="525"/>
      <c r="BZ71" s="525"/>
      <c r="CA71" s="525"/>
      <c r="CB71" s="525"/>
      <c r="CC71" s="525"/>
      <c r="CD71" s="525"/>
      <c r="CE71" s="525"/>
      <c r="CF71" s="525"/>
      <c r="CG71" s="525"/>
      <c r="CH71" s="525"/>
      <c r="CI71" s="525"/>
      <c r="CJ71" s="525"/>
      <c r="CK71" s="528">
        <f t="shared" si="12"/>
        <v>0</v>
      </c>
      <c r="CL71" s="526"/>
      <c r="CM71" s="525"/>
      <c r="CN71" s="525"/>
      <c r="CO71" s="525"/>
      <c r="CP71" s="527"/>
      <c r="CQ71" s="527"/>
      <c r="CR71" s="527"/>
      <c r="CS71" s="527"/>
      <c r="CT71" s="527"/>
      <c r="CU71" s="527"/>
      <c r="CV71" s="527"/>
      <c r="CW71" s="527"/>
      <c r="CX71" s="528">
        <f t="shared" si="16"/>
        <v>0</v>
      </c>
      <c r="CY71" s="611"/>
      <c r="DK71" s="519">
        <f t="shared" si="17"/>
        <v>0</v>
      </c>
      <c r="DX71" s="519">
        <f t="shared" si="18"/>
        <v>0</v>
      </c>
    </row>
    <row r="72" spans="2:128" ht="15">
      <c r="C72" s="538"/>
      <c r="D72" s="538"/>
      <c r="E72" s="538"/>
      <c r="F72" s="538"/>
      <c r="G72" s="538"/>
      <c r="H72" s="538"/>
      <c r="I72" s="538"/>
      <c r="J72" s="538"/>
      <c r="K72" s="538"/>
      <c r="L72" s="538"/>
      <c r="M72" s="538"/>
      <c r="N72" s="538"/>
      <c r="O72" s="514">
        <f t="shared" si="9"/>
        <v>0</v>
      </c>
      <c r="P72" s="623"/>
      <c r="Q72" s="623"/>
      <c r="R72" s="623"/>
      <c r="S72" s="623"/>
      <c r="T72" s="623"/>
      <c r="U72" s="623"/>
      <c r="V72" s="534"/>
      <c r="W72" s="544"/>
      <c r="X72" s="623"/>
      <c r="Y72" s="623"/>
      <c r="Z72" s="525"/>
      <c r="AA72" s="534"/>
      <c r="AB72" s="605">
        <f t="shared" si="10"/>
        <v>0</v>
      </c>
      <c r="AC72" s="606"/>
      <c r="AD72" s="525"/>
      <c r="AE72" s="630"/>
      <c r="AF72" s="525"/>
      <c r="AG72" s="634"/>
      <c r="AH72" s="628"/>
      <c r="AI72" s="628"/>
      <c r="AJ72" s="628"/>
      <c r="AK72" s="607">
        <f t="shared" si="13"/>
        <v>0</v>
      </c>
      <c r="AL72" s="628"/>
      <c r="AM72" s="634"/>
      <c r="AN72" s="525"/>
      <c r="AO72" s="628"/>
      <c r="AP72" s="525"/>
      <c r="AQ72" s="525"/>
      <c r="AR72" s="637"/>
      <c r="AS72" s="627"/>
      <c r="AT72" s="525"/>
      <c r="AU72" s="525"/>
      <c r="AV72" s="525"/>
      <c r="AW72" s="525"/>
      <c r="AX72" s="528">
        <f t="shared" ref="AX72:AX78" si="26">SUM(AL72:AW72)</f>
        <v>0</v>
      </c>
      <c r="AY72" s="638"/>
      <c r="AZ72" s="525"/>
      <c r="BA72" s="639"/>
      <c r="BB72" s="525"/>
      <c r="BC72" s="525"/>
      <c r="BD72" s="525"/>
      <c r="BE72" s="525"/>
      <c r="BF72" s="525"/>
      <c r="BG72" s="525"/>
      <c r="BH72" s="563"/>
      <c r="BI72" s="525"/>
      <c r="BJ72" s="608"/>
      <c r="BK72" s="528">
        <f t="shared" si="19"/>
        <v>0</v>
      </c>
      <c r="BL72" s="614"/>
      <c r="BM72" s="533"/>
      <c r="BN72" s="535"/>
      <c r="BO72" s="533"/>
      <c r="BP72" s="533"/>
      <c r="BQ72" s="535"/>
      <c r="BR72" s="533"/>
      <c r="BS72" s="533"/>
      <c r="BT72" s="533"/>
      <c r="BU72" s="533"/>
      <c r="BV72" s="533"/>
      <c r="BW72" s="618"/>
      <c r="BX72" s="528">
        <f t="shared" si="15"/>
        <v>0</v>
      </c>
      <c r="BY72" s="525"/>
      <c r="BZ72" s="525"/>
      <c r="CA72" s="525"/>
      <c r="CB72" s="525"/>
      <c r="CC72" s="525"/>
      <c r="CD72" s="525"/>
      <c r="CE72" s="525"/>
      <c r="CF72" s="525"/>
      <c r="CG72" s="525"/>
      <c r="CH72" s="525"/>
      <c r="CI72" s="525"/>
      <c r="CJ72" s="525"/>
      <c r="CK72" s="528">
        <f t="shared" si="12"/>
        <v>0</v>
      </c>
      <c r="CL72" s="526"/>
      <c r="CM72" s="525"/>
      <c r="CN72" s="525"/>
      <c r="CO72" s="525"/>
      <c r="CP72" s="527"/>
      <c r="CQ72" s="527"/>
      <c r="CR72" s="527"/>
      <c r="CS72" s="527"/>
      <c r="CT72" s="527"/>
      <c r="CU72" s="527"/>
      <c r="CV72" s="527"/>
      <c r="CW72" s="527"/>
      <c r="CX72" s="528">
        <f t="shared" si="16"/>
        <v>0</v>
      </c>
      <c r="CY72" s="611"/>
      <c r="DK72" s="519">
        <f t="shared" si="17"/>
        <v>0</v>
      </c>
      <c r="DX72" s="519">
        <f t="shared" si="18"/>
        <v>0</v>
      </c>
    </row>
    <row r="73" spans="2:128" ht="15">
      <c r="C73" s="538"/>
      <c r="D73" s="538"/>
      <c r="E73" s="538"/>
      <c r="F73" s="538"/>
      <c r="G73" s="538"/>
      <c r="H73" s="538"/>
      <c r="I73" s="538"/>
      <c r="J73" s="538"/>
      <c r="K73" s="538"/>
      <c r="L73" s="538"/>
      <c r="M73" s="538"/>
      <c r="N73" s="538"/>
      <c r="O73" s="514">
        <f t="shared" si="9"/>
        <v>0</v>
      </c>
      <c r="P73" s="623"/>
      <c r="Q73" s="623"/>
      <c r="R73" s="623"/>
      <c r="S73" s="623"/>
      <c r="T73" s="623"/>
      <c r="U73" s="623"/>
      <c r="V73" s="534"/>
      <c r="W73" s="544"/>
      <c r="X73" s="544"/>
      <c r="Y73" s="623"/>
      <c r="Z73" s="534"/>
      <c r="AA73" s="534"/>
      <c r="AB73" s="605">
        <f t="shared" si="10"/>
        <v>0</v>
      </c>
      <c r="AC73" s="606"/>
      <c r="AD73" s="525"/>
      <c r="AE73" s="630"/>
      <c r="AF73" s="525"/>
      <c r="AG73" s="634"/>
      <c r="AH73" s="628"/>
      <c r="AI73" s="628"/>
      <c r="AJ73" s="628"/>
      <c r="AK73" s="607">
        <f t="shared" si="13"/>
        <v>0</v>
      </c>
      <c r="AL73" s="525"/>
      <c r="AM73" s="640"/>
      <c r="AN73" s="628"/>
      <c r="AO73" s="628"/>
      <c r="AP73" s="525"/>
      <c r="AQ73" s="525"/>
      <c r="AR73" s="525"/>
      <c r="AS73" s="525"/>
      <c r="AT73" s="525"/>
      <c r="AU73" s="525"/>
      <c r="AV73" s="525"/>
      <c r="AW73" s="525"/>
      <c r="AX73" s="528">
        <f t="shared" si="26"/>
        <v>0</v>
      </c>
      <c r="AY73" s="606"/>
      <c r="AZ73" s="534"/>
      <c r="BA73" s="525"/>
      <c r="BB73" s="627"/>
      <c r="BC73" s="525"/>
      <c r="BD73" s="525"/>
      <c r="BE73" s="525"/>
      <c r="BF73" s="525"/>
      <c r="BG73" s="525"/>
      <c r="BH73" s="563"/>
      <c r="BI73" s="525"/>
      <c r="BJ73" s="608"/>
      <c r="BK73" s="528">
        <f t="shared" si="19"/>
        <v>0</v>
      </c>
      <c r="BL73" s="614"/>
      <c r="BM73" s="533"/>
      <c r="BN73" s="535"/>
      <c r="BO73" s="533"/>
      <c r="BP73" s="533"/>
      <c r="BQ73" s="535"/>
      <c r="BR73" s="533"/>
      <c r="BS73" s="533"/>
      <c r="BT73" s="533"/>
      <c r="BU73" s="533"/>
      <c r="BV73" s="533"/>
      <c r="BW73" s="618"/>
      <c r="BX73" s="528">
        <f t="shared" si="15"/>
        <v>0</v>
      </c>
      <c r="BY73" s="525"/>
      <c r="BZ73" s="525"/>
      <c r="CA73" s="525"/>
      <c r="CB73" s="525"/>
      <c r="CC73" s="525"/>
      <c r="CD73" s="525"/>
      <c r="CE73" s="525"/>
      <c r="CF73" s="525"/>
      <c r="CG73" s="525"/>
      <c r="CH73" s="525"/>
      <c r="CI73" s="525"/>
      <c r="CJ73" s="525"/>
      <c r="CK73" s="528">
        <f t="shared" si="12"/>
        <v>0</v>
      </c>
      <c r="CL73" s="526"/>
      <c r="CM73" s="541"/>
      <c r="CN73" s="525"/>
      <c r="CO73" s="525"/>
      <c r="CP73" s="527"/>
      <c r="CQ73" s="527"/>
      <c r="CR73" s="527"/>
      <c r="CS73" s="527"/>
      <c r="CT73" s="527"/>
      <c r="CU73" s="527"/>
      <c r="CV73" s="527"/>
      <c r="CW73" s="527"/>
      <c r="CX73" s="528">
        <f t="shared" si="16"/>
        <v>0</v>
      </c>
      <c r="CY73" s="611"/>
      <c r="DK73" s="519">
        <f t="shared" si="17"/>
        <v>0</v>
      </c>
      <c r="DX73" s="519">
        <f t="shared" si="18"/>
        <v>0</v>
      </c>
    </row>
    <row r="74" spans="2:128" ht="15">
      <c r="C74" s="538"/>
      <c r="D74" s="538"/>
      <c r="E74" s="538"/>
      <c r="F74" s="538"/>
      <c r="G74" s="538"/>
      <c r="H74" s="538"/>
      <c r="I74" s="538"/>
      <c r="J74" s="538"/>
      <c r="K74" s="538"/>
      <c r="L74" s="538"/>
      <c r="M74" s="538"/>
      <c r="N74" s="538"/>
      <c r="O74" s="514">
        <f t="shared" si="9"/>
        <v>0</v>
      </c>
      <c r="P74" s="623"/>
      <c r="Q74" s="623"/>
      <c r="R74" s="623"/>
      <c r="S74" s="623"/>
      <c r="T74" s="623"/>
      <c r="U74" s="623"/>
      <c r="V74" s="534"/>
      <c r="W74" s="544"/>
      <c r="X74" s="544"/>
      <c r="Y74" s="623"/>
      <c r="Z74" s="534"/>
      <c r="AA74" s="534"/>
      <c r="AB74" s="605">
        <v>0</v>
      </c>
      <c r="AC74" s="606"/>
      <c r="AD74" s="525"/>
      <c r="AE74" s="630"/>
      <c r="AF74" s="525"/>
      <c r="AG74" s="634"/>
      <c r="AH74" s="628"/>
      <c r="AI74" s="525"/>
      <c r="AJ74" s="525"/>
      <c r="AK74" s="607">
        <f t="shared" si="13"/>
        <v>0</v>
      </c>
      <c r="AL74" s="641"/>
      <c r="AM74" s="525"/>
      <c r="AN74" s="525"/>
      <c r="AO74" s="627"/>
      <c r="AP74" s="525"/>
      <c r="AQ74" s="525"/>
      <c r="AR74" s="525"/>
      <c r="AS74" s="525"/>
      <c r="AT74" s="627"/>
      <c r="AU74" s="525"/>
      <c r="AV74" s="525"/>
      <c r="AW74" s="525"/>
      <c r="AX74" s="528">
        <f t="shared" si="26"/>
        <v>0</v>
      </c>
      <c r="AY74" s="606"/>
      <c r="AZ74" s="525"/>
      <c r="BA74" s="525"/>
      <c r="BB74" s="534"/>
      <c r="BC74" s="525"/>
      <c r="BD74" s="525"/>
      <c r="BE74" s="642"/>
      <c r="BF74" s="637"/>
      <c r="BG74" s="525"/>
      <c r="BH74" s="563"/>
      <c r="BI74" s="525"/>
      <c r="BJ74" s="608"/>
      <c r="BK74" s="528">
        <f t="shared" si="19"/>
        <v>0</v>
      </c>
      <c r="BL74" s="614"/>
      <c r="BM74" s="533"/>
      <c r="BN74" s="535"/>
      <c r="BO74" s="525"/>
      <c r="BP74" s="525"/>
      <c r="BQ74" s="526"/>
      <c r="BR74" s="627"/>
      <c r="BS74" s="563"/>
      <c r="BT74" s="534"/>
      <c r="BU74" s="525"/>
      <c r="BV74" s="533"/>
      <c r="BW74" s="618"/>
      <c r="BX74" s="528">
        <f t="shared" si="15"/>
        <v>0</v>
      </c>
      <c r="BY74" s="525"/>
      <c r="BZ74" s="525"/>
      <c r="CA74" s="525"/>
      <c r="CB74" s="525"/>
      <c r="CC74" s="525"/>
      <c r="CD74" s="525"/>
      <c r="CE74" s="525"/>
      <c r="CF74" s="525"/>
      <c r="CG74" s="525"/>
      <c r="CH74" s="525"/>
      <c r="CI74" s="627"/>
      <c r="CJ74" s="637"/>
      <c r="CK74" s="528">
        <f>SUM(BY74:CJ74)</f>
        <v>0</v>
      </c>
      <c r="CL74" s="534"/>
      <c r="CM74" s="642"/>
      <c r="CN74" s="637"/>
      <c r="CO74" s="525"/>
      <c r="CP74" s="527"/>
      <c r="CQ74" s="527"/>
      <c r="CR74" s="527"/>
      <c r="CS74" s="527"/>
      <c r="CT74" s="527"/>
      <c r="CU74" s="610"/>
      <c r="CV74" s="527"/>
      <c r="CW74" s="527"/>
      <c r="CX74" s="528">
        <f>SUM(CL74:CW74)</f>
        <v>0</v>
      </c>
      <c r="CY74" s="611"/>
      <c r="DK74" s="519">
        <f t="shared" si="17"/>
        <v>0</v>
      </c>
      <c r="DX74" s="519">
        <f t="shared" si="18"/>
        <v>0</v>
      </c>
    </row>
    <row r="75" spans="2:128" ht="15">
      <c r="C75" s="538"/>
      <c r="D75" s="538"/>
      <c r="E75" s="538"/>
      <c r="F75" s="538"/>
      <c r="G75" s="538"/>
      <c r="H75" s="538"/>
      <c r="I75" s="538"/>
      <c r="J75" s="538"/>
      <c r="K75" s="538"/>
      <c r="L75" s="538"/>
      <c r="M75" s="538"/>
      <c r="N75" s="538"/>
      <c r="O75" s="514">
        <f t="shared" si="9"/>
        <v>0</v>
      </c>
      <c r="P75" s="623"/>
      <c r="Q75" s="623"/>
      <c r="R75" s="623"/>
      <c r="S75" s="623"/>
      <c r="T75" s="623"/>
      <c r="U75" s="623"/>
      <c r="V75" s="534"/>
      <c r="W75" s="544"/>
      <c r="X75" s="544"/>
      <c r="Y75" s="623"/>
      <c r="Z75" s="534"/>
      <c r="AA75" s="534"/>
      <c r="AB75" s="605">
        <v>0</v>
      </c>
      <c r="AC75" s="606"/>
      <c r="AD75" s="525"/>
      <c r="AE75" s="630"/>
      <c r="AF75" s="525"/>
      <c r="AG75" s="634"/>
      <c r="AH75" s="628"/>
      <c r="AI75" s="628"/>
      <c r="AJ75" s="525"/>
      <c r="AK75" s="607">
        <f t="shared" si="13"/>
        <v>0</v>
      </c>
      <c r="AL75" s="525"/>
      <c r="AM75" s="640"/>
      <c r="AN75" s="628"/>
      <c r="AO75" s="628"/>
      <c r="AP75" s="525"/>
      <c r="AQ75" s="525"/>
      <c r="AR75" s="525"/>
      <c r="AS75" s="525"/>
      <c r="AT75" s="525"/>
      <c r="AU75" s="525"/>
      <c r="AV75" s="525"/>
      <c r="AW75" s="525"/>
      <c r="AX75" s="528">
        <f t="shared" si="26"/>
        <v>0</v>
      </c>
      <c r="AY75" s="606"/>
      <c r="AZ75" s="525"/>
      <c r="BA75" s="525"/>
      <c r="BB75" s="525"/>
      <c r="BC75" s="525"/>
      <c r="BD75" s="525"/>
      <c r="BE75" s="525"/>
      <c r="BF75" s="525"/>
      <c r="BG75" s="525"/>
      <c r="BH75" s="563"/>
      <c r="BI75" s="525"/>
      <c r="BJ75" s="608"/>
      <c r="BK75" s="528">
        <f t="shared" si="19"/>
        <v>0</v>
      </c>
      <c r="BL75" s="614"/>
      <c r="BM75" s="533"/>
      <c r="BN75" s="535"/>
      <c r="BO75" s="533"/>
      <c r="BP75" s="533"/>
      <c r="BQ75" s="535"/>
      <c r="BR75" s="533"/>
      <c r="BS75" s="533"/>
      <c r="BT75" s="533"/>
      <c r="BU75" s="533"/>
      <c r="BV75" s="533"/>
      <c r="BW75" s="618"/>
      <c r="BX75" s="528">
        <f t="shared" si="15"/>
        <v>0</v>
      </c>
      <c r="BY75" s="525"/>
      <c r="BZ75" s="525"/>
      <c r="CA75" s="525"/>
      <c r="CB75" s="525"/>
      <c r="CC75" s="525"/>
      <c r="CD75" s="525"/>
      <c r="CE75" s="525"/>
      <c r="CF75" s="525"/>
      <c r="CG75" s="525"/>
      <c r="CH75" s="525"/>
      <c r="CI75" s="525"/>
      <c r="CJ75" s="525"/>
      <c r="CK75" s="528">
        <f t="shared" si="12"/>
        <v>0</v>
      </c>
      <c r="CL75" s="526"/>
      <c r="CM75" s="525"/>
      <c r="CN75" s="525"/>
      <c r="CO75" s="525"/>
      <c r="CP75" s="527"/>
      <c r="CQ75" s="527"/>
      <c r="CR75" s="527"/>
      <c r="CS75" s="527"/>
      <c r="CT75" s="527"/>
      <c r="CU75" s="527"/>
      <c r="CV75" s="527"/>
      <c r="CW75" s="527"/>
      <c r="CX75" s="528">
        <f t="shared" si="16"/>
        <v>0</v>
      </c>
      <c r="CY75" s="611"/>
      <c r="DK75" s="519">
        <f t="shared" si="17"/>
        <v>0</v>
      </c>
      <c r="DX75" s="519">
        <f t="shared" si="18"/>
        <v>0</v>
      </c>
    </row>
    <row r="76" spans="2:128" ht="15">
      <c r="C76" s="538"/>
      <c r="D76" s="538"/>
      <c r="E76" s="538"/>
      <c r="F76" s="538"/>
      <c r="G76" s="538"/>
      <c r="H76" s="538"/>
      <c r="I76" s="538"/>
      <c r="J76" s="538"/>
      <c r="K76" s="538"/>
      <c r="L76" s="538"/>
      <c r="M76" s="538"/>
      <c r="N76" s="538"/>
      <c r="O76" s="514">
        <f t="shared" si="9"/>
        <v>0</v>
      </c>
      <c r="P76" s="623"/>
      <c r="Q76" s="623"/>
      <c r="R76" s="623"/>
      <c r="S76" s="623"/>
      <c r="T76" s="623"/>
      <c r="U76" s="623"/>
      <c r="V76" s="534"/>
      <c r="W76" s="544"/>
      <c r="X76" s="544"/>
      <c r="Y76" s="623"/>
      <c r="Z76" s="534"/>
      <c r="AA76" s="534"/>
      <c r="AB76" s="605">
        <v>0</v>
      </c>
      <c r="AC76" s="606"/>
      <c r="AD76" s="525"/>
      <c r="AE76" s="630"/>
      <c r="AF76" s="525"/>
      <c r="AG76" s="634"/>
      <c r="AH76" s="628"/>
      <c r="AI76" s="628"/>
      <c r="AJ76" s="525"/>
      <c r="AK76" s="607">
        <f t="shared" si="13"/>
        <v>0</v>
      </c>
      <c r="AL76" s="525"/>
      <c r="AM76" s="627"/>
      <c r="AN76" s="628"/>
      <c r="AO76" s="628"/>
      <c r="AP76" s="525"/>
      <c r="AQ76" s="525"/>
      <c r="AR76" s="525"/>
      <c r="AS76" s="525"/>
      <c r="AT76" s="525"/>
      <c r="AU76" s="525"/>
      <c r="AV76" s="525"/>
      <c r="AW76" s="525"/>
      <c r="AX76" s="528">
        <f t="shared" si="26"/>
        <v>0</v>
      </c>
      <c r="AY76" s="606"/>
      <c r="AZ76" s="525"/>
      <c r="BA76" s="525"/>
      <c r="BB76" s="525"/>
      <c r="BC76" s="525"/>
      <c r="BD76" s="525"/>
      <c r="BE76" s="525"/>
      <c r="BF76" s="525"/>
      <c r="BG76" s="534"/>
      <c r="BH76" s="544"/>
      <c r="BI76" s="525"/>
      <c r="BJ76" s="643"/>
      <c r="BK76" s="528">
        <f>SUM(AY76:BJ76)</f>
        <v>0</v>
      </c>
      <c r="BL76" s="614"/>
      <c r="BM76" s="533"/>
      <c r="BN76" s="535"/>
      <c r="BO76" s="533"/>
      <c r="BP76" s="533"/>
      <c r="BQ76" s="535"/>
      <c r="BR76" s="533"/>
      <c r="BS76" s="533"/>
      <c r="BT76" s="533"/>
      <c r="BU76" s="533"/>
      <c r="BV76" s="533"/>
      <c r="BW76" s="618"/>
      <c r="BX76" s="528">
        <f t="shared" si="15"/>
        <v>0</v>
      </c>
      <c r="BY76" s="525"/>
      <c r="BZ76" s="525"/>
      <c r="CA76" s="525"/>
      <c r="CB76" s="525"/>
      <c r="CC76" s="525"/>
      <c r="CD76" s="525"/>
      <c r="CE76" s="525"/>
      <c r="CF76" s="525"/>
      <c r="CG76" s="525"/>
      <c r="CH76" s="525"/>
      <c r="CI76" s="525"/>
      <c r="CJ76" s="525"/>
      <c r="CK76" s="528">
        <f t="shared" si="12"/>
        <v>0</v>
      </c>
      <c r="CL76" s="526"/>
      <c r="CM76" s="525"/>
      <c r="CN76" s="525"/>
      <c r="CO76" s="525"/>
      <c r="CP76" s="527"/>
      <c r="CQ76" s="527"/>
      <c r="CR76" s="527"/>
      <c r="CS76" s="527"/>
      <c r="CT76" s="527"/>
      <c r="CU76" s="527"/>
      <c r="CV76" s="527"/>
      <c r="CW76" s="527"/>
      <c r="CX76" s="528">
        <f t="shared" si="16"/>
        <v>0</v>
      </c>
      <c r="CY76" s="611"/>
      <c r="DK76" s="519">
        <f t="shared" si="17"/>
        <v>0</v>
      </c>
      <c r="DX76" s="519">
        <f t="shared" si="18"/>
        <v>0</v>
      </c>
    </row>
    <row r="77" spans="2:128" ht="15">
      <c r="C77" s="538"/>
      <c r="D77" s="538"/>
      <c r="E77" s="538"/>
      <c r="F77" s="538"/>
      <c r="G77" s="538"/>
      <c r="H77" s="538"/>
      <c r="I77" s="538"/>
      <c r="J77" s="538"/>
      <c r="K77" s="538"/>
      <c r="L77" s="538"/>
      <c r="M77" s="538"/>
      <c r="N77" s="538"/>
      <c r="O77" s="514"/>
      <c r="P77" s="623"/>
      <c r="Q77" s="623"/>
      <c r="R77" s="623"/>
      <c r="S77" s="623"/>
      <c r="T77" s="623"/>
      <c r="U77" s="623"/>
      <c r="V77" s="534"/>
      <c r="W77" s="544"/>
      <c r="X77" s="544"/>
      <c r="Y77" s="623"/>
      <c r="Z77" s="534"/>
      <c r="AA77" s="534"/>
      <c r="AB77" s="605">
        <f t="shared" si="10"/>
        <v>0</v>
      </c>
      <c r="AC77" s="606"/>
      <c r="AD77" s="525"/>
      <c r="AE77" s="630"/>
      <c r="AF77" s="525"/>
      <c r="AG77" s="634"/>
      <c r="AH77" s="628"/>
      <c r="AI77" s="628"/>
      <c r="AJ77" s="525"/>
      <c r="AK77" s="607">
        <f t="shared" si="13"/>
        <v>0</v>
      </c>
      <c r="AL77" s="525"/>
      <c r="AM77" s="525"/>
      <c r="AN77" s="525"/>
      <c r="AO77" s="525"/>
      <c r="AP77" s="525"/>
      <c r="AQ77" s="642"/>
      <c r="AR77" s="525"/>
      <c r="AS77" s="525"/>
      <c r="AT77" s="525"/>
      <c r="AU77" s="525"/>
      <c r="AV77" s="525"/>
      <c r="AW77" s="525"/>
      <c r="AX77" s="528">
        <f t="shared" si="26"/>
        <v>0</v>
      </c>
      <c r="AY77" s="606"/>
      <c r="AZ77" s="525"/>
      <c r="BA77" s="525"/>
      <c r="BB77" s="525"/>
      <c r="BC77" s="525"/>
      <c r="BD77" s="525"/>
      <c r="BE77" s="525"/>
      <c r="BF77" s="525"/>
      <c r="BG77" s="525"/>
      <c r="BH77" s="525"/>
      <c r="BI77" s="525"/>
      <c r="BJ77" s="608"/>
      <c r="BK77" s="528">
        <f t="shared" si="19"/>
        <v>0</v>
      </c>
      <c r="BL77" s="614"/>
      <c r="BM77" s="533"/>
      <c r="BN77" s="535"/>
      <c r="BO77" s="533"/>
      <c r="BP77" s="533"/>
      <c r="BQ77" s="535"/>
      <c r="BR77" s="533"/>
      <c r="BS77" s="533"/>
      <c r="BT77" s="533"/>
      <c r="BU77" s="533"/>
      <c r="BV77" s="533"/>
      <c r="BW77" s="618"/>
      <c r="BX77" s="528">
        <f t="shared" si="15"/>
        <v>0</v>
      </c>
      <c r="BY77" s="525"/>
      <c r="BZ77" s="525"/>
      <c r="CA77" s="525"/>
      <c r="CB77" s="525"/>
      <c r="CC77" s="525"/>
      <c r="CD77" s="525"/>
      <c r="CE77" s="525"/>
      <c r="CF77" s="525"/>
      <c r="CG77" s="525"/>
      <c r="CH77" s="525"/>
      <c r="CI77" s="525"/>
      <c r="CJ77" s="525"/>
      <c r="CK77" s="528">
        <f t="shared" si="12"/>
        <v>0</v>
      </c>
      <c r="CL77" s="526"/>
      <c r="CM77" s="525"/>
      <c r="CN77" s="525"/>
      <c r="CO77" s="525"/>
      <c r="CP77" s="527"/>
      <c r="CQ77" s="527"/>
      <c r="CR77" s="527"/>
      <c r="CS77" s="527"/>
      <c r="CT77" s="527"/>
      <c r="CU77" s="527"/>
      <c r="CV77" s="527"/>
      <c r="CW77" s="527"/>
      <c r="CX77" s="528">
        <f t="shared" si="16"/>
        <v>0</v>
      </c>
      <c r="CY77" s="611"/>
      <c r="DK77" s="519">
        <f t="shared" si="17"/>
        <v>0</v>
      </c>
      <c r="DX77" s="519">
        <f t="shared" si="18"/>
        <v>0</v>
      </c>
    </row>
    <row r="78" spans="2:128" ht="15">
      <c r="C78" s="538"/>
      <c r="D78" s="538"/>
      <c r="E78" s="538"/>
      <c r="F78" s="538"/>
      <c r="G78" s="538"/>
      <c r="H78" s="538"/>
      <c r="I78" s="538"/>
      <c r="J78" s="538"/>
      <c r="K78" s="538"/>
      <c r="L78" s="538"/>
      <c r="M78" s="538"/>
      <c r="N78" s="538"/>
      <c r="O78" s="514"/>
      <c r="P78" s="623"/>
      <c r="Q78" s="623"/>
      <c r="R78" s="623"/>
      <c r="S78" s="623"/>
      <c r="T78" s="623"/>
      <c r="U78" s="623"/>
      <c r="V78" s="534"/>
      <c r="W78" s="544"/>
      <c r="X78" s="544"/>
      <c r="Y78" s="623"/>
      <c r="Z78" s="534"/>
      <c r="AA78" s="534"/>
      <c r="AB78" s="605"/>
      <c r="AC78" s="606"/>
      <c r="AD78" s="525"/>
      <c r="AE78" s="630"/>
      <c r="AF78" s="525"/>
      <c r="AG78" s="634"/>
      <c r="AH78" s="628"/>
      <c r="AI78" s="628"/>
      <c r="AJ78" s="525"/>
      <c r="AK78" s="607"/>
      <c r="AL78" s="525"/>
      <c r="AM78" s="525"/>
      <c r="AN78" s="525"/>
      <c r="AO78" s="525"/>
      <c r="AP78" s="525"/>
      <c r="AQ78" s="642"/>
      <c r="AR78" s="525"/>
      <c r="AS78" s="525"/>
      <c r="AT78" s="525"/>
      <c r="AU78" s="525"/>
      <c r="AV78" s="525"/>
      <c r="AW78" s="525"/>
      <c r="AX78" s="528">
        <f t="shared" si="26"/>
        <v>0</v>
      </c>
      <c r="AY78" s="606"/>
      <c r="AZ78" s="525"/>
      <c r="BA78" s="525"/>
      <c r="BB78" s="525"/>
      <c r="BC78" s="525"/>
      <c r="BD78" s="525"/>
      <c r="BE78" s="525"/>
      <c r="BF78" s="525"/>
      <c r="BG78" s="525"/>
      <c r="BH78" s="544"/>
      <c r="BI78" s="525"/>
      <c r="BJ78" s="608"/>
      <c r="BK78" s="528">
        <f>SUM(AY78:BJ78)</f>
        <v>0</v>
      </c>
      <c r="BL78" s="533"/>
      <c r="BM78" s="533"/>
      <c r="BN78" s="535"/>
      <c r="BO78" s="525"/>
      <c r="BP78" s="544"/>
      <c r="BQ78" s="526"/>
      <c r="BR78" s="533"/>
      <c r="BS78" s="533"/>
      <c r="BT78" s="533"/>
      <c r="BU78" s="533"/>
      <c r="BV78" s="533"/>
      <c r="BW78" s="618"/>
      <c r="BX78" s="528">
        <f t="shared" si="15"/>
        <v>0</v>
      </c>
      <c r="BY78" s="533"/>
      <c r="BZ78" s="533"/>
      <c r="CA78" s="525"/>
      <c r="CB78" s="525"/>
      <c r="CC78" s="525"/>
      <c r="CD78" s="525"/>
      <c r="CE78" s="525"/>
      <c r="CF78" s="525"/>
      <c r="CG78" s="525"/>
      <c r="CH78" s="525"/>
      <c r="CI78" s="525"/>
      <c r="CJ78" s="525"/>
      <c r="CK78" s="528">
        <f t="shared" si="12"/>
        <v>0</v>
      </c>
      <c r="CL78" s="526"/>
      <c r="CM78" s="525"/>
      <c r="CN78" s="525"/>
      <c r="CO78" s="525"/>
      <c r="CP78" s="527"/>
      <c r="CQ78" s="527"/>
      <c r="CR78" s="527"/>
      <c r="CS78" s="527"/>
      <c r="CT78" s="527"/>
      <c r="CU78" s="527"/>
      <c r="CV78" s="527"/>
      <c r="CW78" s="527"/>
      <c r="CX78" s="528">
        <f t="shared" si="16"/>
        <v>0</v>
      </c>
      <c r="CY78" s="611"/>
      <c r="DK78" s="519">
        <f t="shared" si="17"/>
        <v>0</v>
      </c>
      <c r="DX78" s="519">
        <f t="shared" si="18"/>
        <v>0</v>
      </c>
    </row>
    <row r="79" spans="2:128" ht="15">
      <c r="C79" s="538"/>
      <c r="D79" s="538"/>
      <c r="E79" s="538"/>
      <c r="F79" s="538"/>
      <c r="G79" s="538"/>
      <c r="H79" s="538"/>
      <c r="I79" s="538"/>
      <c r="J79" s="538"/>
      <c r="K79" s="538"/>
      <c r="L79" s="538"/>
      <c r="M79" s="538"/>
      <c r="N79" s="538"/>
      <c r="O79" s="514"/>
      <c r="P79" s="623"/>
      <c r="Q79" s="623"/>
      <c r="R79" s="623"/>
      <c r="S79" s="623"/>
      <c r="T79" s="623"/>
      <c r="U79" s="623"/>
      <c r="V79" s="534"/>
      <c r="W79" s="544"/>
      <c r="X79" s="544"/>
      <c r="Y79" s="623"/>
      <c r="Z79" s="534"/>
      <c r="AA79" s="534"/>
      <c r="AB79" s="605"/>
      <c r="AC79" s="606"/>
      <c r="AD79" s="525"/>
      <c r="AE79" s="630"/>
      <c r="AF79" s="525"/>
      <c r="AG79" s="634"/>
      <c r="AH79" s="628"/>
      <c r="AI79" s="628"/>
      <c r="AJ79" s="525"/>
      <c r="AK79" s="607"/>
      <c r="AL79" s="525"/>
      <c r="AM79" s="525"/>
      <c r="AN79" s="525"/>
      <c r="AO79" s="525"/>
      <c r="AP79" s="525"/>
      <c r="AQ79" s="642"/>
      <c r="AR79" s="525"/>
      <c r="AS79" s="525"/>
      <c r="AT79" s="525"/>
      <c r="AU79" s="525"/>
      <c r="AV79" s="525"/>
      <c r="AW79" s="525"/>
      <c r="AX79" s="528"/>
      <c r="AY79" s="606"/>
      <c r="AZ79" s="525"/>
      <c r="BA79" s="525"/>
      <c r="BB79" s="525"/>
      <c r="BC79" s="525"/>
      <c r="BD79" s="525"/>
      <c r="BE79" s="525"/>
      <c r="BF79" s="525"/>
      <c r="BG79" s="525"/>
      <c r="BH79" s="544"/>
      <c r="BI79" s="525"/>
      <c r="BJ79" s="608"/>
      <c r="BK79" s="528">
        <f>SUM(AY79:BJ79)</f>
        <v>0</v>
      </c>
      <c r="BL79" s="533"/>
      <c r="BM79" s="533"/>
      <c r="BN79" s="535"/>
      <c r="BO79" s="525"/>
      <c r="BP79" s="525"/>
      <c r="BQ79" s="526"/>
      <c r="BR79" s="525"/>
      <c r="BS79" s="544"/>
      <c r="BT79" s="525"/>
      <c r="BU79" s="533"/>
      <c r="BV79" s="533"/>
      <c r="BW79" s="618"/>
      <c r="BX79" s="528">
        <f t="shared" si="15"/>
        <v>0</v>
      </c>
      <c r="BY79" s="525"/>
      <c r="BZ79" s="525"/>
      <c r="CA79" s="525"/>
      <c r="CB79" s="525"/>
      <c r="CC79" s="525"/>
      <c r="CD79" s="525"/>
      <c r="CE79" s="525"/>
      <c r="CF79" s="525"/>
      <c r="CG79" s="525"/>
      <c r="CH79" s="525"/>
      <c r="CI79" s="525"/>
      <c r="CJ79" s="525"/>
      <c r="CK79" s="528">
        <f t="shared" si="12"/>
        <v>0</v>
      </c>
      <c r="CL79" s="526"/>
      <c r="CM79" s="525"/>
      <c r="CN79" s="526"/>
      <c r="CO79" s="525"/>
      <c r="CP79" s="527"/>
      <c r="CQ79" s="527"/>
      <c r="CR79" s="527"/>
      <c r="CS79" s="527"/>
      <c r="CT79" s="527"/>
      <c r="CU79" s="527"/>
      <c r="CV79" s="527"/>
      <c r="CW79" s="527"/>
      <c r="CX79" s="528">
        <f t="shared" si="16"/>
        <v>0</v>
      </c>
      <c r="CY79" s="611"/>
      <c r="DK79" s="519">
        <f t="shared" si="17"/>
        <v>0</v>
      </c>
      <c r="DX79" s="519">
        <f t="shared" si="18"/>
        <v>0</v>
      </c>
    </row>
    <row r="80" spans="2:128" ht="15">
      <c r="C80" s="538"/>
      <c r="D80" s="538"/>
      <c r="E80" s="538"/>
      <c r="F80" s="538"/>
      <c r="G80" s="538"/>
      <c r="H80" s="538"/>
      <c r="I80" s="538"/>
      <c r="J80" s="538"/>
      <c r="K80" s="538"/>
      <c r="L80" s="538"/>
      <c r="M80" s="538"/>
      <c r="N80" s="538"/>
      <c r="O80" s="514"/>
      <c r="P80" s="623"/>
      <c r="Q80" s="623"/>
      <c r="R80" s="623"/>
      <c r="S80" s="623"/>
      <c r="T80" s="623"/>
      <c r="U80" s="623"/>
      <c r="V80" s="534"/>
      <c r="W80" s="544"/>
      <c r="X80" s="544"/>
      <c r="Y80" s="623"/>
      <c r="Z80" s="534"/>
      <c r="AA80" s="534"/>
      <c r="AB80" s="605"/>
      <c r="AC80" s="606"/>
      <c r="AD80" s="525"/>
      <c r="AE80" s="630"/>
      <c r="AF80" s="525"/>
      <c r="AG80" s="634"/>
      <c r="AH80" s="628"/>
      <c r="AI80" s="628"/>
      <c r="AJ80" s="525"/>
      <c r="AK80" s="607"/>
      <c r="AL80" s="525"/>
      <c r="AM80" s="525"/>
      <c r="AN80" s="525"/>
      <c r="AO80" s="525"/>
      <c r="AP80" s="525"/>
      <c r="AQ80" s="642"/>
      <c r="AR80" s="525"/>
      <c r="AS80" s="525"/>
      <c r="AT80" s="525"/>
      <c r="AU80" s="525"/>
      <c r="AV80" s="525"/>
      <c r="AW80" s="525"/>
      <c r="AX80" s="528"/>
      <c r="AY80" s="606"/>
      <c r="AZ80" s="525"/>
      <c r="BA80" s="525"/>
      <c r="BB80" s="525"/>
      <c r="BC80" s="525"/>
      <c r="BD80" s="525"/>
      <c r="BE80" s="525"/>
      <c r="BF80" s="525"/>
      <c r="BG80" s="525"/>
      <c r="BH80" s="544"/>
      <c r="BI80" s="525"/>
      <c r="BJ80" s="608"/>
      <c r="BK80" s="528"/>
      <c r="BL80" s="533"/>
      <c r="BM80" s="533"/>
      <c r="BN80" s="535"/>
      <c r="BO80" s="525"/>
      <c r="BP80" s="525"/>
      <c r="BQ80" s="526"/>
      <c r="BR80" s="525"/>
      <c r="BS80" s="544"/>
      <c r="BT80" s="525"/>
      <c r="BU80" s="533"/>
      <c r="BV80" s="533"/>
      <c r="BW80" s="618"/>
      <c r="BX80" s="528"/>
      <c r="BY80" s="525"/>
      <c r="BZ80" s="525"/>
      <c r="CA80" s="525"/>
      <c r="CB80" s="525"/>
      <c r="CC80" s="525"/>
      <c r="CD80" s="525"/>
      <c r="CE80" s="525"/>
      <c r="CF80" s="525"/>
      <c r="CG80" s="525"/>
      <c r="CH80" s="525"/>
      <c r="CI80" s="525"/>
      <c r="CJ80" s="525"/>
      <c r="CK80" s="528"/>
      <c r="CL80" s="526"/>
      <c r="CM80" s="525"/>
      <c r="CN80" s="526"/>
      <c r="CO80" s="525"/>
      <c r="CP80" s="782"/>
      <c r="CQ80" s="527"/>
      <c r="CR80" s="527"/>
      <c r="CS80" s="527"/>
      <c r="CT80" s="527"/>
      <c r="CU80" s="527"/>
      <c r="CV80" s="527"/>
      <c r="CW80" s="527"/>
      <c r="CX80" s="528">
        <f t="shared" si="16"/>
        <v>0</v>
      </c>
      <c r="CY80" s="611"/>
      <c r="DK80" s="519"/>
      <c r="DX80" s="519"/>
    </row>
    <row r="81" spans="1:140" ht="15">
      <c r="B81" s="560"/>
      <c r="C81" s="538"/>
      <c r="D81" s="538"/>
      <c r="E81" s="538"/>
      <c r="F81" s="538"/>
      <c r="G81" s="538"/>
      <c r="H81" s="538"/>
      <c r="I81" s="538"/>
      <c r="J81" s="538"/>
      <c r="K81" s="538"/>
      <c r="L81" s="538"/>
      <c r="M81" s="538"/>
      <c r="N81" s="538"/>
      <c r="O81" s="514">
        <f t="shared" si="9"/>
        <v>0</v>
      </c>
      <c r="P81" s="623"/>
      <c r="Q81" s="623"/>
      <c r="R81" s="623"/>
      <c r="S81" s="623"/>
      <c r="T81" s="623"/>
      <c r="U81" s="623"/>
      <c r="V81" s="534"/>
      <c r="W81" s="544"/>
      <c r="X81" s="623"/>
      <c r="Y81" s="623"/>
      <c r="Z81" s="525"/>
      <c r="AA81" s="534"/>
      <c r="AB81" s="605"/>
      <c r="AC81" s="606"/>
      <c r="AD81" s="525"/>
      <c r="AE81" s="630"/>
      <c r="AF81" s="525"/>
      <c r="AG81" s="634"/>
      <c r="AH81" s="617"/>
      <c r="AI81" s="634"/>
      <c r="AJ81" s="628"/>
      <c r="AK81" s="607"/>
      <c r="AL81" s="628"/>
      <c r="AM81" s="628"/>
      <c r="AN81" s="628"/>
      <c r="AO81" s="628"/>
      <c r="AP81" s="525"/>
      <c r="AQ81" s="525"/>
      <c r="AR81" s="525"/>
      <c r="AS81" s="525"/>
      <c r="AT81" s="525"/>
      <c r="AU81" s="525"/>
      <c r="AV81" s="525"/>
      <c r="AW81" s="525"/>
      <c r="AX81" s="528"/>
      <c r="AY81" s="606"/>
      <c r="AZ81" s="525"/>
      <c r="BA81" s="525"/>
      <c r="BB81" s="525"/>
      <c r="BC81" s="525"/>
      <c r="BD81" s="525"/>
      <c r="BE81" s="525"/>
      <c r="BF81" s="525"/>
      <c r="BG81" s="525"/>
      <c r="BH81" s="525"/>
      <c r="BI81" s="525"/>
      <c r="BJ81" s="608"/>
      <c r="BK81" s="528"/>
      <c r="BL81" s="614"/>
      <c r="BM81" s="533"/>
      <c r="BN81" s="535"/>
      <c r="BO81" s="533"/>
      <c r="BP81" s="533"/>
      <c r="BQ81" s="535"/>
      <c r="BR81" s="533"/>
      <c r="BS81" s="533"/>
      <c r="BT81" s="533"/>
      <c r="BU81" s="533"/>
      <c r="BV81" s="533"/>
      <c r="BW81" s="618"/>
      <c r="BX81" s="528">
        <f t="shared" si="15"/>
        <v>0</v>
      </c>
      <c r="BY81" s="525"/>
      <c r="BZ81" s="525"/>
      <c r="CA81" s="525"/>
      <c r="CB81" s="525"/>
      <c r="CC81" s="525"/>
      <c r="CD81" s="525"/>
      <c r="CE81" s="525"/>
      <c r="CF81" s="525"/>
      <c r="CG81" s="525"/>
      <c r="CH81" s="525"/>
      <c r="CI81" s="525"/>
      <c r="CJ81" s="525"/>
      <c r="CK81" s="528">
        <f t="shared" ref="CK81" si="27">SUM(BY81:CJ81)</f>
        <v>0</v>
      </c>
      <c r="CL81" s="526"/>
      <c r="CM81" s="525"/>
      <c r="CN81" s="526"/>
      <c r="CO81" s="525"/>
      <c r="CP81" s="527"/>
      <c r="CQ81" s="527"/>
      <c r="CR81" s="527"/>
      <c r="CS81" s="527"/>
      <c r="CT81" s="527"/>
      <c r="CU81" s="527"/>
      <c r="CV81" s="527"/>
      <c r="CW81" s="527"/>
      <c r="CX81" s="528">
        <f t="shared" si="16"/>
        <v>0</v>
      </c>
      <c r="CY81" s="611"/>
      <c r="DK81" s="519">
        <f t="shared" si="17"/>
        <v>0</v>
      </c>
      <c r="DX81" s="519">
        <f t="shared" si="18"/>
        <v>0</v>
      </c>
    </row>
    <row r="82" spans="1:140" ht="15">
      <c r="C82" s="538"/>
      <c r="D82" s="538"/>
      <c r="E82" s="538"/>
      <c r="F82" s="538"/>
      <c r="G82" s="538"/>
      <c r="H82" s="538"/>
      <c r="I82" s="538"/>
      <c r="J82" s="538"/>
      <c r="K82" s="538"/>
      <c r="L82" s="538"/>
      <c r="M82" s="538"/>
      <c r="N82" s="538"/>
      <c r="O82" s="514">
        <f t="shared" si="9"/>
        <v>0</v>
      </c>
      <c r="P82" s="623"/>
      <c r="Q82" s="623"/>
      <c r="R82" s="623"/>
      <c r="S82" s="623"/>
      <c r="T82" s="623"/>
      <c r="U82" s="623"/>
      <c r="V82" s="534"/>
      <c r="W82" s="544"/>
      <c r="X82" s="623"/>
      <c r="Y82" s="623"/>
      <c r="Z82" s="525"/>
      <c r="AA82" s="534"/>
      <c r="AB82" s="605">
        <f t="shared" si="10"/>
        <v>0</v>
      </c>
      <c r="AC82" s="606"/>
      <c r="AD82" s="525"/>
      <c r="AE82" s="630"/>
      <c r="AF82" s="525"/>
      <c r="AG82" s="630"/>
      <c r="AH82" s="544"/>
      <c r="AI82" s="634"/>
      <c r="AJ82" s="628"/>
      <c r="AK82" s="607">
        <f t="shared" si="13"/>
        <v>0</v>
      </c>
      <c r="AL82" s="628"/>
      <c r="AM82" s="634"/>
      <c r="AN82" s="628"/>
      <c r="AO82" s="628"/>
      <c r="AP82" s="525"/>
      <c r="AQ82" s="525"/>
      <c r="AR82" s="525"/>
      <c r="AS82" s="525"/>
      <c r="AT82" s="534"/>
      <c r="AU82" s="534"/>
      <c r="AV82" s="534"/>
      <c r="AW82" s="534"/>
      <c r="AX82" s="528">
        <f>SUM(AL82:AW82)</f>
        <v>0</v>
      </c>
      <c r="AY82" s="613"/>
      <c r="AZ82" s="533"/>
      <c r="BA82" s="525"/>
      <c r="BB82" s="534"/>
      <c r="BC82" s="525"/>
      <c r="BD82" s="525"/>
      <c r="BE82" s="525"/>
      <c r="BF82" s="525"/>
      <c r="BG82" s="534"/>
      <c r="BH82" s="525"/>
      <c r="BI82" s="525"/>
      <c r="BJ82" s="534"/>
      <c r="BK82" s="528">
        <f>SUM(AY82:BJ82)</f>
        <v>0</v>
      </c>
      <c r="BL82" s="614"/>
      <c r="BM82" s="534"/>
      <c r="BN82" s="644"/>
      <c r="BO82" s="534"/>
      <c r="BP82" s="533"/>
      <c r="BQ82" s="535"/>
      <c r="BR82" s="644"/>
      <c r="BS82" s="533"/>
      <c r="BT82" s="533"/>
      <c r="BU82" s="533"/>
      <c r="BV82" s="644"/>
      <c r="BW82" s="618"/>
      <c r="BX82" s="528">
        <f t="shared" si="15"/>
        <v>0</v>
      </c>
      <c r="BY82" s="525"/>
      <c r="BZ82" s="525"/>
      <c r="CA82" s="534"/>
      <c r="CB82" s="525"/>
      <c r="CC82" s="534"/>
      <c r="CD82" s="525"/>
      <c r="CE82" s="525"/>
      <c r="CF82" s="525"/>
      <c r="CG82" s="644"/>
      <c r="CH82" s="534"/>
      <c r="CI82" s="534"/>
      <c r="CJ82" s="534"/>
      <c r="CK82" s="528">
        <f t="shared" ref="CK82:CK84" si="28">SUM(BY82:CJ82)</f>
        <v>0</v>
      </c>
      <c r="CL82" s="526"/>
      <c r="CM82" s="525"/>
      <c r="CN82" s="615"/>
      <c r="CO82" s="525"/>
      <c r="CP82" s="536"/>
      <c r="CQ82" s="527"/>
      <c r="CR82" s="527"/>
      <c r="CS82" s="527"/>
      <c r="CT82" s="610"/>
      <c r="CU82" s="527"/>
      <c r="CV82" s="527"/>
      <c r="CW82" s="527"/>
      <c r="CX82" s="528">
        <f t="shared" ref="CX82" si="29">SUM(CL82:CW82)</f>
        <v>0</v>
      </c>
      <c r="CY82" s="611"/>
      <c r="DK82" s="519">
        <f t="shared" ref="DK82:DK84" si="30">SUM(CY82:DJ82)</f>
        <v>0</v>
      </c>
      <c r="DX82" s="519">
        <f t="shared" ref="DX82:DX84" si="31">SUM(DL82:DW82)</f>
        <v>0</v>
      </c>
    </row>
    <row r="83" spans="1:140" ht="15">
      <c r="C83" s="512"/>
      <c r="D83" s="538"/>
      <c r="E83" s="538"/>
      <c r="F83" s="538"/>
      <c r="G83" s="538"/>
      <c r="H83" s="538"/>
      <c r="I83" s="538"/>
      <c r="J83" s="538"/>
      <c r="K83" s="538"/>
      <c r="L83" s="538"/>
      <c r="M83" s="538"/>
      <c r="N83" s="538"/>
      <c r="O83" s="514">
        <f t="shared" si="9"/>
        <v>0</v>
      </c>
      <c r="P83" s="623"/>
      <c r="Q83" s="623"/>
      <c r="R83" s="623"/>
      <c r="S83" s="623"/>
      <c r="T83" s="623"/>
      <c r="U83" s="623"/>
      <c r="V83" s="534"/>
      <c r="W83" s="544"/>
      <c r="X83" s="623"/>
      <c r="Y83" s="623"/>
      <c r="Z83" s="525"/>
      <c r="AA83" s="534"/>
      <c r="AB83" s="605">
        <f t="shared" si="10"/>
        <v>0</v>
      </c>
      <c r="AC83" s="606"/>
      <c r="AD83" s="525"/>
      <c r="AE83" s="630"/>
      <c r="AF83" s="544"/>
      <c r="AG83" s="634"/>
      <c r="AH83" s="617"/>
      <c r="AI83" s="634"/>
      <c r="AJ83" s="628"/>
      <c r="AK83" s="607">
        <f t="shared" si="13"/>
        <v>0</v>
      </c>
      <c r="AL83" s="628"/>
      <c r="AM83" s="634"/>
      <c r="AN83" s="628"/>
      <c r="AO83" s="628"/>
      <c r="AP83" s="525"/>
      <c r="AQ83" s="525"/>
      <c r="AR83" s="525"/>
      <c r="AS83" s="525"/>
      <c r="AT83" s="525"/>
      <c r="AU83" s="525"/>
      <c r="AV83" s="525"/>
      <c r="AW83" s="525"/>
      <c r="AX83" s="528">
        <f t="shared" si="21"/>
        <v>0</v>
      </c>
      <c r="AY83" s="606"/>
      <c r="AZ83" s="525"/>
      <c r="BA83" s="525"/>
      <c r="BB83" s="525"/>
      <c r="BC83" s="525"/>
      <c r="BD83" s="525"/>
      <c r="BE83" s="525"/>
      <c r="BF83" s="525"/>
      <c r="BG83" s="525"/>
      <c r="BH83" s="525"/>
      <c r="BI83" s="525"/>
      <c r="BJ83" s="608"/>
      <c r="BK83" s="528">
        <f t="shared" si="19"/>
        <v>0</v>
      </c>
      <c r="BL83" s="606"/>
      <c r="BM83" s="525"/>
      <c r="BN83" s="526"/>
      <c r="BO83" s="525"/>
      <c r="BP83" s="525"/>
      <c r="BQ83" s="526"/>
      <c r="BR83" s="525"/>
      <c r="BS83" s="525"/>
      <c r="BT83" s="525"/>
      <c r="BU83" s="525"/>
      <c r="BV83" s="525"/>
      <c r="BW83" s="608"/>
      <c r="BX83" s="528">
        <f t="shared" si="15"/>
        <v>0</v>
      </c>
      <c r="BY83" s="525"/>
      <c r="BZ83" s="525"/>
      <c r="CA83" s="525"/>
      <c r="CB83" s="525"/>
      <c r="CC83" s="525"/>
      <c r="CD83" s="525"/>
      <c r="CE83" s="525"/>
      <c r="CF83" s="525"/>
      <c r="CG83" s="525"/>
      <c r="CH83" s="525"/>
      <c r="CI83" s="525"/>
      <c r="CJ83" s="525"/>
      <c r="CK83" s="528">
        <f t="shared" si="28"/>
        <v>0</v>
      </c>
      <c r="CL83" s="526"/>
      <c r="CM83" s="525"/>
      <c r="CN83" s="526"/>
      <c r="CO83" s="525"/>
      <c r="CP83" s="527"/>
      <c r="CQ83" s="527"/>
      <c r="CR83" s="527"/>
      <c r="CS83" s="527"/>
      <c r="CT83" s="527"/>
      <c r="CU83" s="527"/>
      <c r="CV83" s="527"/>
      <c r="CW83" s="527"/>
      <c r="CX83" s="528">
        <f t="shared" ref="CX83:CX84" si="32">SUM(CL83:CW83)</f>
        <v>0</v>
      </c>
      <c r="CY83" s="611"/>
      <c r="DK83" s="519">
        <f t="shared" si="30"/>
        <v>0</v>
      </c>
      <c r="DX83" s="519">
        <f t="shared" si="31"/>
        <v>0</v>
      </c>
    </row>
    <row r="84" spans="1:140" ht="15">
      <c r="B84" s="560"/>
      <c r="C84" s="538">
        <v>1000</v>
      </c>
      <c r="D84" s="538"/>
      <c r="E84" s="538"/>
      <c r="F84" s="538"/>
      <c r="G84" s="538"/>
      <c r="H84" s="538"/>
      <c r="I84" s="538"/>
      <c r="J84" s="538"/>
      <c r="K84" s="538"/>
      <c r="L84" s="538"/>
      <c r="M84" s="538"/>
      <c r="N84" s="538"/>
      <c r="O84" s="580"/>
      <c r="P84" s="623"/>
      <c r="Q84" s="623"/>
      <c r="R84" s="623"/>
      <c r="S84" s="623"/>
      <c r="T84" s="623"/>
      <c r="U84" s="623"/>
      <c r="V84" s="534"/>
      <c r="W84" s="525"/>
      <c r="X84" s="624"/>
      <c r="Y84" s="624"/>
      <c r="Z84" s="624"/>
      <c r="AA84" s="624"/>
      <c r="AB84" s="645">
        <f t="shared" si="10"/>
        <v>0</v>
      </c>
      <c r="AC84" s="525"/>
      <c r="AD84" s="628"/>
      <c r="AE84" s="628"/>
      <c r="AF84" s="544"/>
      <c r="AG84" s="525"/>
      <c r="AH84" s="628"/>
      <c r="AI84" s="628"/>
      <c r="AJ84" s="628"/>
      <c r="AK84" s="645">
        <f t="shared" si="13"/>
        <v>0</v>
      </c>
      <c r="AL84" s="628"/>
      <c r="AM84" s="628"/>
      <c r="AN84" s="628"/>
      <c r="AO84" s="628"/>
      <c r="AP84" s="525"/>
      <c r="AQ84" s="525"/>
      <c r="AR84" s="525"/>
      <c r="AS84" s="525"/>
      <c r="AT84" s="525"/>
      <c r="AU84" s="525"/>
      <c r="AV84" s="525"/>
      <c r="AW84" s="525"/>
      <c r="AX84" s="527"/>
      <c r="AY84" s="525"/>
      <c r="AZ84" s="525"/>
      <c r="BA84" s="525"/>
      <c r="BB84" s="525"/>
      <c r="BC84" s="525"/>
      <c r="BD84" s="525"/>
      <c r="BE84" s="525"/>
      <c r="BF84" s="525"/>
      <c r="BG84" s="525"/>
      <c r="BH84" s="525"/>
      <c r="BI84" s="525"/>
      <c r="BJ84" s="525"/>
      <c r="BK84" s="527">
        <f>SUM(AY84:BJ84)</f>
        <v>0</v>
      </c>
      <c r="BL84" s="525"/>
      <c r="BM84" s="525"/>
      <c r="BN84" s="526"/>
      <c r="BO84" s="525"/>
      <c r="BP84" s="525"/>
      <c r="BQ84" s="526"/>
      <c r="BR84" s="525"/>
      <c r="BS84" s="525"/>
      <c r="BT84" s="525"/>
      <c r="BU84" s="525"/>
      <c r="BV84" s="525"/>
      <c r="BW84" s="525"/>
      <c r="BX84" s="527">
        <f t="shared" si="15"/>
        <v>0</v>
      </c>
      <c r="BY84" s="525"/>
      <c r="BZ84" s="525"/>
      <c r="CA84" s="525"/>
      <c r="CB84" s="525"/>
      <c r="CC84" s="525"/>
      <c r="CD84" s="525"/>
      <c r="CE84" s="525"/>
      <c r="CF84" s="525"/>
      <c r="CG84" s="525"/>
      <c r="CH84" s="525"/>
      <c r="CI84" s="525"/>
      <c r="CJ84" s="525"/>
      <c r="CK84" s="527">
        <f t="shared" si="28"/>
        <v>0</v>
      </c>
      <c r="CL84" s="526"/>
      <c r="CM84" s="525"/>
      <c r="CN84" s="526"/>
      <c r="CO84" s="525"/>
      <c r="CP84" s="527"/>
      <c r="CQ84" s="527"/>
      <c r="CR84" s="527"/>
      <c r="CS84" s="527"/>
      <c r="CT84" s="527"/>
      <c r="CU84" s="527"/>
      <c r="CV84" s="527"/>
      <c r="CW84" s="527"/>
      <c r="CX84" s="528">
        <f t="shared" si="32"/>
        <v>0</v>
      </c>
      <c r="CY84" s="611"/>
      <c r="DK84" s="582">
        <f t="shared" si="30"/>
        <v>0</v>
      </c>
      <c r="DX84" s="582">
        <f t="shared" si="31"/>
        <v>0</v>
      </c>
    </row>
    <row r="85" spans="1:140" s="481" customFormat="1">
      <c r="A85" s="480"/>
      <c r="B85" s="480"/>
      <c r="C85" s="480"/>
      <c r="D85" s="480"/>
      <c r="E85" s="480"/>
      <c r="F85" s="480"/>
      <c r="G85" s="480"/>
      <c r="H85" s="480"/>
      <c r="I85" s="480"/>
      <c r="J85" s="480"/>
      <c r="K85" s="480"/>
      <c r="L85" s="480"/>
      <c r="M85" s="480"/>
      <c r="N85" s="480"/>
      <c r="O85" s="480"/>
      <c r="P85" s="480"/>
      <c r="Q85" s="480"/>
      <c r="R85" s="480"/>
      <c r="S85" s="480"/>
      <c r="T85" s="480"/>
      <c r="U85" s="480"/>
      <c r="V85" s="480"/>
      <c r="W85" s="480"/>
      <c r="X85" s="480"/>
      <c r="Y85" s="480"/>
      <c r="Z85" s="480"/>
      <c r="AA85" s="480"/>
      <c r="AD85" s="480"/>
      <c r="AE85" s="480"/>
      <c r="AF85" s="480"/>
      <c r="AG85" s="480"/>
      <c r="AH85" s="480"/>
      <c r="AI85" s="480"/>
      <c r="AJ85" s="480"/>
      <c r="AK85" s="480"/>
      <c r="AL85" s="480"/>
      <c r="AM85" s="480"/>
      <c r="AN85" s="480"/>
      <c r="AO85" s="480"/>
      <c r="AP85" s="480"/>
      <c r="AQ85" s="480"/>
      <c r="AR85" s="480"/>
      <c r="AS85" s="480"/>
      <c r="AT85" s="480"/>
      <c r="AU85" s="480"/>
      <c r="AV85" s="480"/>
      <c r="AW85" s="480"/>
      <c r="AX85" s="480"/>
      <c r="AY85" s="480"/>
      <c r="AZ85" s="480"/>
      <c r="BA85" s="480"/>
      <c r="BB85" s="480"/>
      <c r="BC85" s="480"/>
      <c r="BD85" s="480"/>
      <c r="BE85" s="480"/>
      <c r="BF85" s="480"/>
      <c r="BG85" s="480"/>
      <c r="BH85" s="480"/>
      <c r="BI85" s="480"/>
      <c r="BJ85" s="480"/>
      <c r="BK85" s="480"/>
      <c r="BL85" s="480"/>
      <c r="BM85" s="480"/>
      <c r="BN85" s="480"/>
      <c r="BO85" s="480"/>
      <c r="BP85" s="480"/>
      <c r="BQ85" s="480"/>
      <c r="BR85" s="480"/>
      <c r="BS85" s="480"/>
      <c r="BT85" s="480"/>
      <c r="BU85" s="480"/>
      <c r="BV85" s="480"/>
      <c r="BW85" s="480"/>
      <c r="BX85" s="480"/>
      <c r="BY85" s="480"/>
      <c r="BZ85" s="480"/>
      <c r="CA85" s="480"/>
      <c r="CB85" s="480"/>
      <c r="CC85" s="480"/>
      <c r="CD85" s="480"/>
      <c r="CE85" s="480"/>
      <c r="CF85" s="480"/>
      <c r="CG85" s="480"/>
      <c r="CH85" s="480"/>
      <c r="CI85" s="480"/>
      <c r="CJ85" s="480"/>
      <c r="CK85" s="482"/>
      <c r="CL85" s="480"/>
      <c r="CM85" s="480"/>
      <c r="CN85" s="480"/>
      <c r="CO85" s="480"/>
      <c r="CP85" s="480"/>
      <c r="CQ85" s="480"/>
      <c r="CR85" s="480"/>
      <c r="CS85" s="480"/>
      <c r="CT85" s="480"/>
      <c r="CU85" s="480"/>
      <c r="CV85" s="480"/>
      <c r="CW85" s="480"/>
      <c r="CX85" s="482"/>
      <c r="CY85" s="480"/>
      <c r="CZ85" s="480"/>
      <c r="DA85" s="480"/>
      <c r="DB85" s="480"/>
      <c r="DC85" s="480"/>
      <c r="DD85" s="480"/>
      <c r="DE85" s="480"/>
      <c r="DF85" s="480"/>
      <c r="DG85" s="480"/>
      <c r="DH85" s="480"/>
      <c r="DI85" s="480"/>
      <c r="DJ85" s="480"/>
      <c r="DK85" s="482"/>
      <c r="DL85" s="480"/>
      <c r="DM85" s="480"/>
      <c r="DN85" s="480"/>
      <c r="DO85" s="480"/>
      <c r="DP85" s="480"/>
      <c r="DQ85" s="480"/>
      <c r="DR85" s="480"/>
      <c r="DS85" s="480"/>
      <c r="DT85" s="480"/>
      <c r="DU85" s="480"/>
      <c r="DV85" s="480"/>
      <c r="DW85" s="480"/>
      <c r="DX85" s="482"/>
      <c r="DY85" s="480"/>
      <c r="DZ85" s="480"/>
      <c r="EA85" s="480"/>
      <c r="EB85" s="480"/>
      <c r="EC85" s="480"/>
      <c r="ED85" s="480"/>
      <c r="EE85" s="480"/>
      <c r="EF85" s="480"/>
      <c r="EG85" s="480"/>
      <c r="EH85" s="480"/>
      <c r="EI85" s="480"/>
      <c r="EJ85" s="480"/>
    </row>
    <row r="86" spans="1:140" s="481" customFormat="1">
      <c r="A86" s="480"/>
      <c r="B86" s="480"/>
      <c r="C86" s="480"/>
      <c r="D86" s="480"/>
      <c r="E86" s="480"/>
      <c r="F86" s="480"/>
      <c r="G86" s="480"/>
      <c r="H86" s="480"/>
      <c r="I86" s="480"/>
      <c r="J86" s="480"/>
      <c r="K86" s="480"/>
      <c r="L86" s="480"/>
      <c r="M86" s="480"/>
      <c r="N86" s="480"/>
      <c r="O86" s="480"/>
      <c r="P86" s="480"/>
      <c r="Q86" s="480"/>
      <c r="R86" s="480"/>
      <c r="S86" s="480"/>
      <c r="T86" s="480"/>
      <c r="U86" s="480"/>
      <c r="V86" s="480"/>
      <c r="W86" s="480"/>
      <c r="X86" s="480"/>
      <c r="Y86" s="480"/>
      <c r="Z86" s="480"/>
      <c r="AA86" s="480"/>
      <c r="AD86" s="480"/>
      <c r="AE86" s="480"/>
      <c r="AF86" s="480"/>
      <c r="AG86" s="480"/>
      <c r="AH86" s="480"/>
      <c r="AI86" s="480"/>
      <c r="AJ86" s="480"/>
      <c r="AK86" s="480"/>
      <c r="AL86" s="480"/>
      <c r="AM86" s="480"/>
      <c r="AN86" s="480"/>
      <c r="AO86" s="480"/>
      <c r="AP86" s="480"/>
      <c r="AQ86" s="480"/>
      <c r="AR86" s="480"/>
      <c r="AS86" s="480"/>
      <c r="AT86" s="480"/>
      <c r="AU86" s="480"/>
      <c r="AV86" s="480"/>
      <c r="AW86" s="480"/>
      <c r="AX86" s="480"/>
      <c r="AY86" s="480"/>
      <c r="AZ86" s="480"/>
      <c r="BA86" s="480"/>
      <c r="BB86" s="480"/>
      <c r="BC86" s="480"/>
      <c r="BD86" s="480"/>
      <c r="BE86" s="480"/>
      <c r="BF86" s="480"/>
      <c r="BG86" s="480"/>
      <c r="BH86" s="480"/>
      <c r="BI86" s="480"/>
      <c r="BJ86" s="480"/>
      <c r="BK86" s="480"/>
      <c r="BL86" s="480"/>
      <c r="BM86" s="480"/>
      <c r="BN86" s="480"/>
      <c r="BO86" s="480"/>
      <c r="BP86" s="480"/>
      <c r="BQ86" s="480"/>
      <c r="BR86" s="480"/>
      <c r="BS86" s="480"/>
      <c r="BT86" s="480"/>
      <c r="BU86" s="480"/>
      <c r="BV86" s="480"/>
      <c r="BW86" s="480"/>
      <c r="BX86" s="480"/>
      <c r="BY86" s="480"/>
      <c r="BZ86" s="480"/>
      <c r="CA86" s="480"/>
      <c r="CB86" s="480"/>
      <c r="CC86" s="480"/>
      <c r="CD86" s="480"/>
      <c r="CE86" s="480"/>
      <c r="CF86" s="480"/>
      <c r="CG86" s="480"/>
      <c r="CH86" s="480"/>
      <c r="CI86" s="480"/>
      <c r="CJ86" s="480"/>
      <c r="CK86" s="482"/>
      <c r="CL86" s="480"/>
      <c r="CM86" s="480"/>
      <c r="CN86" s="480"/>
      <c r="CO86" s="480"/>
      <c r="CP86" s="480"/>
      <c r="CQ86" s="480"/>
      <c r="CR86" s="480"/>
      <c r="CS86" s="480"/>
      <c r="CT86" s="480"/>
      <c r="CU86" s="480"/>
      <c r="CV86" s="480"/>
      <c r="CW86" s="480"/>
      <c r="CX86" s="482"/>
      <c r="CY86" s="480"/>
      <c r="CZ86" s="480"/>
      <c r="DA86" s="480"/>
      <c r="DB86" s="480"/>
      <c r="DC86" s="480"/>
      <c r="DD86" s="480"/>
      <c r="DE86" s="480"/>
      <c r="DF86" s="480"/>
      <c r="DG86" s="480"/>
      <c r="DH86" s="480"/>
      <c r="DI86" s="480"/>
      <c r="DJ86" s="480"/>
      <c r="DK86" s="482"/>
      <c r="DL86" s="480"/>
      <c r="DM86" s="480"/>
      <c r="DN86" s="480"/>
      <c r="DO86" s="480"/>
      <c r="DP86" s="480"/>
      <c r="DQ86" s="480"/>
      <c r="DR86" s="480"/>
      <c r="DS86" s="480"/>
      <c r="DT86" s="480"/>
      <c r="DU86" s="480"/>
      <c r="DV86" s="480"/>
      <c r="DW86" s="480"/>
      <c r="DX86" s="482"/>
      <c r="DY86" s="480"/>
      <c r="DZ86" s="480"/>
      <c r="EA86" s="480"/>
      <c r="EB86" s="480"/>
      <c r="EC86" s="480"/>
      <c r="ED86" s="480"/>
      <c r="EE86" s="480"/>
      <c r="EF86" s="480"/>
      <c r="EG86" s="480"/>
      <c r="EH86" s="480"/>
      <c r="EI86" s="480"/>
      <c r="EJ86" s="480"/>
    </row>
    <row r="87" spans="1:140" s="481" customFormat="1">
      <c r="A87" s="480"/>
      <c r="B87" s="480"/>
      <c r="C87" s="480"/>
      <c r="D87" s="480"/>
      <c r="E87" s="480"/>
      <c r="F87" s="480"/>
      <c r="G87" s="480"/>
      <c r="H87" s="480"/>
      <c r="I87" s="480"/>
      <c r="J87" s="480"/>
      <c r="K87" s="480"/>
      <c r="L87" s="480"/>
      <c r="M87" s="480"/>
      <c r="N87" s="480"/>
      <c r="O87" s="480"/>
      <c r="P87" s="480"/>
      <c r="Q87" s="480"/>
      <c r="R87" s="480"/>
      <c r="S87" s="480"/>
      <c r="T87" s="480"/>
      <c r="U87" s="480"/>
      <c r="V87" s="480"/>
      <c r="W87" s="480"/>
      <c r="X87" s="480"/>
      <c r="Y87" s="480"/>
      <c r="Z87" s="480"/>
      <c r="AA87" s="480"/>
      <c r="AD87" s="480"/>
      <c r="AE87" s="480"/>
      <c r="AF87" s="480"/>
      <c r="AG87" s="480"/>
      <c r="AH87" s="480"/>
      <c r="AI87" s="480"/>
      <c r="AJ87" s="480"/>
      <c r="AK87" s="480"/>
      <c r="AL87" s="480"/>
      <c r="AM87" s="480"/>
      <c r="AN87" s="480"/>
      <c r="AO87" s="480"/>
      <c r="AP87" s="480"/>
      <c r="AQ87" s="480"/>
      <c r="AR87" s="480"/>
      <c r="AS87" s="480"/>
      <c r="AT87" s="480"/>
      <c r="AU87" s="480"/>
      <c r="AV87" s="480"/>
      <c r="AW87" s="480"/>
      <c r="AX87" s="480"/>
      <c r="AY87" s="480"/>
      <c r="AZ87" s="480"/>
      <c r="BA87" s="480"/>
      <c r="BB87" s="480"/>
      <c r="BC87" s="480"/>
      <c r="BD87" s="480"/>
      <c r="BE87" s="480"/>
      <c r="BF87" s="480"/>
      <c r="BG87" s="480"/>
      <c r="BH87" s="480"/>
      <c r="BI87" s="480"/>
      <c r="BJ87" s="480"/>
      <c r="BK87" s="480"/>
      <c r="BL87" s="480"/>
      <c r="BM87" s="480"/>
      <c r="BN87" s="480"/>
      <c r="BO87" s="480"/>
      <c r="BP87" s="480"/>
      <c r="BQ87" s="480"/>
      <c r="BR87" s="480"/>
      <c r="BS87" s="480"/>
      <c r="BT87" s="480"/>
      <c r="BU87" s="480"/>
      <c r="BV87" s="480"/>
      <c r="BW87" s="480"/>
      <c r="BX87" s="480"/>
      <c r="BY87" s="480"/>
      <c r="BZ87" s="480"/>
      <c r="CA87" s="480"/>
      <c r="CB87" s="480"/>
      <c r="CC87" s="480"/>
      <c r="CD87" s="480"/>
      <c r="CE87" s="480"/>
      <c r="CF87" s="480"/>
      <c r="CG87" s="480"/>
      <c r="CH87" s="480"/>
      <c r="CI87" s="480"/>
      <c r="CJ87" s="480"/>
      <c r="CK87" s="482"/>
      <c r="CL87" s="480"/>
      <c r="CM87" s="480"/>
      <c r="CN87" s="480"/>
      <c r="CO87" s="480"/>
      <c r="CP87" s="480"/>
      <c r="CQ87" s="480"/>
      <c r="CR87" s="480"/>
      <c r="CS87" s="480"/>
      <c r="CT87" s="480"/>
      <c r="CU87" s="480"/>
      <c r="CV87" s="480"/>
      <c r="CW87" s="480"/>
      <c r="CX87" s="482"/>
      <c r="CY87" s="480"/>
      <c r="CZ87" s="480"/>
      <c r="DA87" s="480"/>
      <c r="DB87" s="480"/>
      <c r="DC87" s="480"/>
      <c r="DD87" s="480"/>
      <c r="DE87" s="480"/>
      <c r="DF87" s="480"/>
      <c r="DG87" s="480"/>
      <c r="DH87" s="480"/>
      <c r="DI87" s="480"/>
      <c r="DJ87" s="480"/>
      <c r="DK87" s="482"/>
      <c r="DL87" s="480"/>
      <c r="DM87" s="480"/>
      <c r="DN87" s="480"/>
      <c r="DO87" s="480"/>
      <c r="DP87" s="480"/>
      <c r="DQ87" s="480"/>
      <c r="DR87" s="480"/>
      <c r="DS87" s="480"/>
      <c r="DT87" s="480"/>
      <c r="DU87" s="480"/>
      <c r="DV87" s="480"/>
      <c r="DW87" s="480"/>
      <c r="DX87" s="482"/>
      <c r="DY87" s="480"/>
      <c r="DZ87" s="480"/>
      <c r="EA87" s="480"/>
      <c r="EB87" s="480"/>
      <c r="EC87" s="480"/>
      <c r="ED87" s="480"/>
      <c r="EE87" s="480"/>
      <c r="EF87" s="480"/>
      <c r="EG87" s="480"/>
      <c r="EH87" s="480"/>
      <c r="EI87" s="480"/>
      <c r="EJ87" s="480"/>
    </row>
    <row r="88" spans="1:140" s="481" customFormat="1">
      <c r="A88" s="480"/>
      <c r="B88" s="480"/>
      <c r="C88" s="480"/>
      <c r="D88" s="480"/>
      <c r="E88" s="480"/>
      <c r="F88" s="480"/>
      <c r="G88" s="480"/>
      <c r="H88" s="480"/>
      <c r="I88" s="480"/>
      <c r="J88" s="480"/>
      <c r="K88" s="480"/>
      <c r="L88" s="480"/>
      <c r="M88" s="480"/>
      <c r="N88" s="480"/>
      <c r="O88" s="480"/>
      <c r="P88" s="480"/>
      <c r="Q88" s="480"/>
      <c r="R88" s="480"/>
      <c r="S88" s="480"/>
      <c r="T88" s="480"/>
      <c r="U88" s="480"/>
      <c r="V88" s="480"/>
      <c r="W88" s="480"/>
      <c r="X88" s="480"/>
      <c r="Y88" s="480"/>
      <c r="Z88" s="480"/>
      <c r="AA88" s="480"/>
      <c r="AD88" s="480"/>
      <c r="AE88" s="480"/>
      <c r="AF88" s="480"/>
      <c r="AG88" s="480"/>
      <c r="AH88" s="480"/>
      <c r="AI88" s="480"/>
      <c r="AJ88" s="480"/>
      <c r="AK88" s="480"/>
      <c r="AL88" s="480"/>
      <c r="AM88" s="480"/>
      <c r="AN88" s="480"/>
      <c r="AO88" s="480"/>
      <c r="AP88" s="480"/>
      <c r="AQ88" s="480"/>
      <c r="AR88" s="480"/>
      <c r="AS88" s="480"/>
      <c r="AT88" s="480"/>
      <c r="AU88" s="480"/>
      <c r="AV88" s="480"/>
      <c r="AW88" s="480"/>
      <c r="AX88" s="480"/>
      <c r="AY88" s="480"/>
      <c r="AZ88" s="480"/>
      <c r="BA88" s="480"/>
      <c r="BB88" s="480"/>
      <c r="BC88" s="480"/>
      <c r="BD88" s="480"/>
      <c r="BE88" s="480"/>
      <c r="BF88" s="480"/>
      <c r="BG88" s="480"/>
      <c r="BH88" s="480"/>
      <c r="BI88" s="480"/>
      <c r="BJ88" s="480"/>
      <c r="BK88" s="480"/>
      <c r="BL88" s="480"/>
      <c r="BM88" s="480"/>
      <c r="BN88" s="480"/>
      <c r="BO88" s="480"/>
      <c r="BP88" s="480"/>
      <c r="BQ88" s="480"/>
      <c r="BR88" s="480"/>
      <c r="BS88" s="480"/>
      <c r="BT88" s="480"/>
      <c r="BU88" s="480"/>
      <c r="BV88" s="480"/>
      <c r="BW88" s="480"/>
      <c r="BX88" s="480"/>
      <c r="BY88" s="480"/>
      <c r="BZ88" s="480"/>
      <c r="CA88" s="480"/>
      <c r="CB88" s="480"/>
      <c r="CC88" s="480"/>
      <c r="CD88" s="480"/>
      <c r="CE88" s="480"/>
      <c r="CF88" s="480"/>
      <c r="CG88" s="480"/>
      <c r="CH88" s="480"/>
      <c r="CI88" s="480"/>
      <c r="CJ88" s="480"/>
      <c r="CK88" s="482"/>
      <c r="CL88" s="480"/>
      <c r="CM88" s="480"/>
      <c r="CN88" s="480"/>
      <c r="CO88" s="480"/>
      <c r="CP88" s="480"/>
      <c r="CQ88" s="480"/>
      <c r="CR88" s="480"/>
      <c r="CS88" s="480"/>
      <c r="CT88" s="480"/>
      <c r="CU88" s="480"/>
      <c r="CV88" s="480"/>
      <c r="CW88" s="480"/>
      <c r="CX88" s="482"/>
      <c r="CY88" s="480"/>
      <c r="CZ88" s="480"/>
      <c r="DA88" s="480"/>
      <c r="DB88" s="480"/>
      <c r="DC88" s="480"/>
      <c r="DD88" s="480"/>
      <c r="DE88" s="480"/>
      <c r="DF88" s="480"/>
      <c r="DG88" s="480"/>
      <c r="DH88" s="480"/>
      <c r="DI88" s="480"/>
      <c r="DJ88" s="480"/>
      <c r="DK88" s="482"/>
      <c r="DL88" s="480"/>
      <c r="DM88" s="480"/>
      <c r="DN88" s="480"/>
      <c r="DO88" s="480"/>
      <c r="DP88" s="480"/>
      <c r="DQ88" s="480"/>
      <c r="DR88" s="480"/>
      <c r="DS88" s="480"/>
      <c r="DT88" s="480"/>
      <c r="DU88" s="480"/>
      <c r="DV88" s="480"/>
      <c r="DW88" s="480"/>
      <c r="DX88" s="482"/>
      <c r="DY88" s="480"/>
      <c r="DZ88" s="480"/>
      <c r="EA88" s="480"/>
      <c r="EB88" s="480"/>
      <c r="EC88" s="480"/>
      <c r="ED88" s="480"/>
      <c r="EE88" s="480"/>
      <c r="EF88" s="480"/>
      <c r="EG88" s="480"/>
      <c r="EH88" s="480"/>
      <c r="EI88" s="480"/>
      <c r="EJ88" s="480"/>
    </row>
    <row r="89" spans="1:140" s="481" customFormat="1">
      <c r="A89" s="480"/>
      <c r="B89" s="480"/>
      <c r="C89" s="480"/>
      <c r="D89" s="480"/>
      <c r="E89" s="480"/>
      <c r="F89" s="480"/>
      <c r="G89" s="480"/>
      <c r="H89" s="480"/>
      <c r="I89" s="480"/>
      <c r="J89" s="480"/>
      <c r="K89" s="480"/>
      <c r="L89" s="480"/>
      <c r="M89" s="480"/>
      <c r="N89" s="480"/>
      <c r="O89" s="480"/>
      <c r="P89" s="480"/>
      <c r="Q89" s="480"/>
      <c r="R89" s="480"/>
      <c r="S89" s="480"/>
      <c r="T89" s="480"/>
      <c r="U89" s="480"/>
      <c r="V89" s="480"/>
      <c r="W89" s="480"/>
      <c r="X89" s="480"/>
      <c r="Y89" s="480"/>
      <c r="Z89" s="480"/>
      <c r="AA89" s="480"/>
      <c r="AD89" s="480"/>
      <c r="AE89" s="480"/>
      <c r="AF89" s="480"/>
      <c r="AG89" s="480"/>
      <c r="AH89" s="480"/>
      <c r="AI89" s="480"/>
      <c r="AJ89" s="480"/>
      <c r="AK89" s="480"/>
      <c r="AL89" s="480"/>
      <c r="AM89" s="480"/>
      <c r="AN89" s="480"/>
      <c r="AO89" s="480"/>
      <c r="AP89" s="480"/>
      <c r="AQ89" s="480"/>
      <c r="AR89" s="480"/>
      <c r="AS89" s="480"/>
      <c r="AT89" s="480"/>
      <c r="AU89" s="480"/>
      <c r="AV89" s="480"/>
      <c r="AW89" s="480"/>
      <c r="AX89" s="480"/>
      <c r="AY89" s="480"/>
      <c r="AZ89" s="480"/>
      <c r="BA89" s="480"/>
      <c r="BB89" s="480"/>
      <c r="BC89" s="480"/>
      <c r="BD89" s="480"/>
      <c r="BE89" s="480"/>
      <c r="BF89" s="480"/>
      <c r="BG89" s="480"/>
      <c r="BH89" s="480"/>
      <c r="BI89" s="480"/>
      <c r="BJ89" s="480"/>
      <c r="BK89" s="480"/>
      <c r="BL89" s="480"/>
      <c r="BM89" s="480"/>
      <c r="BN89" s="480"/>
      <c r="BO89" s="480"/>
      <c r="BP89" s="480"/>
      <c r="BQ89" s="480"/>
      <c r="BR89" s="480"/>
      <c r="BS89" s="480"/>
      <c r="BT89" s="480"/>
      <c r="BU89" s="480"/>
      <c r="BV89" s="480"/>
      <c r="BW89" s="480"/>
      <c r="BX89" s="480"/>
      <c r="BY89" s="480"/>
      <c r="BZ89" s="480"/>
      <c r="CA89" s="480"/>
      <c r="CB89" s="480"/>
      <c r="CC89" s="480"/>
      <c r="CD89" s="480"/>
      <c r="CE89" s="480"/>
      <c r="CF89" s="480"/>
      <c r="CG89" s="480"/>
      <c r="CH89" s="480"/>
      <c r="CI89" s="480"/>
      <c r="CJ89" s="480"/>
      <c r="CK89" s="482"/>
      <c r="CL89" s="480"/>
      <c r="CM89" s="480"/>
      <c r="CN89" s="480"/>
      <c r="CO89" s="480"/>
      <c r="CP89" s="480"/>
      <c r="CQ89" s="480"/>
      <c r="CR89" s="480"/>
      <c r="CS89" s="480"/>
      <c r="CT89" s="480"/>
      <c r="CU89" s="480"/>
      <c r="CV89" s="480"/>
      <c r="CW89" s="480"/>
      <c r="CX89" s="482"/>
      <c r="CY89" s="480"/>
      <c r="CZ89" s="480"/>
      <c r="DA89" s="480"/>
      <c r="DB89" s="480"/>
      <c r="DC89" s="480"/>
      <c r="DD89" s="480"/>
      <c r="DE89" s="480"/>
      <c r="DF89" s="480"/>
      <c r="DG89" s="480"/>
      <c r="DH89" s="480"/>
      <c r="DI89" s="480"/>
      <c r="DJ89" s="480"/>
      <c r="DK89" s="482"/>
      <c r="DL89" s="480"/>
      <c r="DM89" s="480"/>
      <c r="DN89" s="480"/>
      <c r="DO89" s="480"/>
      <c r="DP89" s="480"/>
      <c r="DQ89" s="480"/>
      <c r="DR89" s="480"/>
      <c r="DS89" s="480"/>
      <c r="DT89" s="480"/>
      <c r="DU89" s="480"/>
      <c r="DV89" s="480"/>
      <c r="DW89" s="480"/>
      <c r="DX89" s="482"/>
      <c r="DY89" s="480"/>
      <c r="DZ89" s="480"/>
      <c r="EA89" s="480"/>
      <c r="EB89" s="480"/>
      <c r="EC89" s="480"/>
      <c r="ED89" s="480"/>
      <c r="EE89" s="480"/>
      <c r="EF89" s="480"/>
      <c r="EG89" s="480"/>
      <c r="EH89" s="480"/>
      <c r="EI89" s="480"/>
      <c r="EJ89" s="480"/>
    </row>
    <row r="90" spans="1:140" s="481" customFormat="1">
      <c r="A90" s="480"/>
      <c r="B90" s="480"/>
      <c r="C90" s="480"/>
      <c r="D90" s="480"/>
      <c r="E90" s="480"/>
      <c r="F90" s="480"/>
      <c r="G90" s="480"/>
      <c r="H90" s="480"/>
      <c r="I90" s="480"/>
      <c r="J90" s="480"/>
      <c r="K90" s="480"/>
      <c r="L90" s="480"/>
      <c r="M90" s="480"/>
      <c r="N90" s="480"/>
      <c r="O90" s="480"/>
      <c r="P90" s="480"/>
      <c r="Q90" s="480"/>
      <c r="R90" s="480"/>
      <c r="S90" s="480"/>
      <c r="T90" s="480"/>
      <c r="U90" s="480"/>
      <c r="V90" s="480"/>
      <c r="W90" s="480"/>
      <c r="X90" s="480"/>
      <c r="Y90" s="480"/>
      <c r="Z90" s="480"/>
      <c r="AA90" s="480"/>
      <c r="AD90" s="480"/>
      <c r="AE90" s="480"/>
      <c r="AF90" s="480"/>
      <c r="AG90" s="480"/>
      <c r="AH90" s="480"/>
      <c r="AI90" s="480"/>
      <c r="AJ90" s="480"/>
      <c r="AK90" s="480"/>
      <c r="AL90" s="480"/>
      <c r="AM90" s="480"/>
      <c r="AN90" s="480"/>
      <c r="AO90" s="480"/>
      <c r="AP90" s="480"/>
      <c r="AQ90" s="480"/>
      <c r="AR90" s="480"/>
      <c r="AS90" s="480"/>
      <c r="AT90" s="480"/>
      <c r="AU90" s="480"/>
      <c r="AV90" s="480"/>
      <c r="AW90" s="480"/>
      <c r="AX90" s="480"/>
      <c r="AY90" s="480"/>
      <c r="AZ90" s="480"/>
      <c r="BA90" s="480"/>
      <c r="BB90" s="480"/>
      <c r="BC90" s="480"/>
      <c r="BD90" s="480"/>
      <c r="BE90" s="480"/>
      <c r="BF90" s="480"/>
      <c r="BG90" s="480"/>
      <c r="BH90" s="480"/>
      <c r="BI90" s="480"/>
      <c r="BJ90" s="480"/>
      <c r="BK90" s="480"/>
      <c r="BL90" s="480"/>
      <c r="BM90" s="480"/>
      <c r="BN90" s="480"/>
      <c r="BO90" s="480"/>
      <c r="BP90" s="480"/>
      <c r="BQ90" s="480"/>
      <c r="BR90" s="480"/>
      <c r="BS90" s="480"/>
      <c r="BT90" s="480"/>
      <c r="BU90" s="480"/>
      <c r="BV90" s="480"/>
      <c r="BW90" s="480"/>
      <c r="BX90" s="480"/>
      <c r="BY90" s="480"/>
      <c r="BZ90" s="480"/>
      <c r="CA90" s="480"/>
      <c r="CB90" s="480"/>
      <c r="CC90" s="480"/>
      <c r="CD90" s="480"/>
      <c r="CE90" s="480"/>
      <c r="CF90" s="480"/>
      <c r="CG90" s="480"/>
      <c r="CH90" s="480"/>
      <c r="CI90" s="480"/>
      <c r="CJ90" s="480"/>
      <c r="CK90" s="482"/>
      <c r="CL90" s="480"/>
      <c r="CM90" s="480"/>
      <c r="CN90" s="480"/>
      <c r="CO90" s="480"/>
      <c r="CP90" s="480"/>
      <c r="CQ90" s="480"/>
      <c r="CR90" s="480"/>
      <c r="CS90" s="480"/>
      <c r="CT90" s="480"/>
      <c r="CU90" s="480"/>
      <c r="CV90" s="480"/>
      <c r="CW90" s="480"/>
      <c r="CX90" s="482"/>
      <c r="CY90" s="480"/>
      <c r="CZ90" s="480"/>
      <c r="DA90" s="480"/>
      <c r="DB90" s="480"/>
      <c r="DC90" s="480"/>
      <c r="DD90" s="480"/>
      <c r="DE90" s="480"/>
      <c r="DF90" s="480"/>
      <c r="DG90" s="480"/>
      <c r="DH90" s="480"/>
      <c r="DI90" s="480"/>
      <c r="DJ90" s="480"/>
      <c r="DK90" s="482"/>
      <c r="DL90" s="480"/>
      <c r="DM90" s="480"/>
      <c r="DN90" s="480"/>
      <c r="DO90" s="480"/>
      <c r="DP90" s="480"/>
      <c r="DQ90" s="480"/>
      <c r="DR90" s="480"/>
      <c r="DS90" s="480"/>
      <c r="DT90" s="480"/>
      <c r="DU90" s="480"/>
      <c r="DV90" s="480"/>
      <c r="DW90" s="480"/>
      <c r="DX90" s="482"/>
      <c r="DY90" s="480"/>
      <c r="DZ90" s="480"/>
      <c r="EA90" s="480"/>
      <c r="EB90" s="480"/>
      <c r="EC90" s="480"/>
      <c r="ED90" s="480"/>
      <c r="EE90" s="480"/>
      <c r="EF90" s="480"/>
      <c r="EG90" s="480"/>
      <c r="EH90" s="480"/>
      <c r="EI90" s="480"/>
      <c r="EJ90" s="480"/>
    </row>
    <row r="91" spans="1:140" s="481" customFormat="1">
      <c r="A91" s="480"/>
      <c r="B91" s="480"/>
      <c r="C91" s="480"/>
      <c r="D91" s="480"/>
      <c r="E91" s="480"/>
      <c r="F91" s="480"/>
      <c r="G91" s="480"/>
      <c r="H91" s="480"/>
      <c r="I91" s="480"/>
      <c r="J91" s="480"/>
      <c r="K91" s="480"/>
      <c r="L91" s="480"/>
      <c r="M91" s="480"/>
      <c r="N91" s="480"/>
      <c r="O91" s="480"/>
      <c r="P91" s="480"/>
      <c r="Q91" s="480"/>
      <c r="R91" s="480"/>
      <c r="S91" s="480"/>
      <c r="T91" s="480"/>
      <c r="U91" s="480"/>
      <c r="V91" s="480"/>
      <c r="W91" s="480"/>
      <c r="X91" s="480"/>
      <c r="Y91" s="480"/>
      <c r="Z91" s="480"/>
      <c r="AA91" s="480"/>
      <c r="AD91" s="480"/>
      <c r="AE91" s="480"/>
      <c r="AF91" s="480"/>
      <c r="AG91" s="480"/>
      <c r="AH91" s="480"/>
      <c r="AI91" s="480"/>
      <c r="AJ91" s="480"/>
      <c r="AK91" s="480"/>
      <c r="AL91" s="480"/>
      <c r="AM91" s="480"/>
      <c r="AN91" s="480"/>
      <c r="AO91" s="480"/>
      <c r="AP91" s="480"/>
      <c r="AQ91" s="480"/>
      <c r="AR91" s="480"/>
      <c r="AS91" s="480"/>
      <c r="AT91" s="480"/>
      <c r="AU91" s="480"/>
      <c r="AV91" s="480"/>
      <c r="AW91" s="480"/>
      <c r="AX91" s="480"/>
      <c r="AY91" s="480"/>
      <c r="AZ91" s="480"/>
      <c r="BA91" s="480"/>
      <c r="BB91" s="480"/>
      <c r="BC91" s="480"/>
      <c r="BD91" s="480"/>
      <c r="BE91" s="480"/>
      <c r="BF91" s="480"/>
      <c r="BG91" s="480"/>
      <c r="BH91" s="480"/>
      <c r="BI91" s="480"/>
      <c r="BJ91" s="480"/>
      <c r="BK91" s="480"/>
      <c r="BL91" s="480"/>
      <c r="BM91" s="480"/>
      <c r="BN91" s="480"/>
      <c r="BO91" s="480"/>
      <c r="BP91" s="480"/>
      <c r="BQ91" s="480"/>
      <c r="BR91" s="480"/>
      <c r="BS91" s="480"/>
      <c r="BT91" s="480"/>
      <c r="BU91" s="480"/>
      <c r="BV91" s="480"/>
      <c r="BW91" s="480"/>
      <c r="BX91" s="480"/>
      <c r="BY91" s="480"/>
      <c r="BZ91" s="480"/>
      <c r="CA91" s="480"/>
      <c r="CB91" s="480"/>
      <c r="CC91" s="480"/>
      <c r="CD91" s="480"/>
      <c r="CE91" s="480"/>
      <c r="CF91" s="480"/>
      <c r="CG91" s="480"/>
      <c r="CH91" s="480"/>
      <c r="CI91" s="480"/>
      <c r="CJ91" s="480"/>
      <c r="CK91" s="482"/>
      <c r="CL91" s="480"/>
      <c r="CM91" s="480"/>
      <c r="CN91" s="480"/>
      <c r="CO91" s="480"/>
      <c r="CP91" s="480"/>
      <c r="CQ91" s="480"/>
      <c r="CR91" s="480"/>
      <c r="CS91" s="480"/>
      <c r="CT91" s="480"/>
      <c r="CU91" s="480"/>
      <c r="CV91" s="480"/>
      <c r="CW91" s="480"/>
      <c r="CX91" s="482"/>
      <c r="CY91" s="480"/>
      <c r="CZ91" s="480"/>
      <c r="DA91" s="480"/>
      <c r="DB91" s="480"/>
      <c r="DC91" s="480"/>
      <c r="DD91" s="480"/>
      <c r="DE91" s="480"/>
      <c r="DF91" s="480"/>
      <c r="DG91" s="480"/>
      <c r="DH91" s="480"/>
      <c r="DI91" s="480"/>
      <c r="DJ91" s="480"/>
      <c r="DK91" s="482"/>
      <c r="DL91" s="480"/>
      <c r="DM91" s="480"/>
      <c r="DN91" s="480"/>
      <c r="DO91" s="480"/>
      <c r="DP91" s="480"/>
      <c r="DQ91" s="480"/>
      <c r="DR91" s="480"/>
      <c r="DS91" s="480"/>
      <c r="DT91" s="480"/>
      <c r="DU91" s="480"/>
      <c r="DV91" s="480"/>
      <c r="DW91" s="480"/>
      <c r="DX91" s="482"/>
      <c r="DY91" s="480"/>
      <c r="DZ91" s="480"/>
      <c r="EA91" s="480"/>
      <c r="EB91" s="480"/>
      <c r="EC91" s="480"/>
      <c r="ED91" s="480"/>
      <c r="EE91" s="480"/>
      <c r="EF91" s="480"/>
      <c r="EG91" s="480"/>
      <c r="EH91" s="480"/>
      <c r="EI91" s="480"/>
      <c r="EJ91" s="480"/>
    </row>
    <row r="92" spans="1:140" s="481" customFormat="1">
      <c r="A92" s="480"/>
      <c r="B92" s="480"/>
      <c r="C92" s="480"/>
      <c r="D92" s="480"/>
      <c r="E92" s="480"/>
      <c r="F92" s="480"/>
      <c r="G92" s="480"/>
      <c r="H92" s="480"/>
      <c r="I92" s="480"/>
      <c r="J92" s="480"/>
      <c r="K92" s="480"/>
      <c r="L92" s="480"/>
      <c r="M92" s="480"/>
      <c r="N92" s="480"/>
      <c r="O92" s="480"/>
      <c r="P92" s="480"/>
      <c r="Q92" s="480"/>
      <c r="R92" s="480"/>
      <c r="S92" s="480"/>
      <c r="T92" s="480"/>
      <c r="U92" s="480"/>
      <c r="V92" s="480"/>
      <c r="W92" s="480"/>
      <c r="X92" s="480"/>
      <c r="Y92" s="480"/>
      <c r="Z92" s="480"/>
      <c r="AA92" s="480"/>
      <c r="AD92" s="480"/>
      <c r="AE92" s="480"/>
      <c r="AF92" s="480"/>
      <c r="AG92" s="480"/>
      <c r="AH92" s="480"/>
      <c r="AI92" s="480"/>
      <c r="AJ92" s="480"/>
      <c r="AK92" s="480"/>
      <c r="AL92" s="480"/>
      <c r="AM92" s="480"/>
      <c r="AN92" s="480"/>
      <c r="AO92" s="480"/>
      <c r="AP92" s="480"/>
      <c r="AQ92" s="480"/>
      <c r="AR92" s="480"/>
      <c r="AS92" s="480"/>
      <c r="AT92" s="480"/>
      <c r="AU92" s="480"/>
      <c r="AV92" s="480"/>
      <c r="AW92" s="480"/>
      <c r="AX92" s="480"/>
      <c r="AY92" s="480"/>
      <c r="AZ92" s="480"/>
      <c r="BA92" s="480"/>
      <c r="BB92" s="480"/>
      <c r="BC92" s="480"/>
      <c r="BD92" s="480"/>
      <c r="BE92" s="480"/>
      <c r="BF92" s="480"/>
      <c r="BG92" s="480"/>
      <c r="BH92" s="480"/>
      <c r="BI92" s="480"/>
      <c r="BJ92" s="480"/>
      <c r="BK92" s="480"/>
      <c r="BL92" s="480"/>
      <c r="BM92" s="480"/>
      <c r="BN92" s="480"/>
      <c r="BO92" s="480"/>
      <c r="BP92" s="480"/>
      <c r="BQ92" s="480"/>
      <c r="BR92" s="480"/>
      <c r="BS92" s="480"/>
      <c r="BT92" s="480"/>
      <c r="BU92" s="480"/>
      <c r="BV92" s="480"/>
      <c r="BW92" s="480"/>
      <c r="BX92" s="480"/>
      <c r="BY92" s="480"/>
      <c r="BZ92" s="480"/>
      <c r="CA92" s="480"/>
      <c r="CB92" s="480"/>
      <c r="CC92" s="480"/>
      <c r="CD92" s="480"/>
      <c r="CE92" s="480"/>
      <c r="CF92" s="480"/>
      <c r="CG92" s="480"/>
      <c r="CH92" s="480"/>
      <c r="CI92" s="480"/>
      <c r="CJ92" s="480"/>
      <c r="CK92" s="482"/>
      <c r="CL92" s="480"/>
      <c r="CM92" s="480"/>
      <c r="CN92" s="480"/>
      <c r="CO92" s="480"/>
      <c r="CP92" s="480"/>
      <c r="CQ92" s="480"/>
      <c r="CR92" s="480"/>
      <c r="CS92" s="480"/>
      <c r="CT92" s="480"/>
      <c r="CU92" s="480"/>
      <c r="CV92" s="480"/>
      <c r="CW92" s="480"/>
      <c r="CX92" s="482"/>
      <c r="CY92" s="480"/>
      <c r="CZ92" s="480"/>
      <c r="DA92" s="480"/>
      <c r="DB92" s="480"/>
      <c r="DC92" s="480"/>
      <c r="DD92" s="480"/>
      <c r="DE92" s="480"/>
      <c r="DF92" s="480"/>
      <c r="DG92" s="480"/>
      <c r="DH92" s="480"/>
      <c r="DI92" s="480"/>
      <c r="DJ92" s="480"/>
      <c r="DK92" s="482"/>
      <c r="DL92" s="480"/>
      <c r="DM92" s="480"/>
      <c r="DN92" s="480"/>
      <c r="DO92" s="480"/>
      <c r="DP92" s="480"/>
      <c r="DQ92" s="480"/>
      <c r="DR92" s="480"/>
      <c r="DS92" s="480"/>
      <c r="DT92" s="480"/>
      <c r="DU92" s="480"/>
      <c r="DV92" s="480"/>
      <c r="DW92" s="480"/>
      <c r="DX92" s="482"/>
      <c r="DY92" s="480"/>
      <c r="DZ92" s="480"/>
      <c r="EA92" s="480"/>
      <c r="EB92" s="480"/>
      <c r="EC92" s="480"/>
      <c r="ED92" s="480"/>
      <c r="EE92" s="480"/>
      <c r="EF92" s="480"/>
      <c r="EG92" s="480"/>
      <c r="EH92" s="480"/>
      <c r="EI92" s="480"/>
      <c r="EJ92" s="480"/>
    </row>
    <row r="93" spans="1:140" s="481" customFormat="1">
      <c r="A93" s="480"/>
      <c r="B93" s="480"/>
      <c r="C93" s="480"/>
      <c r="D93" s="480"/>
      <c r="E93" s="480"/>
      <c r="F93" s="480"/>
      <c r="G93" s="480"/>
      <c r="H93" s="480"/>
      <c r="I93" s="480"/>
      <c r="J93" s="480"/>
      <c r="K93" s="480"/>
      <c r="L93" s="480"/>
      <c r="M93" s="480"/>
      <c r="N93" s="480"/>
      <c r="O93" s="480"/>
      <c r="P93" s="480"/>
      <c r="Q93" s="480"/>
      <c r="R93" s="480"/>
      <c r="S93" s="480"/>
      <c r="T93" s="480"/>
      <c r="U93" s="480"/>
      <c r="V93" s="480"/>
      <c r="W93" s="480"/>
      <c r="X93" s="480"/>
      <c r="Y93" s="480"/>
      <c r="Z93" s="480"/>
      <c r="AA93" s="480"/>
      <c r="AD93" s="480"/>
      <c r="AE93" s="480"/>
      <c r="AF93" s="480"/>
      <c r="AG93" s="480"/>
      <c r="AH93" s="480"/>
      <c r="AI93" s="480"/>
      <c r="AJ93" s="480"/>
      <c r="AK93" s="480"/>
      <c r="AL93" s="480"/>
      <c r="AM93" s="480"/>
      <c r="AN93" s="480"/>
      <c r="AO93" s="480"/>
      <c r="AP93" s="480"/>
      <c r="AQ93" s="480"/>
      <c r="AR93" s="480"/>
      <c r="AS93" s="480"/>
      <c r="AT93" s="480"/>
      <c r="AU93" s="480"/>
      <c r="AV93" s="480"/>
      <c r="AW93" s="480"/>
      <c r="AX93" s="480"/>
      <c r="AY93" s="480"/>
      <c r="AZ93" s="480"/>
      <c r="BA93" s="480"/>
      <c r="BB93" s="480"/>
      <c r="BC93" s="480"/>
      <c r="BD93" s="480"/>
      <c r="BE93" s="480"/>
      <c r="BF93" s="480"/>
      <c r="BG93" s="480"/>
      <c r="BH93" s="480"/>
      <c r="BI93" s="480"/>
      <c r="BJ93" s="480"/>
      <c r="BK93" s="480"/>
      <c r="BL93" s="480"/>
      <c r="BM93" s="480"/>
      <c r="BN93" s="480"/>
      <c r="BO93" s="480"/>
      <c r="BP93" s="480"/>
      <c r="BQ93" s="480"/>
      <c r="BR93" s="480"/>
      <c r="BS93" s="480"/>
      <c r="BT93" s="480"/>
      <c r="BU93" s="480"/>
      <c r="BV93" s="480"/>
      <c r="BW93" s="480"/>
      <c r="BX93" s="480"/>
      <c r="BY93" s="480"/>
      <c r="BZ93" s="480"/>
      <c r="CA93" s="480"/>
      <c r="CB93" s="480"/>
      <c r="CC93" s="480"/>
      <c r="CD93" s="480"/>
      <c r="CE93" s="480"/>
      <c r="CF93" s="480"/>
      <c r="CG93" s="480"/>
      <c r="CH93" s="480"/>
      <c r="CI93" s="480"/>
      <c r="CJ93" s="480"/>
      <c r="CK93" s="482"/>
      <c r="CL93" s="480"/>
      <c r="CM93" s="480"/>
      <c r="CN93" s="480"/>
      <c r="CO93" s="480"/>
      <c r="CP93" s="480"/>
      <c r="CQ93" s="480"/>
      <c r="CR93" s="480"/>
      <c r="CS93" s="480"/>
      <c r="CT93" s="480"/>
      <c r="CU93" s="480"/>
      <c r="CV93" s="480"/>
      <c r="CW93" s="480"/>
      <c r="CX93" s="482"/>
      <c r="CY93" s="480"/>
      <c r="CZ93" s="480"/>
      <c r="DA93" s="480"/>
      <c r="DB93" s="480"/>
      <c r="DC93" s="480"/>
      <c r="DD93" s="480"/>
      <c r="DE93" s="480"/>
      <c r="DF93" s="480"/>
      <c r="DG93" s="480"/>
      <c r="DH93" s="480"/>
      <c r="DI93" s="480"/>
      <c r="DJ93" s="480"/>
      <c r="DK93" s="482"/>
      <c r="DL93" s="480"/>
      <c r="DM93" s="480"/>
      <c r="DN93" s="480"/>
      <c r="DO93" s="480"/>
      <c r="DP93" s="480"/>
      <c r="DQ93" s="480"/>
      <c r="DR93" s="480"/>
      <c r="DS93" s="480"/>
      <c r="DT93" s="480"/>
      <c r="DU93" s="480"/>
      <c r="DV93" s="480"/>
      <c r="DW93" s="480"/>
      <c r="DX93" s="482"/>
      <c r="DY93" s="480"/>
      <c r="DZ93" s="480"/>
      <c r="EA93" s="480"/>
      <c r="EB93" s="480"/>
      <c r="EC93" s="480"/>
      <c r="ED93" s="480"/>
      <c r="EE93" s="480"/>
      <c r="EF93" s="480"/>
      <c r="EG93" s="480"/>
      <c r="EH93" s="480"/>
      <c r="EI93" s="480"/>
      <c r="EJ93" s="480"/>
    </row>
    <row r="94" spans="1:140" s="481" customFormat="1">
      <c r="A94" s="480"/>
      <c r="B94" s="480"/>
      <c r="C94" s="480"/>
      <c r="D94" s="480"/>
      <c r="E94" s="480"/>
      <c r="F94" s="480"/>
      <c r="G94" s="480"/>
      <c r="H94" s="480"/>
      <c r="I94" s="480"/>
      <c r="J94" s="480"/>
      <c r="K94" s="480"/>
      <c r="L94" s="480"/>
      <c r="M94" s="480"/>
      <c r="N94" s="480"/>
      <c r="O94" s="480"/>
      <c r="P94" s="480"/>
      <c r="Q94" s="480"/>
      <c r="R94" s="480"/>
      <c r="S94" s="480"/>
      <c r="T94" s="480"/>
      <c r="U94" s="480"/>
      <c r="V94" s="480"/>
      <c r="W94" s="480"/>
      <c r="X94" s="480"/>
      <c r="Y94" s="480"/>
      <c r="Z94" s="480"/>
      <c r="AA94" s="480"/>
      <c r="AD94" s="480"/>
      <c r="AE94" s="480"/>
      <c r="AF94" s="480"/>
      <c r="AG94" s="480"/>
      <c r="AH94" s="480"/>
      <c r="AI94" s="480"/>
      <c r="AJ94" s="480"/>
      <c r="AK94" s="480"/>
      <c r="AL94" s="480"/>
      <c r="AM94" s="480"/>
      <c r="AN94" s="480"/>
      <c r="AO94" s="480"/>
      <c r="AP94" s="480"/>
      <c r="AQ94" s="480"/>
      <c r="AR94" s="480"/>
      <c r="AS94" s="480"/>
      <c r="AT94" s="480"/>
      <c r="AU94" s="480"/>
      <c r="AV94" s="480"/>
      <c r="AW94" s="480"/>
      <c r="AX94" s="480"/>
      <c r="AY94" s="480"/>
      <c r="AZ94" s="480"/>
      <c r="BA94" s="480"/>
      <c r="BB94" s="480"/>
      <c r="BC94" s="480"/>
      <c r="BD94" s="480"/>
      <c r="BE94" s="480"/>
      <c r="BF94" s="480"/>
      <c r="BG94" s="480"/>
      <c r="BH94" s="480"/>
      <c r="BI94" s="480"/>
      <c r="BJ94" s="480"/>
      <c r="BK94" s="480"/>
      <c r="BL94" s="480"/>
      <c r="BM94" s="480"/>
      <c r="BN94" s="480"/>
      <c r="BO94" s="480"/>
      <c r="BP94" s="480"/>
      <c r="BQ94" s="480"/>
      <c r="BR94" s="480"/>
      <c r="BS94" s="480"/>
      <c r="BT94" s="480"/>
      <c r="BU94" s="480"/>
      <c r="BV94" s="480"/>
      <c r="BW94" s="480"/>
      <c r="BX94" s="480"/>
      <c r="BY94" s="480"/>
      <c r="BZ94" s="480"/>
      <c r="CA94" s="480"/>
      <c r="CB94" s="480"/>
      <c r="CC94" s="480"/>
      <c r="CD94" s="480"/>
      <c r="CE94" s="480"/>
      <c r="CF94" s="480"/>
      <c r="CG94" s="480"/>
      <c r="CH94" s="480"/>
      <c r="CI94" s="480"/>
      <c r="CJ94" s="480"/>
      <c r="CK94" s="482"/>
      <c r="CL94" s="480"/>
      <c r="CM94" s="480"/>
      <c r="CN94" s="480"/>
      <c r="CO94" s="480"/>
      <c r="CP94" s="480"/>
      <c r="CQ94" s="480"/>
      <c r="CR94" s="480"/>
      <c r="CS94" s="480"/>
      <c r="CT94" s="480"/>
      <c r="CU94" s="480"/>
      <c r="CV94" s="480"/>
      <c r="CW94" s="480"/>
      <c r="CX94" s="482"/>
      <c r="CY94" s="480"/>
      <c r="CZ94" s="480"/>
      <c r="DA94" s="480"/>
      <c r="DB94" s="480"/>
      <c r="DC94" s="480"/>
      <c r="DD94" s="480"/>
      <c r="DE94" s="480"/>
      <c r="DF94" s="480"/>
      <c r="DG94" s="480"/>
      <c r="DH94" s="480"/>
      <c r="DI94" s="480"/>
      <c r="DJ94" s="480"/>
      <c r="DK94" s="482"/>
      <c r="DL94" s="480"/>
      <c r="DM94" s="480"/>
      <c r="DN94" s="480"/>
      <c r="DO94" s="480"/>
      <c r="DP94" s="480"/>
      <c r="DQ94" s="480"/>
      <c r="DR94" s="480"/>
      <c r="DS94" s="480"/>
      <c r="DT94" s="480"/>
      <c r="DU94" s="480"/>
      <c r="DV94" s="480"/>
      <c r="DW94" s="480"/>
      <c r="DX94" s="482"/>
      <c r="DY94" s="480"/>
      <c r="DZ94" s="480"/>
      <c r="EA94" s="480"/>
      <c r="EB94" s="480"/>
      <c r="EC94" s="480"/>
      <c r="ED94" s="480"/>
      <c r="EE94" s="480"/>
      <c r="EF94" s="480"/>
      <c r="EG94" s="480"/>
      <c r="EH94" s="480"/>
      <c r="EI94" s="480"/>
      <c r="EJ94" s="480"/>
    </row>
    <row r="95" spans="1:140" s="481" customFormat="1">
      <c r="A95" s="480"/>
      <c r="B95" s="480"/>
      <c r="C95" s="480"/>
      <c r="D95" s="480"/>
      <c r="E95" s="480"/>
      <c r="F95" s="480"/>
      <c r="G95" s="480"/>
      <c r="H95" s="480"/>
      <c r="I95" s="480"/>
      <c r="J95" s="480"/>
      <c r="K95" s="480"/>
      <c r="L95" s="480"/>
      <c r="M95" s="480"/>
      <c r="N95" s="480"/>
      <c r="O95" s="480"/>
      <c r="P95" s="480"/>
      <c r="Q95" s="480"/>
      <c r="R95" s="480"/>
      <c r="S95" s="480"/>
      <c r="T95" s="480"/>
      <c r="U95" s="480"/>
      <c r="V95" s="480"/>
      <c r="W95" s="480"/>
      <c r="X95" s="480"/>
      <c r="Y95" s="480"/>
      <c r="Z95" s="480"/>
      <c r="AA95" s="480"/>
      <c r="AD95" s="480"/>
      <c r="AE95" s="480"/>
      <c r="AF95" s="480"/>
      <c r="AG95" s="480"/>
      <c r="AH95" s="480"/>
      <c r="AI95" s="480"/>
      <c r="AJ95" s="480"/>
      <c r="AK95" s="480"/>
      <c r="AL95" s="480"/>
      <c r="AM95" s="480"/>
      <c r="AN95" s="480"/>
      <c r="AO95" s="480"/>
      <c r="AP95" s="480"/>
      <c r="AQ95" s="480"/>
      <c r="AR95" s="480"/>
      <c r="AS95" s="480"/>
      <c r="AT95" s="480"/>
      <c r="AU95" s="480"/>
      <c r="AV95" s="480"/>
      <c r="AW95" s="480"/>
      <c r="AX95" s="480"/>
      <c r="AY95" s="480"/>
      <c r="AZ95" s="480"/>
      <c r="BA95" s="480"/>
      <c r="BB95" s="480"/>
      <c r="BC95" s="480"/>
      <c r="BD95" s="480"/>
      <c r="BE95" s="480"/>
      <c r="BF95" s="480"/>
      <c r="BG95" s="480"/>
      <c r="BH95" s="480"/>
      <c r="BI95" s="480"/>
      <c r="BJ95" s="480"/>
      <c r="BK95" s="480"/>
      <c r="BL95" s="480"/>
      <c r="BM95" s="480"/>
      <c r="BN95" s="480"/>
      <c r="BO95" s="480"/>
      <c r="BP95" s="480"/>
      <c r="BQ95" s="480"/>
      <c r="BR95" s="480"/>
      <c r="BS95" s="480"/>
      <c r="BT95" s="480"/>
      <c r="BU95" s="480"/>
      <c r="BV95" s="480"/>
      <c r="BW95" s="480"/>
      <c r="BX95" s="480"/>
      <c r="BY95" s="480"/>
      <c r="BZ95" s="480"/>
      <c r="CA95" s="480"/>
      <c r="CB95" s="480"/>
      <c r="CC95" s="480"/>
      <c r="CD95" s="480"/>
      <c r="CE95" s="480"/>
      <c r="CF95" s="480"/>
      <c r="CG95" s="480"/>
      <c r="CH95" s="480"/>
      <c r="CI95" s="480"/>
      <c r="CJ95" s="480"/>
      <c r="CK95" s="482"/>
      <c r="CL95" s="480"/>
      <c r="CM95" s="480"/>
      <c r="CN95" s="480"/>
      <c r="CO95" s="480"/>
      <c r="CP95" s="480"/>
      <c r="CQ95" s="480"/>
      <c r="CR95" s="480"/>
      <c r="CS95" s="480"/>
      <c r="CT95" s="480"/>
      <c r="CU95" s="480"/>
      <c r="CV95" s="480"/>
      <c r="CW95" s="480"/>
      <c r="CX95" s="482"/>
      <c r="CY95" s="480"/>
      <c r="CZ95" s="480"/>
      <c r="DA95" s="480"/>
      <c r="DB95" s="480"/>
      <c r="DC95" s="480"/>
      <c r="DD95" s="480"/>
      <c r="DE95" s="480"/>
      <c r="DF95" s="480"/>
      <c r="DG95" s="480"/>
      <c r="DH95" s="480"/>
      <c r="DI95" s="480"/>
      <c r="DJ95" s="480"/>
      <c r="DK95" s="482"/>
      <c r="DL95" s="480"/>
      <c r="DM95" s="480"/>
      <c r="DN95" s="480"/>
      <c r="DO95" s="480"/>
      <c r="DP95" s="480"/>
      <c r="DQ95" s="480"/>
      <c r="DR95" s="480"/>
      <c r="DS95" s="480"/>
      <c r="DT95" s="480"/>
      <c r="DU95" s="480"/>
      <c r="DV95" s="480"/>
      <c r="DW95" s="480"/>
      <c r="DX95" s="482"/>
      <c r="DY95" s="480"/>
      <c r="DZ95" s="480"/>
      <c r="EA95" s="480"/>
      <c r="EB95" s="480"/>
      <c r="EC95" s="480"/>
      <c r="ED95" s="480"/>
      <c r="EE95" s="480"/>
      <c r="EF95" s="480"/>
      <c r="EG95" s="480"/>
      <c r="EH95" s="480"/>
      <c r="EI95" s="480"/>
      <c r="EJ95" s="480"/>
    </row>
    <row r="96" spans="1:140" s="481" customFormat="1">
      <c r="A96" s="480"/>
      <c r="B96" s="480"/>
      <c r="C96" s="480"/>
      <c r="D96" s="480"/>
      <c r="E96" s="480"/>
      <c r="F96" s="480"/>
      <c r="G96" s="480"/>
      <c r="H96" s="480"/>
      <c r="I96" s="480"/>
      <c r="J96" s="480"/>
      <c r="K96" s="480"/>
      <c r="L96" s="480"/>
      <c r="M96" s="480"/>
      <c r="N96" s="480"/>
      <c r="O96" s="480"/>
      <c r="P96" s="480"/>
      <c r="Q96" s="480"/>
      <c r="R96" s="480"/>
      <c r="S96" s="480"/>
      <c r="T96" s="480"/>
      <c r="U96" s="480"/>
      <c r="V96" s="480"/>
      <c r="W96" s="480"/>
      <c r="X96" s="480"/>
      <c r="Y96" s="480"/>
      <c r="Z96" s="480"/>
      <c r="AA96" s="480"/>
      <c r="AD96" s="480"/>
      <c r="AE96" s="480"/>
      <c r="AF96" s="480"/>
      <c r="AG96" s="480"/>
      <c r="AH96" s="480"/>
      <c r="AI96" s="480"/>
      <c r="AJ96" s="480"/>
      <c r="AK96" s="480"/>
      <c r="AL96" s="480"/>
      <c r="AM96" s="480"/>
      <c r="AN96" s="480"/>
      <c r="AO96" s="480"/>
      <c r="AP96" s="480"/>
      <c r="AQ96" s="480"/>
      <c r="AR96" s="480"/>
      <c r="AS96" s="480"/>
      <c r="AT96" s="480"/>
      <c r="AU96" s="480"/>
      <c r="AV96" s="480"/>
      <c r="AW96" s="480"/>
      <c r="AX96" s="480"/>
      <c r="AY96" s="480"/>
      <c r="AZ96" s="480"/>
      <c r="BA96" s="480"/>
      <c r="BB96" s="480"/>
      <c r="BC96" s="480"/>
      <c r="BD96" s="480"/>
      <c r="BE96" s="480"/>
      <c r="BF96" s="480"/>
      <c r="BG96" s="480"/>
      <c r="BH96" s="480"/>
      <c r="BI96" s="480"/>
      <c r="BJ96" s="480"/>
      <c r="BK96" s="480"/>
      <c r="BL96" s="480"/>
      <c r="BM96" s="480"/>
      <c r="BN96" s="480"/>
      <c r="BO96" s="480"/>
      <c r="BP96" s="480"/>
      <c r="BQ96" s="480"/>
      <c r="BR96" s="480"/>
      <c r="BS96" s="480"/>
      <c r="BT96" s="480"/>
      <c r="BU96" s="480"/>
      <c r="BV96" s="480"/>
      <c r="BW96" s="480"/>
      <c r="BX96" s="480"/>
      <c r="BY96" s="480"/>
      <c r="BZ96" s="480"/>
      <c r="CA96" s="480"/>
      <c r="CB96" s="480"/>
      <c r="CC96" s="480"/>
      <c r="CD96" s="480"/>
      <c r="CE96" s="480"/>
      <c r="CF96" s="480"/>
      <c r="CG96" s="480"/>
      <c r="CH96" s="480"/>
      <c r="CI96" s="480"/>
      <c r="CJ96" s="480"/>
      <c r="CK96" s="482"/>
      <c r="CL96" s="480"/>
      <c r="CM96" s="480"/>
      <c r="CN96" s="480"/>
      <c r="CO96" s="480"/>
      <c r="CP96" s="480"/>
      <c r="CQ96" s="480"/>
      <c r="CR96" s="480"/>
      <c r="CS96" s="480"/>
      <c r="CT96" s="480"/>
      <c r="CU96" s="480"/>
      <c r="CV96" s="480"/>
      <c r="CW96" s="480"/>
      <c r="CX96" s="482"/>
      <c r="CY96" s="480"/>
      <c r="CZ96" s="480"/>
      <c r="DA96" s="480"/>
      <c r="DB96" s="480"/>
      <c r="DC96" s="480"/>
      <c r="DD96" s="480"/>
      <c r="DE96" s="480"/>
      <c r="DF96" s="480"/>
      <c r="DG96" s="480"/>
      <c r="DH96" s="480"/>
      <c r="DI96" s="480"/>
      <c r="DJ96" s="480"/>
      <c r="DK96" s="482"/>
      <c r="DL96" s="480"/>
      <c r="DM96" s="480"/>
      <c r="DN96" s="480"/>
      <c r="DO96" s="480"/>
      <c r="DP96" s="480"/>
      <c r="DQ96" s="480"/>
      <c r="DR96" s="480"/>
      <c r="DS96" s="480"/>
      <c r="DT96" s="480"/>
      <c r="DU96" s="480"/>
      <c r="DV96" s="480"/>
      <c r="DW96" s="480"/>
      <c r="DX96" s="482"/>
      <c r="DY96" s="480"/>
      <c r="DZ96" s="480"/>
      <c r="EA96" s="480"/>
      <c r="EB96" s="480"/>
      <c r="EC96" s="480"/>
      <c r="ED96" s="480"/>
      <c r="EE96" s="480"/>
      <c r="EF96" s="480"/>
      <c r="EG96" s="480"/>
      <c r="EH96" s="480"/>
      <c r="EI96" s="480"/>
      <c r="EJ96" s="480"/>
    </row>
    <row r="97" spans="1:140" s="481" customFormat="1">
      <c r="A97" s="480"/>
      <c r="B97" s="480"/>
      <c r="C97" s="480"/>
      <c r="D97" s="480"/>
      <c r="E97" s="480"/>
      <c r="F97" s="480"/>
      <c r="G97" s="480"/>
      <c r="H97" s="480"/>
      <c r="I97" s="480"/>
      <c r="J97" s="480"/>
      <c r="K97" s="480"/>
      <c r="L97" s="480"/>
      <c r="M97" s="480"/>
      <c r="N97" s="480"/>
      <c r="O97" s="480"/>
      <c r="P97" s="480"/>
      <c r="Q97" s="480"/>
      <c r="R97" s="480"/>
      <c r="S97" s="480"/>
      <c r="T97" s="480"/>
      <c r="U97" s="480"/>
      <c r="V97" s="480"/>
      <c r="W97" s="480"/>
      <c r="X97" s="480"/>
      <c r="Y97" s="480"/>
      <c r="Z97" s="480"/>
      <c r="AA97" s="480"/>
      <c r="AD97" s="480"/>
      <c r="AE97" s="480"/>
      <c r="AF97" s="480"/>
      <c r="AG97" s="480"/>
      <c r="AH97" s="480"/>
      <c r="AI97" s="480"/>
      <c r="AJ97" s="480"/>
      <c r="AK97" s="480"/>
      <c r="AL97" s="480"/>
      <c r="AM97" s="480"/>
      <c r="AN97" s="480"/>
      <c r="AO97" s="480"/>
      <c r="AP97" s="480"/>
      <c r="AQ97" s="480"/>
      <c r="AR97" s="480"/>
      <c r="AS97" s="480"/>
      <c r="AT97" s="480"/>
      <c r="AU97" s="480"/>
      <c r="AV97" s="480"/>
      <c r="AW97" s="480"/>
      <c r="AX97" s="480"/>
      <c r="AY97" s="480"/>
      <c r="AZ97" s="480"/>
      <c r="BA97" s="480"/>
      <c r="BB97" s="480"/>
      <c r="BC97" s="480"/>
      <c r="BD97" s="480"/>
      <c r="BE97" s="480"/>
      <c r="BF97" s="480"/>
      <c r="BG97" s="480"/>
      <c r="BH97" s="480"/>
      <c r="BI97" s="480"/>
      <c r="BJ97" s="480"/>
      <c r="BK97" s="480"/>
      <c r="BL97" s="480"/>
      <c r="BM97" s="480"/>
      <c r="BN97" s="480"/>
      <c r="BO97" s="480"/>
      <c r="BP97" s="480"/>
      <c r="BQ97" s="480"/>
      <c r="BR97" s="480"/>
      <c r="BS97" s="480"/>
      <c r="BT97" s="480"/>
      <c r="BU97" s="480"/>
      <c r="BV97" s="480"/>
      <c r="BW97" s="480"/>
      <c r="BX97" s="480"/>
      <c r="BY97" s="480"/>
      <c r="BZ97" s="480"/>
      <c r="CA97" s="480"/>
      <c r="CB97" s="480"/>
      <c r="CC97" s="480"/>
      <c r="CD97" s="480"/>
      <c r="CE97" s="480"/>
      <c r="CF97" s="480"/>
      <c r="CG97" s="480"/>
      <c r="CH97" s="480"/>
      <c r="CI97" s="480"/>
      <c r="CJ97" s="480"/>
      <c r="CK97" s="482"/>
      <c r="CL97" s="480"/>
      <c r="CM97" s="480"/>
      <c r="CN97" s="480"/>
      <c r="CO97" s="480"/>
      <c r="CP97" s="480"/>
      <c r="CQ97" s="480"/>
      <c r="CR97" s="480"/>
      <c r="CS97" s="480"/>
      <c r="CT97" s="480"/>
      <c r="CU97" s="480"/>
      <c r="CV97" s="480"/>
      <c r="CW97" s="480"/>
      <c r="CX97" s="482"/>
      <c r="CY97" s="480"/>
      <c r="CZ97" s="480"/>
      <c r="DA97" s="480"/>
      <c r="DB97" s="480"/>
      <c r="DC97" s="480"/>
      <c r="DD97" s="480"/>
      <c r="DE97" s="480"/>
      <c r="DF97" s="480"/>
      <c r="DG97" s="480"/>
      <c r="DH97" s="480"/>
      <c r="DI97" s="480"/>
      <c r="DJ97" s="480"/>
      <c r="DK97" s="482"/>
      <c r="DL97" s="480"/>
      <c r="DM97" s="480"/>
      <c r="DN97" s="480"/>
      <c r="DO97" s="480"/>
      <c r="DP97" s="480"/>
      <c r="DQ97" s="480"/>
      <c r="DR97" s="480"/>
      <c r="DS97" s="480"/>
      <c r="DT97" s="480"/>
      <c r="DU97" s="480"/>
      <c r="DV97" s="480"/>
      <c r="DW97" s="480"/>
      <c r="DX97" s="482"/>
      <c r="DY97" s="480"/>
      <c r="DZ97" s="480"/>
      <c r="EA97" s="480"/>
      <c r="EB97" s="480"/>
      <c r="EC97" s="480"/>
      <c r="ED97" s="480"/>
      <c r="EE97" s="480"/>
      <c r="EF97" s="480"/>
      <c r="EG97" s="480"/>
      <c r="EH97" s="480"/>
      <c r="EI97" s="480"/>
      <c r="EJ97" s="480"/>
    </row>
    <row r="98" spans="1:140" s="481" customFormat="1">
      <c r="A98" s="480"/>
      <c r="B98" s="480"/>
      <c r="C98" s="480"/>
      <c r="D98" s="480"/>
      <c r="E98" s="480"/>
      <c r="F98" s="480"/>
      <c r="G98" s="480"/>
      <c r="H98" s="480"/>
      <c r="I98" s="480"/>
      <c r="J98" s="480"/>
      <c r="K98" s="480"/>
      <c r="L98" s="480"/>
      <c r="M98" s="480"/>
      <c r="N98" s="480"/>
      <c r="O98" s="480"/>
      <c r="P98" s="480"/>
      <c r="Q98" s="480"/>
      <c r="R98" s="480"/>
      <c r="S98" s="480"/>
      <c r="T98" s="480"/>
      <c r="U98" s="480"/>
      <c r="V98" s="480"/>
      <c r="W98" s="480"/>
      <c r="X98" s="480"/>
      <c r="Y98" s="480"/>
      <c r="Z98" s="480"/>
      <c r="AA98" s="480"/>
      <c r="AD98" s="480"/>
      <c r="AE98" s="480"/>
      <c r="AF98" s="480"/>
      <c r="AG98" s="480"/>
      <c r="AH98" s="480"/>
      <c r="AI98" s="480"/>
      <c r="AJ98" s="480"/>
      <c r="AK98" s="480"/>
      <c r="AL98" s="480"/>
      <c r="AM98" s="480"/>
      <c r="AN98" s="480"/>
      <c r="AO98" s="480"/>
      <c r="AP98" s="480"/>
      <c r="AQ98" s="480"/>
      <c r="AR98" s="480"/>
      <c r="AS98" s="480"/>
      <c r="AT98" s="480"/>
      <c r="AU98" s="480"/>
      <c r="AV98" s="480"/>
      <c r="AW98" s="480"/>
      <c r="AX98" s="480"/>
      <c r="AY98" s="480"/>
      <c r="AZ98" s="480"/>
      <c r="BA98" s="480"/>
      <c r="BB98" s="480"/>
      <c r="BC98" s="480"/>
      <c r="BD98" s="480"/>
      <c r="BE98" s="480"/>
      <c r="BF98" s="480"/>
      <c r="BG98" s="480"/>
      <c r="BH98" s="480"/>
      <c r="BI98" s="480"/>
      <c r="BJ98" s="480"/>
      <c r="BK98" s="480"/>
      <c r="BL98" s="480"/>
      <c r="BM98" s="480"/>
      <c r="BN98" s="480"/>
      <c r="BO98" s="480"/>
      <c r="BP98" s="480"/>
      <c r="BQ98" s="480"/>
      <c r="BR98" s="480"/>
      <c r="BS98" s="480"/>
      <c r="BT98" s="480"/>
      <c r="BU98" s="480"/>
      <c r="BV98" s="480"/>
      <c r="BW98" s="480"/>
      <c r="BX98" s="480"/>
      <c r="BY98" s="480"/>
      <c r="BZ98" s="480"/>
      <c r="CA98" s="480"/>
      <c r="CB98" s="480"/>
      <c r="CC98" s="480"/>
      <c r="CD98" s="480"/>
      <c r="CE98" s="480"/>
      <c r="CF98" s="480"/>
      <c r="CG98" s="480"/>
      <c r="CH98" s="480"/>
      <c r="CI98" s="480"/>
      <c r="CJ98" s="480"/>
      <c r="CK98" s="482"/>
      <c r="CL98" s="480"/>
      <c r="CM98" s="480"/>
      <c r="CN98" s="480"/>
      <c r="CO98" s="480"/>
      <c r="CP98" s="480"/>
      <c r="CQ98" s="480"/>
      <c r="CR98" s="480"/>
      <c r="CS98" s="480"/>
      <c r="CT98" s="480"/>
      <c r="CU98" s="480"/>
      <c r="CV98" s="480"/>
      <c r="CW98" s="480"/>
      <c r="CX98" s="482"/>
      <c r="CY98" s="480"/>
      <c r="CZ98" s="480"/>
      <c r="DA98" s="480"/>
      <c r="DB98" s="480"/>
      <c r="DC98" s="480"/>
      <c r="DD98" s="480"/>
      <c r="DE98" s="480"/>
      <c r="DF98" s="480"/>
      <c r="DG98" s="480"/>
      <c r="DH98" s="480"/>
      <c r="DI98" s="480"/>
      <c r="DJ98" s="480"/>
      <c r="DK98" s="482"/>
      <c r="DL98" s="480"/>
      <c r="DM98" s="480"/>
      <c r="DN98" s="480"/>
      <c r="DO98" s="480"/>
      <c r="DP98" s="480"/>
      <c r="DQ98" s="480"/>
      <c r="DR98" s="480"/>
      <c r="DS98" s="480"/>
      <c r="DT98" s="480"/>
      <c r="DU98" s="480"/>
      <c r="DV98" s="480"/>
      <c r="DW98" s="480"/>
      <c r="DX98" s="482"/>
      <c r="DY98" s="480"/>
      <c r="DZ98" s="480"/>
      <c r="EA98" s="480"/>
      <c r="EB98" s="480"/>
      <c r="EC98" s="480"/>
      <c r="ED98" s="480"/>
      <c r="EE98" s="480"/>
      <c r="EF98" s="480"/>
      <c r="EG98" s="480"/>
      <c r="EH98" s="480"/>
      <c r="EI98" s="480"/>
      <c r="EJ98" s="480"/>
    </row>
    <row r="99" spans="1:140" s="481" customFormat="1">
      <c r="A99" s="480"/>
      <c r="B99" s="480"/>
      <c r="C99" s="480"/>
      <c r="D99" s="480"/>
      <c r="E99" s="480"/>
      <c r="F99" s="480"/>
      <c r="G99" s="480"/>
      <c r="H99" s="480"/>
      <c r="I99" s="480"/>
      <c r="J99" s="480"/>
      <c r="K99" s="480"/>
      <c r="L99" s="480"/>
      <c r="M99" s="480"/>
      <c r="N99" s="480"/>
      <c r="O99" s="480"/>
      <c r="P99" s="480"/>
      <c r="Q99" s="480"/>
      <c r="R99" s="480"/>
      <c r="S99" s="480"/>
      <c r="T99" s="480"/>
      <c r="U99" s="480"/>
      <c r="V99" s="480"/>
      <c r="W99" s="480"/>
      <c r="X99" s="480"/>
      <c r="Y99" s="480"/>
      <c r="Z99" s="480"/>
      <c r="AA99" s="480"/>
      <c r="AD99" s="480"/>
      <c r="AE99" s="480"/>
      <c r="AF99" s="480"/>
      <c r="AG99" s="480"/>
      <c r="AH99" s="480"/>
      <c r="AI99" s="480"/>
      <c r="AJ99" s="480"/>
      <c r="AK99" s="480"/>
      <c r="AL99" s="480"/>
      <c r="AM99" s="480"/>
      <c r="AN99" s="480"/>
      <c r="AO99" s="480"/>
      <c r="AP99" s="480"/>
      <c r="AQ99" s="480"/>
      <c r="AR99" s="480"/>
      <c r="AS99" s="480"/>
      <c r="AT99" s="480"/>
      <c r="AU99" s="480"/>
      <c r="AV99" s="480"/>
      <c r="AW99" s="480"/>
      <c r="AX99" s="480"/>
      <c r="AY99" s="480"/>
      <c r="AZ99" s="480"/>
      <c r="BA99" s="480"/>
      <c r="BB99" s="480"/>
      <c r="BC99" s="480"/>
      <c r="BD99" s="480"/>
      <c r="BE99" s="480"/>
      <c r="BF99" s="480"/>
      <c r="BG99" s="480"/>
      <c r="BH99" s="480"/>
      <c r="BI99" s="480"/>
      <c r="BJ99" s="480"/>
      <c r="BK99" s="480"/>
      <c r="BL99" s="480"/>
      <c r="BM99" s="480"/>
      <c r="BN99" s="480"/>
      <c r="BO99" s="480"/>
      <c r="BP99" s="480"/>
      <c r="BQ99" s="480"/>
      <c r="BR99" s="480"/>
      <c r="BS99" s="480"/>
      <c r="BT99" s="480"/>
      <c r="BU99" s="480"/>
      <c r="BV99" s="480"/>
      <c r="BW99" s="480"/>
      <c r="BX99" s="480"/>
      <c r="BY99" s="480"/>
      <c r="BZ99" s="480"/>
      <c r="CA99" s="480"/>
      <c r="CB99" s="480"/>
      <c r="CC99" s="480"/>
      <c r="CD99" s="480"/>
      <c r="CE99" s="480"/>
      <c r="CF99" s="480"/>
      <c r="CG99" s="480"/>
      <c r="CH99" s="480"/>
      <c r="CI99" s="480"/>
      <c r="CJ99" s="480"/>
      <c r="CK99" s="482"/>
      <c r="CL99" s="480"/>
      <c r="CM99" s="480"/>
      <c r="CN99" s="480"/>
      <c r="CO99" s="480"/>
      <c r="CP99" s="480"/>
      <c r="CQ99" s="480"/>
      <c r="CR99" s="480"/>
      <c r="CS99" s="480"/>
      <c r="CT99" s="480"/>
      <c r="CU99" s="480"/>
      <c r="CV99" s="480"/>
      <c r="CW99" s="480"/>
      <c r="CX99" s="482"/>
      <c r="CY99" s="480"/>
      <c r="CZ99" s="480"/>
      <c r="DA99" s="480"/>
      <c r="DB99" s="480"/>
      <c r="DC99" s="480"/>
      <c r="DD99" s="480"/>
      <c r="DE99" s="480"/>
      <c r="DF99" s="480"/>
      <c r="DG99" s="480"/>
      <c r="DH99" s="480"/>
      <c r="DI99" s="480"/>
      <c r="DJ99" s="480"/>
      <c r="DK99" s="482"/>
      <c r="DL99" s="480"/>
      <c r="DM99" s="480"/>
      <c r="DN99" s="480"/>
      <c r="DO99" s="480"/>
      <c r="DP99" s="480"/>
      <c r="DQ99" s="480"/>
      <c r="DR99" s="480"/>
      <c r="DS99" s="480"/>
      <c r="DT99" s="480"/>
      <c r="DU99" s="480"/>
      <c r="DV99" s="480"/>
      <c r="DW99" s="480"/>
      <c r="DX99" s="482"/>
      <c r="DY99" s="480"/>
      <c r="DZ99" s="480"/>
      <c r="EA99" s="480"/>
      <c r="EB99" s="480"/>
      <c r="EC99" s="480"/>
      <c r="ED99" s="480"/>
      <c r="EE99" s="480"/>
      <c r="EF99" s="480"/>
      <c r="EG99" s="480"/>
      <c r="EH99" s="480"/>
      <c r="EI99" s="480"/>
      <c r="EJ99" s="480"/>
    </row>
    <row r="100" spans="1:140" s="481" customFormat="1">
      <c r="A100" s="480"/>
      <c r="B100" s="480"/>
      <c r="C100" s="480"/>
      <c r="D100" s="480"/>
      <c r="E100" s="480"/>
      <c r="F100" s="480"/>
      <c r="G100" s="480"/>
      <c r="H100" s="480"/>
      <c r="I100" s="480"/>
      <c r="J100" s="480"/>
      <c r="K100" s="480"/>
      <c r="L100" s="480"/>
      <c r="M100" s="480"/>
      <c r="N100" s="480"/>
      <c r="O100" s="480"/>
      <c r="P100" s="480"/>
      <c r="Q100" s="480"/>
      <c r="R100" s="480"/>
      <c r="S100" s="480"/>
      <c r="T100" s="480"/>
      <c r="U100" s="480"/>
      <c r="V100" s="480"/>
      <c r="W100" s="480"/>
      <c r="X100" s="480"/>
      <c r="Y100" s="480"/>
      <c r="Z100" s="480"/>
      <c r="AA100" s="480"/>
      <c r="AD100" s="480"/>
      <c r="AE100" s="480"/>
      <c r="AF100" s="480"/>
      <c r="AG100" s="480"/>
      <c r="AH100" s="480"/>
      <c r="AI100" s="480"/>
      <c r="AJ100" s="480"/>
      <c r="AK100" s="480"/>
      <c r="AL100" s="480"/>
      <c r="AM100" s="480"/>
      <c r="AN100" s="480"/>
      <c r="AO100" s="480"/>
      <c r="AP100" s="480"/>
      <c r="AQ100" s="480"/>
      <c r="AR100" s="480"/>
      <c r="AS100" s="480"/>
      <c r="AT100" s="480"/>
      <c r="AU100" s="480"/>
      <c r="AV100" s="480"/>
      <c r="AW100" s="480"/>
      <c r="AX100" s="480"/>
      <c r="AY100" s="480"/>
      <c r="AZ100" s="480"/>
      <c r="BA100" s="480"/>
      <c r="BB100" s="480"/>
      <c r="BC100" s="480"/>
      <c r="BD100" s="480"/>
      <c r="BE100" s="480"/>
      <c r="BF100" s="480"/>
      <c r="BG100" s="480"/>
      <c r="BH100" s="480"/>
      <c r="BI100" s="480"/>
      <c r="BJ100" s="480"/>
      <c r="BK100" s="480"/>
      <c r="BL100" s="480"/>
      <c r="BM100" s="480"/>
      <c r="BN100" s="480"/>
      <c r="BO100" s="480"/>
      <c r="BP100" s="480"/>
      <c r="BQ100" s="480"/>
      <c r="BR100" s="480"/>
      <c r="BS100" s="480"/>
      <c r="BT100" s="480"/>
      <c r="BU100" s="480"/>
      <c r="BV100" s="480"/>
      <c r="BW100" s="480"/>
      <c r="BX100" s="480"/>
      <c r="BY100" s="480"/>
      <c r="BZ100" s="480"/>
      <c r="CA100" s="480"/>
      <c r="CB100" s="480"/>
      <c r="CC100" s="480"/>
      <c r="CD100" s="480"/>
      <c r="CE100" s="480"/>
      <c r="CF100" s="480"/>
      <c r="CG100" s="480"/>
      <c r="CH100" s="480"/>
      <c r="CI100" s="480"/>
      <c r="CJ100" s="480"/>
      <c r="CK100" s="482"/>
      <c r="CL100" s="480"/>
      <c r="CM100" s="480"/>
      <c r="CN100" s="480"/>
      <c r="CO100" s="480"/>
      <c r="CP100" s="480"/>
      <c r="CQ100" s="480"/>
      <c r="CR100" s="480"/>
      <c r="CS100" s="480"/>
      <c r="CT100" s="480"/>
      <c r="CU100" s="480"/>
      <c r="CV100" s="480"/>
      <c r="CW100" s="480"/>
      <c r="CX100" s="482"/>
      <c r="CY100" s="480"/>
      <c r="CZ100" s="480"/>
      <c r="DA100" s="480"/>
      <c r="DB100" s="480"/>
      <c r="DC100" s="480"/>
      <c r="DD100" s="480"/>
      <c r="DE100" s="480"/>
      <c r="DF100" s="480"/>
      <c r="DG100" s="480"/>
      <c r="DH100" s="480"/>
      <c r="DI100" s="480"/>
      <c r="DJ100" s="480"/>
      <c r="DK100" s="482"/>
      <c r="DL100" s="480"/>
      <c r="DM100" s="480"/>
      <c r="DN100" s="480"/>
      <c r="DO100" s="480"/>
      <c r="DP100" s="480"/>
      <c r="DQ100" s="480"/>
      <c r="DR100" s="480"/>
      <c r="DS100" s="480"/>
      <c r="DT100" s="480"/>
      <c r="DU100" s="480"/>
      <c r="DV100" s="480"/>
      <c r="DW100" s="480"/>
      <c r="DX100" s="482"/>
      <c r="DY100" s="480"/>
      <c r="DZ100" s="480"/>
      <c r="EA100" s="480"/>
      <c r="EB100" s="480"/>
      <c r="EC100" s="480"/>
      <c r="ED100" s="480"/>
      <c r="EE100" s="480"/>
      <c r="EF100" s="480"/>
      <c r="EG100" s="480"/>
      <c r="EH100" s="480"/>
      <c r="EI100" s="480"/>
      <c r="EJ100" s="480"/>
    </row>
    <row r="101" spans="1:140" s="481" customFormat="1">
      <c r="A101" s="480"/>
      <c r="B101" s="480"/>
      <c r="C101" s="480"/>
      <c r="D101" s="480"/>
      <c r="E101" s="480"/>
      <c r="F101" s="480"/>
      <c r="G101" s="480"/>
      <c r="H101" s="480"/>
      <c r="I101" s="480"/>
      <c r="J101" s="480"/>
      <c r="K101" s="480"/>
      <c r="L101" s="480"/>
      <c r="M101" s="480"/>
      <c r="N101" s="480"/>
      <c r="O101" s="480"/>
      <c r="P101" s="480"/>
      <c r="Q101" s="480"/>
      <c r="R101" s="480"/>
      <c r="S101" s="480"/>
      <c r="T101" s="480"/>
      <c r="U101" s="480"/>
      <c r="V101" s="480"/>
      <c r="W101" s="480"/>
      <c r="X101" s="480"/>
      <c r="Y101" s="480"/>
      <c r="Z101" s="480"/>
      <c r="AA101" s="480"/>
      <c r="AD101" s="480"/>
      <c r="AE101" s="480"/>
      <c r="AF101" s="480"/>
      <c r="AG101" s="480"/>
      <c r="AH101" s="480"/>
      <c r="AI101" s="480"/>
      <c r="AJ101" s="480"/>
      <c r="AK101" s="480"/>
      <c r="AL101" s="480"/>
      <c r="AM101" s="480"/>
      <c r="AN101" s="480"/>
      <c r="AO101" s="480"/>
      <c r="AP101" s="480"/>
      <c r="AQ101" s="480"/>
      <c r="AR101" s="480"/>
      <c r="AS101" s="480"/>
      <c r="AT101" s="480"/>
      <c r="AU101" s="480"/>
      <c r="AV101" s="480"/>
      <c r="AW101" s="480"/>
      <c r="AX101" s="480"/>
      <c r="AY101" s="480"/>
      <c r="AZ101" s="480"/>
      <c r="BA101" s="480"/>
      <c r="BB101" s="480"/>
      <c r="BC101" s="480"/>
      <c r="BD101" s="480"/>
      <c r="BE101" s="480"/>
      <c r="BF101" s="480"/>
      <c r="BG101" s="480"/>
      <c r="BH101" s="480"/>
      <c r="BI101" s="480"/>
      <c r="BJ101" s="480"/>
      <c r="BK101" s="480"/>
      <c r="BL101" s="480"/>
      <c r="BM101" s="480"/>
      <c r="BN101" s="480"/>
      <c r="BO101" s="480"/>
      <c r="BP101" s="480"/>
      <c r="BQ101" s="480"/>
      <c r="BR101" s="480"/>
      <c r="BS101" s="480"/>
      <c r="BT101" s="480"/>
      <c r="BU101" s="480"/>
      <c r="BV101" s="480"/>
      <c r="BW101" s="480"/>
      <c r="BX101" s="480"/>
      <c r="BY101" s="480"/>
      <c r="BZ101" s="480"/>
      <c r="CA101" s="480"/>
      <c r="CB101" s="480"/>
      <c r="CC101" s="480"/>
      <c r="CD101" s="480"/>
      <c r="CE101" s="480"/>
      <c r="CF101" s="480"/>
      <c r="CG101" s="480"/>
      <c r="CH101" s="480"/>
      <c r="CI101" s="480"/>
      <c r="CJ101" s="480"/>
      <c r="CK101" s="482"/>
      <c r="CL101" s="480"/>
      <c r="CM101" s="480"/>
      <c r="CN101" s="480"/>
      <c r="CO101" s="480"/>
      <c r="CP101" s="480"/>
      <c r="CQ101" s="480"/>
      <c r="CR101" s="480"/>
      <c r="CS101" s="480"/>
      <c r="CT101" s="480"/>
      <c r="CU101" s="480"/>
      <c r="CV101" s="480"/>
      <c r="CW101" s="480"/>
      <c r="CX101" s="482"/>
      <c r="CY101" s="480"/>
      <c r="CZ101" s="480"/>
      <c r="DA101" s="480"/>
      <c r="DB101" s="480"/>
      <c r="DC101" s="480"/>
      <c r="DD101" s="480"/>
      <c r="DE101" s="480"/>
      <c r="DF101" s="480"/>
      <c r="DG101" s="480"/>
      <c r="DH101" s="480"/>
      <c r="DI101" s="480"/>
      <c r="DJ101" s="480"/>
      <c r="DK101" s="482"/>
      <c r="DL101" s="480"/>
      <c r="DM101" s="480"/>
      <c r="DN101" s="480"/>
      <c r="DO101" s="480"/>
      <c r="DP101" s="480"/>
      <c r="DQ101" s="480"/>
      <c r="DR101" s="480"/>
      <c r="DS101" s="480"/>
      <c r="DT101" s="480"/>
      <c r="DU101" s="480"/>
      <c r="DV101" s="480"/>
      <c r="DW101" s="480"/>
      <c r="DX101" s="482"/>
      <c r="DY101" s="480"/>
      <c r="DZ101" s="480"/>
      <c r="EA101" s="480"/>
      <c r="EB101" s="480"/>
      <c r="EC101" s="480"/>
      <c r="ED101" s="480"/>
      <c r="EE101" s="480"/>
      <c r="EF101" s="480"/>
      <c r="EG101" s="480"/>
      <c r="EH101" s="480"/>
      <c r="EI101" s="480"/>
      <c r="EJ101" s="480"/>
    </row>
    <row r="102" spans="1:140" s="481" customFormat="1">
      <c r="A102" s="480"/>
      <c r="B102" s="480"/>
      <c r="C102" s="480"/>
      <c r="D102" s="480"/>
      <c r="E102" s="480"/>
      <c r="F102" s="480"/>
      <c r="G102" s="480"/>
      <c r="H102" s="480"/>
      <c r="I102" s="480"/>
      <c r="J102" s="480"/>
      <c r="K102" s="480"/>
      <c r="L102" s="480"/>
      <c r="M102" s="480"/>
      <c r="N102" s="480"/>
      <c r="O102" s="480"/>
      <c r="P102" s="480"/>
      <c r="Q102" s="480"/>
      <c r="R102" s="480"/>
      <c r="S102" s="480"/>
      <c r="T102" s="480"/>
      <c r="U102" s="480"/>
      <c r="V102" s="480"/>
      <c r="W102" s="480"/>
      <c r="X102" s="480"/>
      <c r="Y102" s="480"/>
      <c r="Z102" s="480"/>
      <c r="AA102" s="480"/>
      <c r="AD102" s="480"/>
      <c r="AE102" s="480"/>
      <c r="AF102" s="480"/>
      <c r="AG102" s="480"/>
      <c r="AH102" s="480"/>
      <c r="AI102" s="480"/>
      <c r="AJ102" s="480"/>
      <c r="AK102" s="480"/>
      <c r="AL102" s="480"/>
      <c r="AM102" s="480"/>
      <c r="AN102" s="480"/>
      <c r="AO102" s="480"/>
      <c r="AP102" s="480"/>
      <c r="AQ102" s="480"/>
      <c r="AR102" s="480"/>
      <c r="AS102" s="480"/>
      <c r="AT102" s="480"/>
      <c r="AU102" s="480"/>
      <c r="AV102" s="480"/>
      <c r="AW102" s="480"/>
      <c r="AX102" s="480"/>
      <c r="AY102" s="480"/>
      <c r="AZ102" s="480"/>
      <c r="BA102" s="480"/>
      <c r="BB102" s="480"/>
      <c r="BC102" s="480"/>
      <c r="BD102" s="480"/>
      <c r="BE102" s="480"/>
      <c r="BF102" s="480"/>
      <c r="BG102" s="480"/>
      <c r="BH102" s="480"/>
      <c r="BI102" s="480"/>
      <c r="BJ102" s="480"/>
      <c r="BK102" s="480"/>
      <c r="BL102" s="480"/>
      <c r="BM102" s="480"/>
      <c r="BN102" s="480"/>
      <c r="BO102" s="480"/>
      <c r="BP102" s="480"/>
      <c r="BQ102" s="480"/>
      <c r="BR102" s="480"/>
      <c r="BS102" s="480"/>
      <c r="BT102" s="480"/>
      <c r="BU102" s="480"/>
      <c r="BV102" s="480"/>
      <c r="BW102" s="480"/>
      <c r="BX102" s="480"/>
      <c r="BY102" s="480"/>
      <c r="BZ102" s="480"/>
      <c r="CA102" s="480"/>
      <c r="CB102" s="480"/>
      <c r="CC102" s="480"/>
      <c r="CD102" s="480"/>
      <c r="CE102" s="480"/>
      <c r="CF102" s="480"/>
      <c r="CG102" s="480"/>
      <c r="CH102" s="480"/>
      <c r="CI102" s="480"/>
      <c r="CJ102" s="480"/>
      <c r="CK102" s="482"/>
      <c r="CL102" s="480"/>
      <c r="CM102" s="480"/>
      <c r="CN102" s="480"/>
      <c r="CO102" s="480"/>
      <c r="CP102" s="480"/>
      <c r="CQ102" s="480"/>
      <c r="CR102" s="480"/>
      <c r="CS102" s="480"/>
      <c r="CT102" s="480"/>
      <c r="CU102" s="480"/>
      <c r="CV102" s="480"/>
      <c r="CW102" s="480"/>
      <c r="CX102" s="482"/>
      <c r="CY102" s="480"/>
      <c r="CZ102" s="480"/>
      <c r="DA102" s="480"/>
      <c r="DB102" s="480"/>
      <c r="DC102" s="480"/>
      <c r="DD102" s="480"/>
      <c r="DE102" s="480"/>
      <c r="DF102" s="480"/>
      <c r="DG102" s="480"/>
      <c r="DH102" s="480"/>
      <c r="DI102" s="480"/>
      <c r="DJ102" s="480"/>
      <c r="DK102" s="482"/>
      <c r="DL102" s="480"/>
      <c r="DM102" s="480"/>
      <c r="DN102" s="480"/>
      <c r="DO102" s="480"/>
      <c r="DP102" s="480"/>
      <c r="DQ102" s="480"/>
      <c r="DR102" s="480"/>
      <c r="DS102" s="480"/>
      <c r="DT102" s="480"/>
      <c r="DU102" s="480"/>
      <c r="DV102" s="480"/>
      <c r="DW102" s="480"/>
      <c r="DX102" s="482"/>
      <c r="DY102" s="480"/>
      <c r="DZ102" s="480"/>
      <c r="EA102" s="480"/>
      <c r="EB102" s="480"/>
      <c r="EC102" s="480"/>
      <c r="ED102" s="480"/>
      <c r="EE102" s="480"/>
      <c r="EF102" s="480"/>
      <c r="EG102" s="480"/>
      <c r="EH102" s="480"/>
      <c r="EI102" s="480"/>
      <c r="EJ102" s="480"/>
    </row>
    <row r="103" spans="1:140" s="481" customFormat="1">
      <c r="A103" s="480"/>
      <c r="B103" s="480"/>
      <c r="C103" s="480"/>
      <c r="D103" s="480"/>
      <c r="E103" s="480"/>
      <c r="F103" s="480"/>
      <c r="G103" s="480"/>
      <c r="H103" s="480"/>
      <c r="I103" s="480"/>
      <c r="J103" s="480"/>
      <c r="K103" s="480"/>
      <c r="L103" s="480"/>
      <c r="M103" s="480"/>
      <c r="N103" s="480"/>
      <c r="O103" s="480"/>
      <c r="P103" s="480"/>
      <c r="Q103" s="480"/>
      <c r="R103" s="480"/>
      <c r="S103" s="480"/>
      <c r="T103" s="480"/>
      <c r="U103" s="480"/>
      <c r="V103" s="480"/>
      <c r="W103" s="480"/>
      <c r="X103" s="480"/>
      <c r="Y103" s="480"/>
      <c r="Z103" s="480"/>
      <c r="AA103" s="480"/>
      <c r="AD103" s="480"/>
      <c r="AE103" s="480"/>
      <c r="AF103" s="480"/>
      <c r="AG103" s="480"/>
      <c r="AH103" s="480"/>
      <c r="AI103" s="480"/>
      <c r="AJ103" s="480"/>
      <c r="AK103" s="480"/>
      <c r="AL103" s="480"/>
      <c r="AM103" s="480"/>
      <c r="AN103" s="480"/>
      <c r="AO103" s="480"/>
      <c r="AP103" s="480"/>
      <c r="AQ103" s="480"/>
      <c r="AR103" s="480"/>
      <c r="AS103" s="480"/>
      <c r="AT103" s="480"/>
      <c r="AU103" s="480"/>
      <c r="AV103" s="480"/>
      <c r="AW103" s="480"/>
      <c r="AX103" s="480"/>
      <c r="AY103" s="480"/>
      <c r="AZ103" s="480"/>
      <c r="BA103" s="480"/>
      <c r="BB103" s="480"/>
      <c r="BC103" s="480"/>
      <c r="BD103" s="480"/>
      <c r="BE103" s="480"/>
      <c r="BF103" s="480"/>
      <c r="BG103" s="480"/>
      <c r="BH103" s="480"/>
      <c r="BI103" s="480"/>
      <c r="BJ103" s="480"/>
      <c r="BK103" s="480"/>
      <c r="BL103" s="480"/>
      <c r="BM103" s="480"/>
      <c r="BN103" s="480"/>
      <c r="BO103" s="480"/>
      <c r="BP103" s="480"/>
      <c r="BQ103" s="480"/>
      <c r="BR103" s="480"/>
      <c r="BS103" s="480"/>
      <c r="BT103" s="480"/>
      <c r="BU103" s="480"/>
      <c r="BV103" s="480"/>
      <c r="BW103" s="480"/>
      <c r="BX103" s="480"/>
      <c r="BY103" s="480"/>
      <c r="BZ103" s="480"/>
      <c r="CA103" s="480"/>
      <c r="CB103" s="480"/>
      <c r="CC103" s="480"/>
      <c r="CD103" s="480"/>
      <c r="CE103" s="480"/>
      <c r="CF103" s="480"/>
      <c r="CG103" s="480"/>
      <c r="CH103" s="480"/>
      <c r="CI103" s="480"/>
      <c r="CJ103" s="480"/>
      <c r="CK103" s="482"/>
      <c r="CL103" s="480"/>
      <c r="CM103" s="480"/>
      <c r="CN103" s="480"/>
      <c r="CO103" s="480"/>
      <c r="CP103" s="480"/>
      <c r="CQ103" s="480"/>
      <c r="CR103" s="480"/>
      <c r="CS103" s="480"/>
      <c r="CT103" s="480"/>
      <c r="CU103" s="480"/>
      <c r="CV103" s="480"/>
      <c r="CW103" s="480"/>
      <c r="CX103" s="482"/>
      <c r="CY103" s="480"/>
      <c r="CZ103" s="480"/>
      <c r="DA103" s="480"/>
      <c r="DB103" s="480"/>
      <c r="DC103" s="480"/>
      <c r="DD103" s="480"/>
      <c r="DE103" s="480"/>
      <c r="DF103" s="480"/>
      <c r="DG103" s="480"/>
      <c r="DH103" s="480"/>
      <c r="DI103" s="480"/>
      <c r="DJ103" s="480"/>
      <c r="DK103" s="482"/>
      <c r="DL103" s="480"/>
      <c r="DM103" s="480"/>
      <c r="DN103" s="480"/>
      <c r="DO103" s="480"/>
      <c r="DP103" s="480"/>
      <c r="DQ103" s="480"/>
      <c r="DR103" s="480"/>
      <c r="DS103" s="480"/>
      <c r="DT103" s="480"/>
      <c r="DU103" s="480"/>
      <c r="DV103" s="480"/>
      <c r="DW103" s="480"/>
      <c r="DX103" s="482"/>
      <c r="DY103" s="480"/>
      <c r="DZ103" s="480"/>
      <c r="EA103" s="480"/>
      <c r="EB103" s="480"/>
      <c r="EC103" s="480"/>
      <c r="ED103" s="480"/>
      <c r="EE103" s="480"/>
      <c r="EF103" s="480"/>
      <c r="EG103" s="480"/>
      <c r="EH103" s="480"/>
      <c r="EI103" s="480"/>
      <c r="EJ103" s="480"/>
    </row>
  </sheetData>
  <mergeCells count="5">
    <mergeCell ref="C2:N2"/>
    <mergeCell ref="BY2:CJ2"/>
    <mergeCell ref="CL2:CW2"/>
    <mergeCell ref="CY2:DJ2"/>
    <mergeCell ref="DL2:DW2"/>
  </mergeCells>
  <pageMargins left="0.7" right="0.7" top="0.75" bottom="0.75" header="0.3" footer="0.3"/>
  <pageSetup paperSize="9" scale="10"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E6BD6-7E75-4973-88DC-EA36C7022F7C}">
  <sheetPr>
    <tabColor theme="4" tint="0.39997558519241921"/>
    <pageSetUpPr fitToPage="1"/>
  </sheetPr>
  <dimension ref="A1:EJ131"/>
  <sheetViews>
    <sheetView showGridLines="0" zoomScaleNormal="100" workbookViewId="0">
      <pane xSplit="14" ySplit="3" topLeftCell="DH62" activePane="bottomRight" state="frozen"/>
      <selection activeCell="CE28" sqref="CE28"/>
      <selection pane="topRight" activeCell="CE28" sqref="CE28"/>
      <selection pane="bottomLeft" activeCell="CE28" sqref="CE28"/>
      <selection pane="bottomRight" activeCell="DH75" sqref="DH75"/>
    </sheetView>
  </sheetViews>
  <sheetFormatPr baseColWidth="10" defaultColWidth="10.7109375" defaultRowHeight="14.25"/>
  <cols>
    <col min="1" max="1" width="2.85546875" style="480" customWidth="1"/>
    <col min="2" max="2" width="40.5703125" style="480" customWidth="1"/>
    <col min="3" max="3" width="14.5703125" style="480" hidden="1" customWidth="1"/>
    <col min="4" max="4" width="13.28515625" style="480" hidden="1" customWidth="1"/>
    <col min="5" max="5" width="14" style="480" hidden="1" customWidth="1"/>
    <col min="6" max="6" width="15" style="480" hidden="1" customWidth="1"/>
    <col min="7" max="7" width="14" style="480" hidden="1" customWidth="1"/>
    <col min="8" max="8" width="14.85546875" style="480" hidden="1" customWidth="1"/>
    <col min="9" max="9" width="14.5703125" style="480" hidden="1" customWidth="1"/>
    <col min="10" max="10" width="15" style="480" hidden="1" customWidth="1"/>
    <col min="11" max="11" width="14.7109375" style="480" hidden="1" customWidth="1"/>
    <col min="12" max="12" width="14.28515625" style="480" hidden="1" customWidth="1"/>
    <col min="13" max="13" width="13.7109375" style="480" hidden="1" customWidth="1"/>
    <col min="14" max="14" width="13.28515625" style="480" hidden="1" customWidth="1"/>
    <col min="15" max="15" width="12.85546875" style="480" hidden="1" customWidth="1"/>
    <col min="16" max="26" width="11.85546875" style="480" customWidth="1"/>
    <col min="27" max="27" width="11.85546875" style="541" customWidth="1"/>
    <col min="28" max="29" width="11.85546875" style="481" customWidth="1"/>
    <col min="30" max="62" width="11.85546875" style="480" customWidth="1"/>
    <col min="63" max="63" width="13.28515625" style="480" bestFit="1" customWidth="1"/>
    <col min="64" max="65" width="11.85546875" style="480" customWidth="1"/>
    <col min="66" max="66" width="13" style="480" customWidth="1"/>
    <col min="67" max="76" width="11.85546875" style="480" customWidth="1"/>
    <col min="77" max="77" width="10" style="480" bestFit="1" customWidth="1"/>
    <col min="78" max="78" width="12.140625" style="480" customWidth="1"/>
    <col min="79" max="79" width="10.85546875" style="480" customWidth="1"/>
    <col min="80" max="80" width="12" style="480" customWidth="1"/>
    <col min="81" max="81" width="11.7109375" style="480" customWidth="1"/>
    <col min="82" max="82" width="12.140625" style="480" customWidth="1"/>
    <col min="83" max="83" width="10.5703125" style="480" customWidth="1"/>
    <col min="84" max="84" width="11.85546875" style="480" customWidth="1"/>
    <col min="85" max="85" width="13.28515625" style="480" customWidth="1"/>
    <col min="86" max="86" width="12.42578125" style="480" customWidth="1"/>
    <col min="87" max="87" width="11.7109375" style="480" bestFit="1" customWidth="1"/>
    <col min="88" max="88" width="12.5703125" style="480" customWidth="1"/>
    <col min="89" max="89" width="12.5703125" style="482" customWidth="1"/>
    <col min="90" max="90" width="11.42578125" style="480" bestFit="1" customWidth="1"/>
    <col min="91" max="92" width="11.140625" style="480" customWidth="1"/>
    <col min="93" max="93" width="10" style="480" bestFit="1" customWidth="1"/>
    <col min="94" max="94" width="15" style="480" customWidth="1"/>
    <col min="95" max="95" width="10.85546875" style="480" customWidth="1"/>
    <col min="96" max="96" width="11.42578125" style="480" bestFit="1" customWidth="1"/>
    <col min="97" max="97" width="11.140625" style="480" bestFit="1" customWidth="1"/>
    <col min="98" max="98" width="10.140625" style="480" bestFit="1" customWidth="1"/>
    <col min="99" max="99" width="11.5703125" style="480" customWidth="1"/>
    <col min="100" max="101" width="11.42578125" style="480" bestFit="1" customWidth="1"/>
    <col min="102" max="102" width="11.85546875" style="482" customWidth="1"/>
    <col min="103" max="104" width="11.85546875" style="480" customWidth="1"/>
    <col min="105" max="105" width="14.140625" style="480" bestFit="1" customWidth="1"/>
    <col min="106" max="113" width="11.85546875" style="480" customWidth="1"/>
    <col min="114" max="114" width="9.140625" style="480" bestFit="1" customWidth="1"/>
    <col min="115" max="115" width="11.28515625" style="482" bestFit="1" customWidth="1"/>
    <col min="116" max="127" width="10.7109375" style="480"/>
    <col min="128" max="128" width="11.85546875" style="482" customWidth="1"/>
    <col min="129" max="16384" width="10.7109375" style="480"/>
  </cols>
  <sheetData>
    <row r="1" spans="2:128" ht="7.5" customHeight="1">
      <c r="AA1" s="480"/>
    </row>
    <row r="2" spans="2:128" ht="15" customHeight="1">
      <c r="C2" s="970">
        <v>2018</v>
      </c>
      <c r="D2" s="970"/>
      <c r="E2" s="970"/>
      <c r="F2" s="970"/>
      <c r="G2" s="970"/>
      <c r="H2" s="970"/>
      <c r="I2" s="970"/>
      <c r="J2" s="970"/>
      <c r="K2" s="970"/>
      <c r="L2" s="970"/>
      <c r="M2" s="970"/>
      <c r="N2" s="970"/>
      <c r="P2" s="483">
        <v>2019</v>
      </c>
      <c r="Q2" s="484"/>
      <c r="R2" s="484"/>
      <c r="S2" s="484"/>
      <c r="T2" s="484"/>
      <c r="U2" s="484"/>
      <c r="V2" s="484"/>
      <c r="W2" s="484"/>
      <c r="X2" s="484"/>
      <c r="Y2" s="484"/>
      <c r="Z2" s="484"/>
      <c r="AA2" s="484"/>
      <c r="AC2" s="485">
        <v>2020</v>
      </c>
      <c r="AD2" s="484"/>
      <c r="AE2" s="484"/>
      <c r="AF2" s="484"/>
      <c r="AG2" s="484"/>
      <c r="AH2" s="484"/>
      <c r="AI2" s="484"/>
      <c r="AJ2" s="484"/>
      <c r="AL2" s="483" t="s">
        <v>121</v>
      </c>
      <c r="AM2" s="484"/>
      <c r="AN2" s="484"/>
      <c r="AO2" s="484"/>
      <c r="AP2" s="486"/>
      <c r="AQ2" s="484"/>
      <c r="AR2" s="484"/>
      <c r="AS2" s="484"/>
      <c r="AT2" s="484"/>
      <c r="AU2" s="484"/>
      <c r="AV2" s="484"/>
      <c r="AW2" s="484"/>
      <c r="AY2" s="486" t="s">
        <v>122</v>
      </c>
      <c r="AZ2" s="486"/>
      <c r="BA2" s="486"/>
      <c r="BB2" s="486"/>
      <c r="BC2" s="486"/>
      <c r="BD2" s="486"/>
      <c r="BE2" s="486"/>
      <c r="BF2" s="486"/>
      <c r="BG2" s="486"/>
      <c r="BH2" s="486"/>
      <c r="BI2" s="486"/>
      <c r="BJ2" s="486"/>
      <c r="BL2" s="487" t="s">
        <v>123</v>
      </c>
      <c r="BM2" s="487"/>
      <c r="BN2" s="487"/>
      <c r="BO2" s="487"/>
      <c r="BP2" s="487"/>
      <c r="BQ2" s="487"/>
      <c r="BR2" s="487"/>
      <c r="BS2" s="487"/>
      <c r="BT2" s="487"/>
      <c r="BU2" s="487"/>
      <c r="BV2" s="487"/>
      <c r="BW2" s="487"/>
      <c r="BY2" s="971" t="s">
        <v>124</v>
      </c>
      <c r="BZ2" s="971"/>
      <c r="CA2" s="971"/>
      <c r="CB2" s="971"/>
      <c r="CC2" s="971"/>
      <c r="CD2" s="971"/>
      <c r="CE2" s="971"/>
      <c r="CF2" s="971"/>
      <c r="CG2" s="971"/>
      <c r="CH2" s="971"/>
      <c r="CI2" s="971"/>
      <c r="CJ2" s="971"/>
      <c r="CL2" s="971" t="s">
        <v>344</v>
      </c>
      <c r="CM2" s="971"/>
      <c r="CN2" s="971"/>
      <c r="CO2" s="971"/>
      <c r="CP2" s="971"/>
      <c r="CQ2" s="971"/>
      <c r="CR2" s="971"/>
      <c r="CS2" s="971"/>
      <c r="CT2" s="971"/>
      <c r="CU2" s="971"/>
      <c r="CV2" s="971"/>
      <c r="CW2" s="971"/>
      <c r="CY2" s="971" t="s">
        <v>466</v>
      </c>
      <c r="CZ2" s="971"/>
      <c r="DA2" s="971"/>
      <c r="DB2" s="971"/>
      <c r="DC2" s="971"/>
      <c r="DD2" s="971"/>
      <c r="DE2" s="971"/>
      <c r="DF2" s="971"/>
      <c r="DG2" s="971"/>
      <c r="DH2" s="971"/>
      <c r="DI2" s="971"/>
      <c r="DJ2" s="971"/>
      <c r="DL2" s="971" t="s">
        <v>539</v>
      </c>
      <c r="DM2" s="971"/>
      <c r="DN2" s="971"/>
      <c r="DO2" s="971"/>
      <c r="DP2" s="971"/>
      <c r="DQ2" s="971"/>
      <c r="DR2" s="971"/>
      <c r="DS2" s="971"/>
      <c r="DT2" s="971"/>
      <c r="DU2" s="971"/>
      <c r="DV2" s="971"/>
      <c r="DW2" s="971"/>
    </row>
    <row r="3" spans="2:128" ht="15">
      <c r="B3" s="488" t="s">
        <v>125</v>
      </c>
      <c r="C3" s="489" t="s">
        <v>126</v>
      </c>
      <c r="D3" s="489" t="s">
        <v>127</v>
      </c>
      <c r="E3" s="489" t="s">
        <v>128</v>
      </c>
      <c r="F3" s="489" t="s">
        <v>129</v>
      </c>
      <c r="G3" s="489" t="s">
        <v>130</v>
      </c>
      <c r="H3" s="489" t="s">
        <v>131</v>
      </c>
      <c r="I3" s="489" t="s">
        <v>132</v>
      </c>
      <c r="J3" s="489" t="s">
        <v>133</v>
      </c>
      <c r="K3" s="489" t="s">
        <v>134</v>
      </c>
      <c r="L3" s="489" t="s">
        <v>135</v>
      </c>
      <c r="M3" s="489" t="s">
        <v>136</v>
      </c>
      <c r="N3" s="489" t="s">
        <v>137</v>
      </c>
      <c r="O3" s="490" t="s">
        <v>138</v>
      </c>
      <c r="P3" s="491" t="s">
        <v>126</v>
      </c>
      <c r="Q3" s="491" t="s">
        <v>127</v>
      </c>
      <c r="R3" s="491" t="s">
        <v>128</v>
      </c>
      <c r="S3" s="491" t="s">
        <v>129</v>
      </c>
      <c r="T3" s="491" t="s">
        <v>130</v>
      </c>
      <c r="U3" s="491" t="s">
        <v>131</v>
      </c>
      <c r="V3" s="491" t="s">
        <v>132</v>
      </c>
      <c r="W3" s="492" t="s">
        <v>133</v>
      </c>
      <c r="X3" s="491" t="s">
        <v>134</v>
      </c>
      <c r="Y3" s="491" t="s">
        <v>135</v>
      </c>
      <c r="Z3" s="491" t="s">
        <v>136</v>
      </c>
      <c r="AA3" s="491" t="s">
        <v>137</v>
      </c>
      <c r="AB3" s="493" t="s">
        <v>138</v>
      </c>
      <c r="AC3" s="494" t="s">
        <v>126</v>
      </c>
      <c r="AD3" s="491" t="s">
        <v>127</v>
      </c>
      <c r="AE3" s="491" t="s">
        <v>128</v>
      </c>
      <c r="AF3" s="491" t="s">
        <v>129</v>
      </c>
      <c r="AG3" s="491" t="s">
        <v>130</v>
      </c>
      <c r="AH3" s="491" t="s">
        <v>131</v>
      </c>
      <c r="AI3" s="491" t="s">
        <v>132</v>
      </c>
      <c r="AJ3" s="491" t="s">
        <v>133</v>
      </c>
      <c r="AK3" s="495" t="s">
        <v>138</v>
      </c>
      <c r="AL3" s="491" t="s">
        <v>134</v>
      </c>
      <c r="AM3" s="491" t="s">
        <v>135</v>
      </c>
      <c r="AN3" s="491" t="s">
        <v>136</v>
      </c>
      <c r="AO3" s="496" t="s">
        <v>137</v>
      </c>
      <c r="AP3" s="497" t="s">
        <v>126</v>
      </c>
      <c r="AQ3" s="491" t="s">
        <v>127</v>
      </c>
      <c r="AR3" s="491" t="s">
        <v>128</v>
      </c>
      <c r="AS3" s="491" t="s">
        <v>129</v>
      </c>
      <c r="AT3" s="491" t="s">
        <v>130</v>
      </c>
      <c r="AU3" s="491" t="s">
        <v>131</v>
      </c>
      <c r="AV3" s="491" t="s">
        <v>132</v>
      </c>
      <c r="AW3" s="491" t="s">
        <v>133</v>
      </c>
      <c r="AX3" s="495" t="s">
        <v>138</v>
      </c>
      <c r="AY3" s="498" t="s">
        <v>134</v>
      </c>
      <c r="AZ3" s="496" t="s">
        <v>135</v>
      </c>
      <c r="BA3" s="496" t="s">
        <v>136</v>
      </c>
      <c r="BB3" s="496" t="s">
        <v>137</v>
      </c>
      <c r="BC3" s="496" t="s">
        <v>126</v>
      </c>
      <c r="BD3" s="496" t="s">
        <v>127</v>
      </c>
      <c r="BE3" s="496" t="s">
        <v>128</v>
      </c>
      <c r="BF3" s="496" t="s">
        <v>129</v>
      </c>
      <c r="BG3" s="496" t="s">
        <v>130</v>
      </c>
      <c r="BH3" s="496" t="s">
        <v>131</v>
      </c>
      <c r="BI3" s="496" t="s">
        <v>132</v>
      </c>
      <c r="BJ3" s="499" t="s">
        <v>133</v>
      </c>
      <c r="BK3" s="495" t="s">
        <v>138</v>
      </c>
      <c r="BL3" s="498" t="s">
        <v>134</v>
      </c>
      <c r="BM3" s="496" t="s">
        <v>135</v>
      </c>
      <c r="BN3" s="496" t="s">
        <v>136</v>
      </c>
      <c r="BO3" s="496" t="s">
        <v>137</v>
      </c>
      <c r="BP3" s="496" t="s">
        <v>126</v>
      </c>
      <c r="BQ3" s="496" t="s">
        <v>127</v>
      </c>
      <c r="BR3" s="496" t="s">
        <v>128</v>
      </c>
      <c r="BS3" s="496" t="s">
        <v>129</v>
      </c>
      <c r="BT3" s="496" t="s">
        <v>130</v>
      </c>
      <c r="BU3" s="496" t="s">
        <v>131</v>
      </c>
      <c r="BV3" s="496" t="s">
        <v>132</v>
      </c>
      <c r="BW3" s="499" t="s">
        <v>133</v>
      </c>
      <c r="BX3" s="495" t="s">
        <v>138</v>
      </c>
      <c r="BY3" s="498" t="s">
        <v>134</v>
      </c>
      <c r="BZ3" s="496" t="s">
        <v>135</v>
      </c>
      <c r="CA3" s="496" t="s">
        <v>136</v>
      </c>
      <c r="CB3" s="496" t="s">
        <v>137</v>
      </c>
      <c r="CC3" s="496" t="s">
        <v>126</v>
      </c>
      <c r="CD3" s="496" t="s">
        <v>127</v>
      </c>
      <c r="CE3" s="496" t="s">
        <v>128</v>
      </c>
      <c r="CF3" s="496" t="s">
        <v>129</v>
      </c>
      <c r="CG3" s="496" t="s">
        <v>130</v>
      </c>
      <c r="CH3" s="496" t="s">
        <v>131</v>
      </c>
      <c r="CI3" s="496" t="s">
        <v>132</v>
      </c>
      <c r="CJ3" s="496" t="s">
        <v>133</v>
      </c>
      <c r="CK3" s="495" t="s">
        <v>138</v>
      </c>
      <c r="CL3" s="496" t="s">
        <v>134</v>
      </c>
      <c r="CM3" s="496" t="s">
        <v>135</v>
      </c>
      <c r="CN3" s="496" t="s">
        <v>136</v>
      </c>
      <c r="CO3" s="496" t="s">
        <v>137</v>
      </c>
      <c r="CP3" s="496" t="s">
        <v>126</v>
      </c>
      <c r="CQ3" s="496" t="s">
        <v>127</v>
      </c>
      <c r="CR3" s="496" t="s">
        <v>128</v>
      </c>
      <c r="CS3" s="496" t="s">
        <v>129</v>
      </c>
      <c r="CT3" s="496" t="s">
        <v>130</v>
      </c>
      <c r="CU3" s="496" t="s">
        <v>131</v>
      </c>
      <c r="CV3" s="496" t="s">
        <v>132</v>
      </c>
      <c r="CW3" s="499" t="s">
        <v>133</v>
      </c>
      <c r="CX3" s="495" t="s">
        <v>138</v>
      </c>
      <c r="CY3" s="496" t="s">
        <v>134</v>
      </c>
      <c r="CZ3" s="496" t="s">
        <v>135</v>
      </c>
      <c r="DA3" s="496" t="s">
        <v>136</v>
      </c>
      <c r="DB3" s="496" t="s">
        <v>137</v>
      </c>
      <c r="DC3" s="496" t="s">
        <v>126</v>
      </c>
      <c r="DD3" s="496" t="s">
        <v>127</v>
      </c>
      <c r="DE3" s="496" t="s">
        <v>128</v>
      </c>
      <c r="DF3" s="496" t="s">
        <v>129</v>
      </c>
      <c r="DG3" s="496" t="s">
        <v>130</v>
      </c>
      <c r="DH3" s="496" t="s">
        <v>131</v>
      </c>
      <c r="DI3" s="496" t="s">
        <v>132</v>
      </c>
      <c r="DJ3" s="499" t="s">
        <v>133</v>
      </c>
      <c r="DK3" s="495" t="s">
        <v>138</v>
      </c>
      <c r="DL3" s="496" t="s">
        <v>134</v>
      </c>
      <c r="DM3" s="496" t="s">
        <v>135</v>
      </c>
      <c r="DN3" s="496" t="s">
        <v>136</v>
      </c>
      <c r="DO3" s="496" t="s">
        <v>137</v>
      </c>
      <c r="DP3" s="496" t="s">
        <v>126</v>
      </c>
      <c r="DQ3" s="496" t="s">
        <v>127</v>
      </c>
      <c r="DR3" s="496" t="s">
        <v>128</v>
      </c>
      <c r="DS3" s="496" t="s">
        <v>129</v>
      </c>
      <c r="DT3" s="496" t="s">
        <v>130</v>
      </c>
      <c r="DU3" s="496" t="s">
        <v>131</v>
      </c>
      <c r="DV3" s="496" t="s">
        <v>132</v>
      </c>
      <c r="DW3" s="499" t="s">
        <v>133</v>
      </c>
      <c r="DX3" s="495" t="s">
        <v>138</v>
      </c>
    </row>
    <row r="4" spans="2:128" ht="15">
      <c r="B4" s="599" t="s">
        <v>181</v>
      </c>
      <c r="C4" s="512"/>
      <c r="D4" s="512"/>
      <c r="E4" s="512"/>
      <c r="F4" s="512"/>
      <c r="G4" s="512"/>
      <c r="H4" s="512"/>
      <c r="I4" s="512"/>
      <c r="J4" s="512"/>
      <c r="K4" s="512"/>
      <c r="L4" s="512"/>
      <c r="M4" s="512"/>
      <c r="N4" s="512"/>
      <c r="O4" s="600"/>
      <c r="P4" s="601">
        <f t="shared" ref="P4:AA4" si="0">SUM(P6:P112)</f>
        <v>0</v>
      </c>
      <c r="Q4" s="507">
        <f t="shared" si="0"/>
        <v>0</v>
      </c>
      <c r="R4" s="507">
        <f t="shared" si="0"/>
        <v>0</v>
      </c>
      <c r="S4" s="507">
        <f t="shared" si="0"/>
        <v>0</v>
      </c>
      <c r="T4" s="507">
        <f t="shared" si="0"/>
        <v>0</v>
      </c>
      <c r="U4" s="507">
        <f t="shared" si="0"/>
        <v>0</v>
      </c>
      <c r="V4" s="507">
        <f t="shared" si="0"/>
        <v>0</v>
      </c>
      <c r="W4" s="507">
        <f t="shared" si="0"/>
        <v>0</v>
      </c>
      <c r="X4" s="507">
        <f t="shared" si="0"/>
        <v>0</v>
      </c>
      <c r="Y4" s="507">
        <f t="shared" si="0"/>
        <v>0</v>
      </c>
      <c r="Z4" s="507">
        <f t="shared" si="0"/>
        <v>0</v>
      </c>
      <c r="AA4" s="507">
        <f t="shared" si="0"/>
        <v>0</v>
      </c>
      <c r="AB4" s="602">
        <f>SUM(P4:AA4)</f>
        <v>0</v>
      </c>
      <c r="AC4" s="507">
        <f t="shared" ref="AC4:AJ4" si="1">SUM(AC6:AC112)</f>
        <v>0</v>
      </c>
      <c r="AD4" s="507">
        <f t="shared" si="1"/>
        <v>0</v>
      </c>
      <c r="AE4" s="507">
        <f t="shared" si="1"/>
        <v>0</v>
      </c>
      <c r="AF4" s="507">
        <f t="shared" si="1"/>
        <v>0</v>
      </c>
      <c r="AG4" s="507">
        <f t="shared" si="1"/>
        <v>0</v>
      </c>
      <c r="AH4" s="507">
        <f t="shared" si="1"/>
        <v>0</v>
      </c>
      <c r="AI4" s="507">
        <f t="shared" si="1"/>
        <v>0</v>
      </c>
      <c r="AJ4" s="507">
        <f t="shared" si="1"/>
        <v>0</v>
      </c>
      <c r="AK4" s="509">
        <f>SUM(AC4:AJ4)</f>
        <v>0</v>
      </c>
      <c r="AL4" s="507">
        <f t="shared" ref="AL4:AW4" si="2">SUM(AL6:AL112)</f>
        <v>0</v>
      </c>
      <c r="AM4" s="507">
        <f t="shared" si="2"/>
        <v>0</v>
      </c>
      <c r="AN4" s="507">
        <f t="shared" si="2"/>
        <v>0</v>
      </c>
      <c r="AO4" s="507">
        <f t="shared" si="2"/>
        <v>0</v>
      </c>
      <c r="AP4" s="507">
        <f t="shared" si="2"/>
        <v>0</v>
      </c>
      <c r="AQ4" s="507">
        <f t="shared" si="2"/>
        <v>0</v>
      </c>
      <c r="AR4" s="507">
        <f t="shared" si="2"/>
        <v>0</v>
      </c>
      <c r="AS4" s="507">
        <f t="shared" si="2"/>
        <v>0</v>
      </c>
      <c r="AT4" s="507">
        <f t="shared" si="2"/>
        <v>0</v>
      </c>
      <c r="AU4" s="507">
        <f t="shared" si="2"/>
        <v>0</v>
      </c>
      <c r="AV4" s="507">
        <f t="shared" si="2"/>
        <v>0</v>
      </c>
      <c r="AW4" s="507">
        <f t="shared" si="2"/>
        <v>0</v>
      </c>
      <c r="AX4" s="603">
        <f>SUM(AL4:AW4)</f>
        <v>0</v>
      </c>
      <c r="AY4" s="507">
        <f t="shared" ref="AY4:BJ4" si="3">SUM(AY6:AY112)</f>
        <v>0</v>
      </c>
      <c r="AZ4" s="507">
        <f t="shared" si="3"/>
        <v>0</v>
      </c>
      <c r="BA4" s="507">
        <f t="shared" si="3"/>
        <v>0</v>
      </c>
      <c r="BB4" s="507">
        <f t="shared" si="3"/>
        <v>0</v>
      </c>
      <c r="BC4" s="507">
        <f t="shared" si="3"/>
        <v>0</v>
      </c>
      <c r="BD4" s="507">
        <f t="shared" si="3"/>
        <v>0</v>
      </c>
      <c r="BE4" s="507">
        <f t="shared" si="3"/>
        <v>0</v>
      </c>
      <c r="BF4" s="507">
        <f t="shared" si="3"/>
        <v>0</v>
      </c>
      <c r="BG4" s="507">
        <f t="shared" si="3"/>
        <v>0</v>
      </c>
      <c r="BH4" s="507">
        <f t="shared" si="3"/>
        <v>0</v>
      </c>
      <c r="BI4" s="507">
        <f t="shared" si="3"/>
        <v>0</v>
      </c>
      <c r="BJ4" s="507">
        <f t="shared" si="3"/>
        <v>0</v>
      </c>
      <c r="BK4" s="509">
        <f>SUM(AY4:BJ4)</f>
        <v>0</v>
      </c>
      <c r="BL4" s="507">
        <f t="shared" ref="BL4:BW4" si="4">SUM(BL6:BL112)</f>
        <v>0</v>
      </c>
      <c r="BM4" s="507">
        <f t="shared" si="4"/>
        <v>0</v>
      </c>
      <c r="BN4" s="507">
        <f t="shared" si="4"/>
        <v>0</v>
      </c>
      <c r="BO4" s="507">
        <f t="shared" si="4"/>
        <v>0</v>
      </c>
      <c r="BP4" s="507">
        <f t="shared" si="4"/>
        <v>0</v>
      </c>
      <c r="BQ4" s="507">
        <f t="shared" si="4"/>
        <v>0</v>
      </c>
      <c r="BR4" s="507">
        <f t="shared" si="4"/>
        <v>0</v>
      </c>
      <c r="BS4" s="507">
        <f t="shared" si="4"/>
        <v>0</v>
      </c>
      <c r="BT4" s="507">
        <f t="shared" si="4"/>
        <v>0</v>
      </c>
      <c r="BU4" s="507">
        <f t="shared" si="4"/>
        <v>0</v>
      </c>
      <c r="BV4" s="507">
        <f t="shared" si="4"/>
        <v>0</v>
      </c>
      <c r="BW4" s="507">
        <f t="shared" si="4"/>
        <v>0</v>
      </c>
      <c r="BX4" s="509">
        <f>SUM(BL4:BW4)</f>
        <v>0</v>
      </c>
      <c r="BY4" s="507">
        <f t="shared" ref="BY4:CJ4" si="5">SUM(BY6:BY112)</f>
        <v>0</v>
      </c>
      <c r="BZ4" s="507">
        <f t="shared" si="5"/>
        <v>0</v>
      </c>
      <c r="CA4" s="507">
        <f t="shared" si="5"/>
        <v>0</v>
      </c>
      <c r="CB4" s="507">
        <f t="shared" si="5"/>
        <v>0</v>
      </c>
      <c r="CC4" s="507">
        <f t="shared" si="5"/>
        <v>0</v>
      </c>
      <c r="CD4" s="507">
        <f t="shared" si="5"/>
        <v>0</v>
      </c>
      <c r="CE4" s="507">
        <f t="shared" si="5"/>
        <v>0</v>
      </c>
      <c r="CF4" s="507">
        <f t="shared" si="5"/>
        <v>0</v>
      </c>
      <c r="CG4" s="507">
        <f t="shared" si="5"/>
        <v>0</v>
      </c>
      <c r="CH4" s="507">
        <f t="shared" si="5"/>
        <v>0</v>
      </c>
      <c r="CI4" s="507">
        <f t="shared" si="5"/>
        <v>0</v>
      </c>
      <c r="CJ4" s="604">
        <f t="shared" si="5"/>
        <v>0</v>
      </c>
      <c r="CK4" s="509">
        <f>SUM(BY4:CJ4)</f>
        <v>0</v>
      </c>
      <c r="CL4" s="604">
        <f>-SUM(CL6:CL112)</f>
        <v>0</v>
      </c>
      <c r="CM4" s="604">
        <f>-SUM(CM6:CM112)</f>
        <v>0</v>
      </c>
      <c r="CN4" s="604">
        <f>-SUM(CN6:CN112)</f>
        <v>0</v>
      </c>
      <c r="CO4" s="604">
        <f>-SUM(CO6:CO112)</f>
        <v>0</v>
      </c>
      <c r="CP4" s="604">
        <f>-SUM(CP6:CP55)</f>
        <v>-428417.06</v>
      </c>
      <c r="CQ4" s="604">
        <f t="shared" ref="CQ4:CW4" si="6">-SUM(CQ6:CQ112)</f>
        <v>-543680.82579999999</v>
      </c>
      <c r="CR4" s="604">
        <f t="shared" si="6"/>
        <v>-673063.93859999999</v>
      </c>
      <c r="CS4" s="604">
        <f t="shared" si="6"/>
        <v>-858753.20579999988</v>
      </c>
      <c r="CT4" s="604">
        <f t="shared" si="6"/>
        <v>-60509.189999999995</v>
      </c>
      <c r="CU4" s="604">
        <f t="shared" si="6"/>
        <v>0</v>
      </c>
      <c r="CV4" s="604">
        <f t="shared" si="6"/>
        <v>-998460.14399999997</v>
      </c>
      <c r="CW4" s="604">
        <f t="shared" si="6"/>
        <v>0</v>
      </c>
      <c r="CX4" s="509">
        <f>SUM(CL4:CW4)</f>
        <v>-3562884.3641999997</v>
      </c>
      <c r="CY4" s="604">
        <f t="shared" ref="CY4:DJ4" si="7">-SUM(CY6:CY112)</f>
        <v>-38943.928100000005</v>
      </c>
      <c r="CZ4" s="604">
        <f t="shared" si="7"/>
        <v>-99846.014399999869</v>
      </c>
      <c r="DA4" s="604">
        <f t="shared" si="7"/>
        <v>-528142.26651999995</v>
      </c>
      <c r="DB4" s="604">
        <f t="shared" si="7"/>
        <v>-909159.54161999992</v>
      </c>
      <c r="DC4" s="604">
        <f t="shared" si="7"/>
        <v>-143699.3259</v>
      </c>
      <c r="DD4" s="604">
        <f t="shared" si="7"/>
        <v>-28304.34</v>
      </c>
      <c r="DE4" s="604">
        <f t="shared" si="7"/>
        <v>-168310.09600000002</v>
      </c>
      <c r="DF4" s="604">
        <f t="shared" si="7"/>
        <v>-112846.32</v>
      </c>
      <c r="DG4" s="604">
        <f t="shared" si="7"/>
        <v>-141772.48800000001</v>
      </c>
      <c r="DH4" s="604">
        <f t="shared" si="7"/>
        <v>-221175.2205</v>
      </c>
      <c r="DI4" s="604">
        <f t="shared" si="7"/>
        <v>-114000</v>
      </c>
      <c r="DJ4" s="604">
        <f t="shared" si="7"/>
        <v>-114000</v>
      </c>
      <c r="DK4" s="509">
        <f>SUM(CY4:DJ4)</f>
        <v>-2620199.54104</v>
      </c>
      <c r="DL4" s="604">
        <f t="shared" ref="DL4:DW4" si="8">-SUM(DL6:DL112)</f>
        <v>-169153.2</v>
      </c>
      <c r="DM4" s="604">
        <f t="shared" si="8"/>
        <v>-114000</v>
      </c>
      <c r="DN4" s="604">
        <f t="shared" si="8"/>
        <v>-114000</v>
      </c>
      <c r="DO4" s="604">
        <f t="shared" si="8"/>
        <v>-114000</v>
      </c>
      <c r="DP4" s="604">
        <f t="shared" si="8"/>
        <v>-114000</v>
      </c>
      <c r="DQ4" s="604">
        <f t="shared" si="8"/>
        <v>0</v>
      </c>
      <c r="DR4" s="604">
        <f t="shared" si="8"/>
        <v>0</v>
      </c>
      <c r="DS4" s="604">
        <f t="shared" si="8"/>
        <v>0</v>
      </c>
      <c r="DT4" s="604">
        <f t="shared" si="8"/>
        <v>0</v>
      </c>
      <c r="DU4" s="604">
        <f t="shared" si="8"/>
        <v>0</v>
      </c>
      <c r="DV4" s="604">
        <f t="shared" si="8"/>
        <v>0</v>
      </c>
      <c r="DW4" s="604">
        <f t="shared" si="8"/>
        <v>0</v>
      </c>
      <c r="DX4" s="506">
        <f>SUM(DL4:DW4)</f>
        <v>-625153.19999999995</v>
      </c>
    </row>
    <row r="5" spans="2:128" ht="15">
      <c r="B5" s="560" t="s">
        <v>543</v>
      </c>
      <c r="C5" s="512"/>
      <c r="D5" s="512"/>
      <c r="E5" s="512"/>
      <c r="F5" s="512"/>
      <c r="G5" s="512"/>
      <c r="H5" s="512"/>
      <c r="I5" s="512"/>
      <c r="J5" s="512"/>
      <c r="K5" s="512"/>
      <c r="L5" s="512"/>
      <c r="M5" s="512"/>
      <c r="N5" s="512"/>
      <c r="O5" s="514"/>
      <c r="P5" s="534"/>
      <c r="Q5" s="534"/>
      <c r="R5" s="534"/>
      <c r="S5" s="534"/>
      <c r="T5" s="534"/>
      <c r="U5" s="534"/>
      <c r="V5" s="534"/>
      <c r="W5" s="544"/>
      <c r="X5" s="525"/>
      <c r="Y5" s="525"/>
      <c r="Z5" s="525"/>
      <c r="AA5" s="525"/>
      <c r="AB5" s="605"/>
      <c r="AC5" s="606"/>
      <c r="AD5" s="525"/>
      <c r="AE5" s="525"/>
      <c r="AF5" s="544"/>
      <c r="AG5" s="525"/>
      <c r="AH5" s="525"/>
      <c r="AI5" s="525"/>
      <c r="AJ5" s="525"/>
      <c r="AK5" s="607">
        <f>SUM(AC5:AJ5)</f>
        <v>0</v>
      </c>
      <c r="AL5" s="525"/>
      <c r="AM5" s="525"/>
      <c r="AN5" s="525"/>
      <c r="AO5" s="525"/>
      <c r="AP5" s="525"/>
      <c r="AQ5" s="525"/>
      <c r="AR5" s="533"/>
      <c r="AS5" s="533"/>
      <c r="AT5" s="533"/>
      <c r="AU5" s="533"/>
      <c r="AV5" s="533"/>
      <c r="AW5" s="533"/>
      <c r="AX5" s="528"/>
      <c r="AY5" s="606"/>
      <c r="AZ5" s="525"/>
      <c r="BA5" s="526"/>
      <c r="BB5" s="525"/>
      <c r="BC5" s="525"/>
      <c r="BD5" s="525"/>
      <c r="BE5" s="525"/>
      <c r="BF5" s="525"/>
      <c r="BG5" s="525"/>
      <c r="BH5" s="525"/>
      <c r="BI5" s="525"/>
      <c r="BJ5" s="608"/>
      <c r="BK5" s="528"/>
      <c r="BL5" s="606"/>
      <c r="BM5" s="525"/>
      <c r="BN5" s="526"/>
      <c r="BO5" s="525"/>
      <c r="BP5" s="525"/>
      <c r="BQ5" s="526"/>
      <c r="BR5" s="525"/>
      <c r="BS5" s="525"/>
      <c r="BT5" s="525"/>
      <c r="BU5" s="525"/>
      <c r="BV5" s="525"/>
      <c r="BW5" s="608"/>
      <c r="BX5" s="528"/>
      <c r="BY5" s="525"/>
      <c r="BZ5" s="525"/>
      <c r="CA5" s="525"/>
      <c r="CB5" s="525"/>
      <c r="CC5" s="525"/>
      <c r="CD5" s="525"/>
      <c r="CE5" s="525"/>
      <c r="CF5" s="525"/>
      <c r="CG5" s="525"/>
      <c r="CH5" s="525"/>
      <c r="CI5" s="525"/>
      <c r="CJ5" s="525"/>
      <c r="CK5" s="528"/>
      <c r="CL5" s="526"/>
      <c r="CM5" s="525"/>
      <c r="CN5" s="526"/>
      <c r="CO5" s="525"/>
      <c r="CP5" s="525"/>
      <c r="CQ5" s="525"/>
      <c r="CR5" s="525"/>
      <c r="CS5" s="525"/>
      <c r="CT5" s="525"/>
      <c r="CU5" s="525"/>
      <c r="CV5" s="525"/>
      <c r="CW5" s="525"/>
      <c r="CX5" s="528"/>
      <c r="CY5" s="541"/>
      <c r="CZ5" s="541"/>
      <c r="DA5" s="541"/>
      <c r="DB5" s="541"/>
      <c r="DC5" s="541"/>
      <c r="DD5" s="541"/>
      <c r="DE5" s="541"/>
      <c r="DF5" s="541"/>
      <c r="DG5" s="541"/>
      <c r="DK5" s="519"/>
      <c r="DX5" s="519"/>
    </row>
    <row r="6" spans="2:128" ht="15">
      <c r="B6" s="480" t="s">
        <v>546</v>
      </c>
      <c r="C6" s="512">
        <v>15000</v>
      </c>
      <c r="D6" s="512"/>
      <c r="E6" s="512"/>
      <c r="F6" s="512"/>
      <c r="G6" s="512"/>
      <c r="H6" s="512"/>
      <c r="I6" s="512"/>
      <c r="J6" s="512"/>
      <c r="K6" s="512"/>
      <c r="L6" s="512"/>
      <c r="M6" s="512"/>
      <c r="N6" s="512"/>
      <c r="O6" s="514">
        <f t="shared" ref="O6:O111" si="9">SUM(C6:N6)</f>
        <v>15000</v>
      </c>
      <c r="P6" s="534"/>
      <c r="Q6" s="534"/>
      <c r="R6" s="534"/>
      <c r="S6" s="534"/>
      <c r="T6" s="534"/>
      <c r="U6" s="534"/>
      <c r="V6" s="534"/>
      <c r="W6" s="544"/>
      <c r="X6" s="525"/>
      <c r="Y6" s="525"/>
      <c r="Z6" s="525"/>
      <c r="AA6" s="525"/>
      <c r="AB6" s="605">
        <f t="shared" ref="AB6:AB112" si="10">SUM(P6:AA6)</f>
        <v>0</v>
      </c>
      <c r="AC6" s="609"/>
      <c r="AD6" s="534"/>
      <c r="AE6" s="534"/>
      <c r="AF6" s="534"/>
      <c r="AG6" s="534"/>
      <c r="AH6" s="534"/>
      <c r="AI6" s="534"/>
      <c r="AJ6" s="534"/>
      <c r="AK6" s="607">
        <f>SUM(AC6:AJ6)</f>
        <v>0</v>
      </c>
      <c r="AL6" s="525"/>
      <c r="AM6" s="525"/>
      <c r="AN6" s="533"/>
      <c r="AO6" s="533"/>
      <c r="AP6" s="544"/>
      <c r="AQ6" s="525"/>
      <c r="AR6" s="533"/>
      <c r="AS6" s="533"/>
      <c r="AT6" s="533"/>
      <c r="AU6" s="533"/>
      <c r="AV6" s="533"/>
      <c r="AW6" s="533"/>
      <c r="AX6" s="528">
        <f t="shared" ref="AX6:AX53" si="11">SUM(AL6:AW6)</f>
        <v>0</v>
      </c>
      <c r="AY6" s="606"/>
      <c r="AZ6" s="525"/>
      <c r="BA6" s="526"/>
      <c r="BB6" s="525"/>
      <c r="BC6" s="544"/>
      <c r="BD6" s="525"/>
      <c r="BE6" s="525"/>
      <c r="BF6" s="525"/>
      <c r="BG6" s="525"/>
      <c r="BH6" s="525"/>
      <c r="BI6" s="525"/>
      <c r="BJ6" s="608"/>
      <c r="BK6" s="528">
        <f>SUM(AY6:BJ6)</f>
        <v>0</v>
      </c>
      <c r="BL6" s="606"/>
      <c r="BM6" s="525"/>
      <c r="BN6" s="526"/>
      <c r="BO6" s="525"/>
      <c r="BP6" s="525"/>
      <c r="BQ6" s="526"/>
      <c r="BR6" s="544"/>
      <c r="BS6" s="525"/>
      <c r="BT6" s="525"/>
      <c r="BU6" s="525"/>
      <c r="BV6" s="525"/>
      <c r="BW6" s="608"/>
      <c r="BX6" s="528">
        <f>SUM(BL6:BW6)</f>
        <v>0</v>
      </c>
      <c r="BY6" s="525"/>
      <c r="BZ6" s="525"/>
      <c r="CA6" s="525"/>
      <c r="CB6" s="525"/>
      <c r="CC6" s="544"/>
      <c r="CD6" s="525"/>
      <c r="CE6" s="525"/>
      <c r="CF6" s="525"/>
      <c r="CG6" s="525"/>
      <c r="CH6" s="525"/>
      <c r="CI6" s="525"/>
      <c r="CJ6" s="525"/>
      <c r="CK6" s="528">
        <f t="shared" ref="CK6:CK107" si="12">SUM(BY6:CJ6)</f>
        <v>0</v>
      </c>
      <c r="CL6" s="526"/>
      <c r="CM6" s="525"/>
      <c r="CN6" s="526"/>
      <c r="CO6" s="525"/>
      <c r="CP6" s="716">
        <v>4146.96</v>
      </c>
      <c r="CQ6" s="848"/>
      <c r="CR6" s="515"/>
      <c r="CS6" s="515"/>
      <c r="CT6" s="716">
        <f>(31124+29908)*1.025-4146.96</f>
        <v>58410.84</v>
      </c>
      <c r="CU6" s="515"/>
      <c r="CV6" s="525"/>
      <c r="CW6" s="525"/>
      <c r="CX6" s="528">
        <f>SUM(CL6:CW6)</f>
        <v>62557.799999999996</v>
      </c>
      <c r="CY6" s="881"/>
      <c r="CZ6" s="541"/>
      <c r="DA6" s="541"/>
      <c r="DB6" s="541"/>
      <c r="DC6" s="848"/>
      <c r="DD6" s="541"/>
      <c r="DE6" s="541"/>
      <c r="DF6" s="541"/>
      <c r="DG6" s="541"/>
      <c r="DK6" s="528">
        <f>SUM(CY6:DJ6)</f>
        <v>0</v>
      </c>
      <c r="DX6" s="519">
        <f>SUM(DL6:DW6)</f>
        <v>0</v>
      </c>
    </row>
    <row r="7" spans="2:128" ht="15">
      <c r="B7" s="480" t="s">
        <v>547</v>
      </c>
      <c r="C7" s="512"/>
      <c r="D7" s="512">
        <v>35000</v>
      </c>
      <c r="E7" s="512"/>
      <c r="F7" s="512"/>
      <c r="G7" s="512"/>
      <c r="H7" s="512"/>
      <c r="I7" s="512"/>
      <c r="J7" s="512"/>
      <c r="K7" s="512"/>
      <c r="L7" s="512"/>
      <c r="M7" s="512"/>
      <c r="N7" s="512"/>
      <c r="O7" s="514">
        <f t="shared" si="9"/>
        <v>35000</v>
      </c>
      <c r="P7" s="534"/>
      <c r="Q7" s="534"/>
      <c r="R7" s="534"/>
      <c r="S7" s="534"/>
      <c r="T7" s="534"/>
      <c r="U7" s="534"/>
      <c r="V7" s="534"/>
      <c r="W7" s="544"/>
      <c r="X7" s="525"/>
      <c r="Y7" s="525"/>
      <c r="Z7" s="525"/>
      <c r="AA7" s="525"/>
      <c r="AB7" s="605">
        <f t="shared" si="10"/>
        <v>0</v>
      </c>
      <c r="AC7" s="613"/>
      <c r="AD7" s="534"/>
      <c r="AE7" s="534"/>
      <c r="AF7" s="534"/>
      <c r="AG7" s="534"/>
      <c r="AH7" s="534"/>
      <c r="AI7" s="534"/>
      <c r="AJ7" s="534"/>
      <c r="AK7" s="607">
        <f t="shared" ref="AK7:AK112" si="13">SUM(AC7:AJ7)</f>
        <v>0</v>
      </c>
      <c r="AL7" s="525"/>
      <c r="AM7" s="525"/>
      <c r="AN7" s="533"/>
      <c r="AO7" s="533"/>
      <c r="AP7" s="534"/>
      <c r="AQ7" s="525"/>
      <c r="AR7" s="533"/>
      <c r="AS7" s="533"/>
      <c r="AT7" s="533"/>
      <c r="AU7" s="533"/>
      <c r="AV7" s="533"/>
      <c r="AW7" s="533"/>
      <c r="AX7" s="528">
        <f t="shared" si="11"/>
        <v>0</v>
      </c>
      <c r="AY7" s="614"/>
      <c r="AZ7" s="533"/>
      <c r="BA7" s="535"/>
      <c r="BB7" s="533"/>
      <c r="BC7" s="525"/>
      <c r="BD7" s="525"/>
      <c r="BE7" s="544"/>
      <c r="BF7" s="525"/>
      <c r="BG7" s="525"/>
      <c r="BH7" s="525"/>
      <c r="BI7" s="525"/>
      <c r="BJ7" s="608"/>
      <c r="BK7" s="528">
        <f t="shared" ref="BK7:BK10" si="14">SUM(AY7:BJ7)</f>
        <v>0</v>
      </c>
      <c r="BL7" s="614"/>
      <c r="BM7" s="533"/>
      <c r="BN7" s="535"/>
      <c r="BO7" s="533"/>
      <c r="BP7" s="544"/>
      <c r="BQ7" s="526"/>
      <c r="BR7" s="533"/>
      <c r="BS7" s="525"/>
      <c r="BT7" s="525"/>
      <c r="BU7" s="525"/>
      <c r="BV7" s="525"/>
      <c r="BW7" s="608"/>
      <c r="BX7" s="528">
        <f t="shared" ref="BX7:BX112" si="15">SUM(BL7:BW7)</f>
        <v>0</v>
      </c>
      <c r="BY7" s="525"/>
      <c r="BZ7" s="525"/>
      <c r="CA7" s="525"/>
      <c r="CB7" s="525"/>
      <c r="CC7" s="544"/>
      <c r="CD7" s="544"/>
      <c r="CE7" s="563"/>
      <c r="CF7" s="525"/>
      <c r="CG7" s="525"/>
      <c r="CH7" s="525"/>
      <c r="CI7" s="525"/>
      <c r="CJ7" s="525"/>
      <c r="CK7" s="528">
        <f t="shared" si="12"/>
        <v>0</v>
      </c>
      <c r="CL7" s="526"/>
      <c r="CM7" s="525"/>
      <c r="CN7" s="526"/>
      <c r="CO7" s="525"/>
      <c r="CP7" s="542">
        <f>(32187+31149)*1.025</f>
        <v>64919.399999999994</v>
      </c>
      <c r="CQ7" s="848"/>
      <c r="CR7" s="515"/>
      <c r="CS7" s="515"/>
      <c r="CT7" s="515"/>
      <c r="CU7" s="515"/>
      <c r="CV7" s="525"/>
      <c r="CW7" s="525"/>
      <c r="CX7" s="528">
        <f t="shared" ref="CX7:CX109" si="16">SUM(CL7:CW7)</f>
        <v>64919.399999999994</v>
      </c>
      <c r="CY7" s="881"/>
      <c r="CZ7" s="541"/>
      <c r="DA7" s="541"/>
      <c r="DB7" s="541"/>
      <c r="DC7" s="848"/>
      <c r="DD7" s="541"/>
      <c r="DE7" s="541"/>
      <c r="DF7" s="541"/>
      <c r="DG7" s="541"/>
      <c r="DK7" s="528">
        <f t="shared" ref="DK7:DK109" si="17">SUM(CY7:DJ7)</f>
        <v>0</v>
      </c>
      <c r="DX7" s="519">
        <f t="shared" ref="DX7:DX109" si="18">SUM(DL7:DW7)</f>
        <v>0</v>
      </c>
    </row>
    <row r="8" spans="2:128" ht="15">
      <c r="B8" s="480" t="s">
        <v>550</v>
      </c>
      <c r="C8" s="512"/>
      <c r="D8" s="512"/>
      <c r="E8" s="512">
        <v>15000</v>
      </c>
      <c r="F8" s="512"/>
      <c r="G8" s="512"/>
      <c r="H8" s="512"/>
      <c r="I8" s="512"/>
      <c r="J8" s="512"/>
      <c r="K8" s="512"/>
      <c r="L8" s="512"/>
      <c r="M8" s="512"/>
      <c r="N8" s="512"/>
      <c r="O8" s="514">
        <f t="shared" si="9"/>
        <v>15000</v>
      </c>
      <c r="P8" s="534"/>
      <c r="Q8" s="534"/>
      <c r="R8" s="534"/>
      <c r="S8" s="534"/>
      <c r="T8" s="534"/>
      <c r="U8" s="534"/>
      <c r="V8" s="544"/>
      <c r="W8" s="544"/>
      <c r="X8" s="525"/>
      <c r="Y8" s="525"/>
      <c r="Z8" s="525"/>
      <c r="AA8" s="525"/>
      <c r="AB8" s="605">
        <f t="shared" si="10"/>
        <v>0</v>
      </c>
      <c r="AC8" s="613"/>
      <c r="AD8" s="534"/>
      <c r="AE8" s="534"/>
      <c r="AF8" s="534"/>
      <c r="AG8" s="534"/>
      <c r="AH8" s="534"/>
      <c r="AI8" s="534"/>
      <c r="AJ8" s="534"/>
      <c r="AK8" s="607">
        <f t="shared" si="13"/>
        <v>0</v>
      </c>
      <c r="AL8" s="534"/>
      <c r="AM8" s="525"/>
      <c r="AN8" s="533"/>
      <c r="AO8" s="533"/>
      <c r="AP8" s="525"/>
      <c r="AQ8" s="525"/>
      <c r="AR8" s="525"/>
      <c r="AS8" s="525"/>
      <c r="AT8" s="525"/>
      <c r="AU8" s="544"/>
      <c r="AV8" s="544"/>
      <c r="AW8" s="533"/>
      <c r="AX8" s="528">
        <f t="shared" si="11"/>
        <v>0</v>
      </c>
      <c r="AY8" s="614"/>
      <c r="AZ8" s="533"/>
      <c r="BA8" s="535"/>
      <c r="BB8" s="533"/>
      <c r="BC8" s="525"/>
      <c r="BD8" s="563"/>
      <c r="BE8" s="525"/>
      <c r="BF8" s="544"/>
      <c r="BG8" s="525"/>
      <c r="BH8" s="525"/>
      <c r="BI8" s="525"/>
      <c r="BJ8" s="608"/>
      <c r="BK8" s="528">
        <f t="shared" si="14"/>
        <v>0</v>
      </c>
      <c r="BL8" s="614"/>
      <c r="BM8" s="533"/>
      <c r="BN8" s="535"/>
      <c r="BO8" s="533"/>
      <c r="BP8" s="525"/>
      <c r="BQ8" s="615"/>
      <c r="BR8" s="533"/>
      <c r="BS8" s="525"/>
      <c r="BT8" s="525"/>
      <c r="BU8" s="525"/>
      <c r="BV8" s="525"/>
      <c r="BW8" s="608"/>
      <c r="BX8" s="528">
        <f t="shared" si="15"/>
        <v>0</v>
      </c>
      <c r="BY8" s="525"/>
      <c r="BZ8" s="525"/>
      <c r="CA8" s="525"/>
      <c r="CB8" s="525"/>
      <c r="CC8" s="525"/>
      <c r="CD8" s="525"/>
      <c r="CE8" s="525"/>
      <c r="CF8" s="525"/>
      <c r="CG8" s="525"/>
      <c r="CH8" s="525"/>
      <c r="CI8" s="541"/>
      <c r="CJ8" s="563"/>
      <c r="CK8" s="528">
        <f>SUM(BY8:CJ8)</f>
        <v>0</v>
      </c>
      <c r="CL8" s="543"/>
      <c r="CM8" s="544"/>
      <c r="CN8" s="526"/>
      <c r="CO8" s="525"/>
      <c r="CP8" s="542">
        <f>(32289+31149)*1.025</f>
        <v>65023.95</v>
      </c>
      <c r="CQ8" s="848"/>
      <c r="CR8" s="848"/>
      <c r="CS8" s="515"/>
      <c r="CT8" s="515"/>
      <c r="CU8" s="515"/>
      <c r="CV8" s="525"/>
      <c r="CW8" s="525"/>
      <c r="CX8" s="528">
        <f t="shared" si="16"/>
        <v>65023.95</v>
      </c>
      <c r="CY8" s="881"/>
      <c r="CZ8" s="541"/>
      <c r="DA8" s="541"/>
      <c r="DB8" s="541"/>
      <c r="DC8" s="541"/>
      <c r="DD8" s="848"/>
      <c r="DE8" s="541"/>
      <c r="DF8" s="541"/>
      <c r="DG8" s="541"/>
      <c r="DK8" s="528">
        <f t="shared" si="17"/>
        <v>0</v>
      </c>
      <c r="DX8" s="519">
        <f t="shared" si="18"/>
        <v>0</v>
      </c>
    </row>
    <row r="9" spans="2:128" ht="15">
      <c r="B9" s="480" t="s">
        <v>551</v>
      </c>
      <c r="C9" s="512"/>
      <c r="D9" s="512"/>
      <c r="E9" s="512">
        <v>0</v>
      </c>
      <c r="F9" s="512">
        <v>0</v>
      </c>
      <c r="G9" s="512">
        <v>0</v>
      </c>
      <c r="H9" s="512">
        <v>0</v>
      </c>
      <c r="I9" s="512"/>
      <c r="J9" s="512"/>
      <c r="K9" s="512"/>
      <c r="L9" s="512"/>
      <c r="M9" s="512"/>
      <c r="N9" s="512"/>
      <c r="O9" s="514">
        <f t="shared" si="9"/>
        <v>0</v>
      </c>
      <c r="P9" s="534"/>
      <c r="Q9" s="525"/>
      <c r="R9" s="616"/>
      <c r="S9" s="616"/>
      <c r="T9" s="616"/>
      <c r="U9" s="616"/>
      <c r="V9" s="616"/>
      <c r="W9" s="544"/>
      <c r="X9" s="617"/>
      <c r="Y9" s="544"/>
      <c r="Z9" s="544"/>
      <c r="AA9" s="617"/>
      <c r="AB9" s="605">
        <f t="shared" si="10"/>
        <v>0</v>
      </c>
      <c r="AC9" s="613"/>
      <c r="AD9" s="534"/>
      <c r="AE9" s="534"/>
      <c r="AF9" s="534"/>
      <c r="AG9" s="616"/>
      <c r="AH9" s="534"/>
      <c r="AI9" s="534"/>
      <c r="AJ9" s="534"/>
      <c r="AK9" s="607">
        <f t="shared" si="13"/>
        <v>0</v>
      </c>
      <c r="AL9" s="534"/>
      <c r="AM9" s="617"/>
      <c r="AN9" s="533"/>
      <c r="AO9" s="563"/>
      <c r="AP9" s="533"/>
      <c r="AQ9" s="525"/>
      <c r="AR9" s="544"/>
      <c r="AS9" s="525"/>
      <c r="AT9" s="525"/>
      <c r="AU9" s="525"/>
      <c r="AV9" s="525"/>
      <c r="AW9" s="563"/>
      <c r="AX9" s="528">
        <f t="shared" si="11"/>
        <v>0</v>
      </c>
      <c r="AY9" s="563"/>
      <c r="AZ9" s="525"/>
      <c r="BA9" s="615"/>
      <c r="BB9" s="525"/>
      <c r="BC9" s="533"/>
      <c r="BD9" s="525"/>
      <c r="BE9" s="525"/>
      <c r="BF9" s="544"/>
      <c r="BG9" s="525"/>
      <c r="BH9" s="525"/>
      <c r="BI9" s="525"/>
      <c r="BJ9" s="525"/>
      <c r="BK9" s="528">
        <f>SUM(AY9:BJ9)</f>
        <v>0</v>
      </c>
      <c r="BL9" s="533"/>
      <c r="BM9" s="533"/>
      <c r="BN9" s="615"/>
      <c r="BO9" s="525"/>
      <c r="BP9" s="544"/>
      <c r="BQ9" s="526"/>
      <c r="BR9" s="525"/>
      <c r="BS9" s="534"/>
      <c r="BT9" s="525"/>
      <c r="BU9" s="525"/>
      <c r="BV9" s="525"/>
      <c r="BW9" s="618"/>
      <c r="BX9" s="528">
        <f t="shared" si="15"/>
        <v>0</v>
      </c>
      <c r="BY9" s="525"/>
      <c r="BZ9" s="525"/>
      <c r="CA9" s="525"/>
      <c r="CB9" s="534"/>
      <c r="CC9" s="525"/>
      <c r="CD9" s="525"/>
      <c r="CE9" s="525"/>
      <c r="CF9" s="544"/>
      <c r="CG9" s="525"/>
      <c r="CH9" s="525"/>
      <c r="CI9" s="525"/>
      <c r="CJ9" s="525"/>
      <c r="CK9" s="528">
        <f t="shared" si="12"/>
        <v>0</v>
      </c>
      <c r="CL9" s="526"/>
      <c r="CM9" s="525"/>
      <c r="CN9" s="543"/>
      <c r="CO9" s="544"/>
      <c r="CP9" s="542">
        <f>(31276+31529)*1.025</f>
        <v>64375.124999999993</v>
      </c>
      <c r="CQ9" s="515"/>
      <c r="CR9" s="515"/>
      <c r="CS9" s="848"/>
      <c r="CT9" s="515"/>
      <c r="CU9" s="515"/>
      <c r="CV9" s="525"/>
      <c r="CW9" s="525"/>
      <c r="CX9" s="528">
        <f t="shared" si="16"/>
        <v>64375.124999999993</v>
      </c>
      <c r="CY9" s="881"/>
      <c r="CZ9" s="541"/>
      <c r="DA9" s="541"/>
      <c r="DB9" s="848"/>
      <c r="DC9" s="541"/>
      <c r="DD9" s="541"/>
      <c r="DE9" s="541"/>
      <c r="DF9" s="848"/>
      <c r="DG9" s="541"/>
      <c r="DK9" s="528">
        <f t="shared" si="17"/>
        <v>0</v>
      </c>
      <c r="DX9" s="519">
        <f t="shared" si="18"/>
        <v>0</v>
      </c>
    </row>
    <row r="10" spans="2:128" ht="15">
      <c r="B10" s="480" t="s">
        <v>552</v>
      </c>
      <c r="C10" s="512"/>
      <c r="D10" s="512"/>
      <c r="E10" s="512"/>
      <c r="F10" s="512"/>
      <c r="G10" s="512"/>
      <c r="H10" s="512"/>
      <c r="I10" s="512">
        <v>5000</v>
      </c>
      <c r="J10" s="512"/>
      <c r="K10" s="512"/>
      <c r="L10" s="512"/>
      <c r="M10" s="512"/>
      <c r="N10" s="512"/>
      <c r="O10" s="514">
        <f t="shared" si="9"/>
        <v>5000</v>
      </c>
      <c r="P10" s="534"/>
      <c r="Q10" s="534"/>
      <c r="R10" s="534"/>
      <c r="S10" s="534"/>
      <c r="T10" s="534"/>
      <c r="U10" s="534"/>
      <c r="V10" s="534"/>
      <c r="W10" s="544"/>
      <c r="X10" s="617"/>
      <c r="Y10" s="525"/>
      <c r="Z10" s="525"/>
      <c r="AA10" s="563"/>
      <c r="AB10" s="605">
        <f t="shared" si="10"/>
        <v>0</v>
      </c>
      <c r="AC10" s="613"/>
      <c r="AD10" s="534"/>
      <c r="AE10" s="534"/>
      <c r="AF10" s="534"/>
      <c r="AG10" s="544"/>
      <c r="AH10" s="534"/>
      <c r="AI10" s="534"/>
      <c r="AJ10" s="534"/>
      <c r="AK10" s="607">
        <f t="shared" si="13"/>
        <v>0</v>
      </c>
      <c r="AL10" s="534"/>
      <c r="AM10" s="525"/>
      <c r="AN10" s="525"/>
      <c r="AO10" s="525"/>
      <c r="AP10" s="544"/>
      <c r="AQ10" s="544"/>
      <c r="AR10" s="533"/>
      <c r="AS10" s="533"/>
      <c r="AT10" s="533"/>
      <c r="AU10" s="525"/>
      <c r="AV10" s="525"/>
      <c r="AW10" s="563"/>
      <c r="AX10" s="528">
        <f t="shared" si="11"/>
        <v>0</v>
      </c>
      <c r="AY10" s="563"/>
      <c r="AZ10" s="544"/>
      <c r="BA10" s="535"/>
      <c r="BB10" s="533"/>
      <c r="BC10" s="544"/>
      <c r="BD10" s="525"/>
      <c r="BE10" s="525"/>
      <c r="BF10" s="525"/>
      <c r="BG10" s="525"/>
      <c r="BH10" s="525"/>
      <c r="BI10" s="525"/>
      <c r="BJ10" s="608"/>
      <c r="BK10" s="528">
        <f t="shared" si="14"/>
        <v>0</v>
      </c>
      <c r="BL10" s="614"/>
      <c r="BM10" s="525"/>
      <c r="BN10" s="526"/>
      <c r="BO10" s="544"/>
      <c r="BP10" s="525"/>
      <c r="BQ10" s="526"/>
      <c r="BR10" s="525"/>
      <c r="BS10" s="544"/>
      <c r="BT10" s="525"/>
      <c r="BU10" s="525"/>
      <c r="BV10" s="525"/>
      <c r="BW10" s="608"/>
      <c r="BX10" s="528">
        <f t="shared" si="15"/>
        <v>0</v>
      </c>
      <c r="BY10" s="534"/>
      <c r="BZ10" s="525"/>
      <c r="CA10" s="525"/>
      <c r="CB10" s="544"/>
      <c r="CC10" s="525"/>
      <c r="CD10" s="619"/>
      <c r="CE10" s="525"/>
      <c r="CF10" s="525"/>
      <c r="CG10" s="525"/>
      <c r="CH10" s="525"/>
      <c r="CI10" s="541"/>
      <c r="CJ10" s="619"/>
      <c r="CK10" s="528">
        <f>SUM(BY10:CJ10)</f>
        <v>0</v>
      </c>
      <c r="CL10" s="543"/>
      <c r="CM10" s="541"/>
      <c r="CN10" s="543"/>
      <c r="CO10" s="541"/>
      <c r="CP10" s="542">
        <f>(30845+31022+30845)*1.025</f>
        <v>95029.799999999988</v>
      </c>
      <c r="CQ10" s="515"/>
      <c r="CR10" s="515"/>
      <c r="CS10" s="515"/>
      <c r="CT10" s="515"/>
      <c r="CU10" s="515"/>
      <c r="CV10" s="619"/>
      <c r="CW10" s="525"/>
      <c r="CX10" s="528">
        <f t="shared" si="16"/>
        <v>95029.799999999988</v>
      </c>
      <c r="CY10" s="881"/>
      <c r="CZ10" s="541"/>
      <c r="DA10" s="541"/>
      <c r="DB10" s="848"/>
      <c r="DC10" s="541"/>
      <c r="DD10" s="541"/>
      <c r="DE10" s="541"/>
      <c r="DF10" s="541"/>
      <c r="DG10" s="541"/>
      <c r="DI10" s="612"/>
      <c r="DK10" s="528">
        <f t="shared" si="17"/>
        <v>0</v>
      </c>
      <c r="DX10" s="519">
        <f t="shared" si="18"/>
        <v>0</v>
      </c>
    </row>
    <row r="11" spans="2:128" ht="15">
      <c r="B11" s="480" t="s">
        <v>553</v>
      </c>
      <c r="C11" s="512"/>
      <c r="D11" s="512"/>
      <c r="E11" s="512"/>
      <c r="F11" s="512"/>
      <c r="G11" s="512"/>
      <c r="H11" s="512"/>
      <c r="I11" s="512"/>
      <c r="J11" s="512">
        <v>10000</v>
      </c>
      <c r="K11" s="512"/>
      <c r="L11" s="512"/>
      <c r="M11" s="512"/>
      <c r="N11" s="512"/>
      <c r="O11" s="514">
        <f t="shared" si="9"/>
        <v>10000</v>
      </c>
      <c r="P11" s="534"/>
      <c r="Q11" s="534"/>
      <c r="R11" s="534"/>
      <c r="S11" s="534"/>
      <c r="T11" s="534"/>
      <c r="U11" s="534"/>
      <c r="V11" s="534"/>
      <c r="W11" s="544"/>
      <c r="X11" s="544"/>
      <c r="Y11" s="544"/>
      <c r="Z11" s="525"/>
      <c r="AA11" s="525"/>
      <c r="AB11" s="605">
        <f t="shared" si="10"/>
        <v>0</v>
      </c>
      <c r="AC11" s="620"/>
      <c r="AD11" s="616"/>
      <c r="AE11" s="616"/>
      <c r="AF11" s="616"/>
      <c r="AG11" s="616"/>
      <c r="AH11" s="616"/>
      <c r="AI11" s="616"/>
      <c r="AJ11" s="616"/>
      <c r="AK11" s="607">
        <f t="shared" si="13"/>
        <v>0</v>
      </c>
      <c r="AL11" s="544"/>
      <c r="AM11" s="617"/>
      <c r="AN11" s="617"/>
      <c r="AO11" s="617"/>
      <c r="AP11" s="525"/>
      <c r="AQ11" s="525"/>
      <c r="AR11" s="533"/>
      <c r="AS11" s="533"/>
      <c r="AT11" s="533"/>
      <c r="AU11" s="533"/>
      <c r="AV11" s="533"/>
      <c r="AW11" s="533"/>
      <c r="AX11" s="528">
        <f t="shared" si="11"/>
        <v>0</v>
      </c>
      <c r="AY11" s="614"/>
      <c r="AZ11" s="544"/>
      <c r="BA11" s="535"/>
      <c r="BB11" s="533"/>
      <c r="BC11" s="533"/>
      <c r="BD11" s="525"/>
      <c r="BE11" s="525"/>
      <c r="BF11" s="525"/>
      <c r="BG11" s="525"/>
      <c r="BH11" s="525"/>
      <c r="BI11" s="525"/>
      <c r="BJ11" s="608"/>
      <c r="BK11" s="528">
        <f>SUM(AY11:BJ11)</f>
        <v>0</v>
      </c>
      <c r="BL11" s="544"/>
      <c r="BM11" s="533"/>
      <c r="BN11" s="526"/>
      <c r="BO11" s="533"/>
      <c r="BP11" s="533"/>
      <c r="BQ11" s="526"/>
      <c r="BR11" s="525"/>
      <c r="BS11" s="525"/>
      <c r="BT11" s="525"/>
      <c r="BU11" s="525"/>
      <c r="BV11" s="525"/>
      <c r="BW11" s="544"/>
      <c r="BX11" s="528">
        <f t="shared" si="15"/>
        <v>0</v>
      </c>
      <c r="BY11" s="563"/>
      <c r="BZ11" s="525"/>
      <c r="CA11" s="525"/>
      <c r="CB11" s="525"/>
      <c r="CC11" s="525"/>
      <c r="CD11" s="525"/>
      <c r="CE11" s="525"/>
      <c r="CF11" s="525"/>
      <c r="CG11" s="525"/>
      <c r="CH11" s="525"/>
      <c r="CI11" s="525"/>
      <c r="CJ11" s="619"/>
      <c r="CK11" s="528">
        <f t="shared" si="12"/>
        <v>0</v>
      </c>
      <c r="CL11" s="615"/>
      <c r="CM11" s="525"/>
      <c r="CN11" s="526"/>
      <c r="CO11" s="525"/>
      <c r="CP11" s="542">
        <f>(30744+30845)*1.025</f>
        <v>63128.724999999991</v>
      </c>
      <c r="CQ11" s="515"/>
      <c r="CR11" s="515"/>
      <c r="CS11" s="515"/>
      <c r="CT11" s="515"/>
      <c r="CU11" s="515"/>
      <c r="CV11" s="525"/>
      <c r="CW11" s="619"/>
      <c r="CX11" s="528">
        <f t="shared" si="16"/>
        <v>63128.724999999991</v>
      </c>
      <c r="CY11" s="881"/>
      <c r="CZ11" s="541"/>
      <c r="DA11" s="541"/>
      <c r="DB11" s="541"/>
      <c r="DC11" s="541"/>
      <c r="DD11" s="541"/>
      <c r="DE11" s="541"/>
      <c r="DF11" s="541"/>
      <c r="DG11" s="541"/>
      <c r="DJ11" s="612"/>
      <c r="DK11" s="528">
        <f t="shared" si="17"/>
        <v>0</v>
      </c>
      <c r="DX11" s="519">
        <f t="shared" si="18"/>
        <v>0</v>
      </c>
    </row>
    <row r="12" spans="2:128" ht="15">
      <c r="B12" s="480" t="s">
        <v>554</v>
      </c>
      <c r="C12" s="512"/>
      <c r="D12" s="512"/>
      <c r="E12" s="512"/>
      <c r="F12" s="512"/>
      <c r="G12" s="512"/>
      <c r="H12" s="512"/>
      <c r="I12" s="512"/>
      <c r="J12" s="512"/>
      <c r="K12" s="512"/>
      <c r="L12" s="512"/>
      <c r="M12" s="512">
        <v>7500</v>
      </c>
      <c r="N12" s="512"/>
      <c r="O12" s="514">
        <f t="shared" si="9"/>
        <v>7500</v>
      </c>
      <c r="P12" s="534"/>
      <c r="Q12" s="534"/>
      <c r="R12" s="534"/>
      <c r="S12" s="534"/>
      <c r="T12" s="534"/>
      <c r="U12" s="534"/>
      <c r="V12" s="534"/>
      <c r="W12" s="544"/>
      <c r="X12" s="525"/>
      <c r="Y12" s="534"/>
      <c r="Z12" s="525"/>
      <c r="AA12" s="525"/>
      <c r="AB12" s="605">
        <f t="shared" si="10"/>
        <v>0</v>
      </c>
      <c r="AC12" s="620"/>
      <c r="AD12" s="616"/>
      <c r="AE12" s="616"/>
      <c r="AF12" s="534"/>
      <c r="AG12" s="544"/>
      <c r="AH12" s="534"/>
      <c r="AI12" s="616"/>
      <c r="AJ12" s="616"/>
      <c r="AK12" s="607">
        <f t="shared" si="13"/>
        <v>0</v>
      </c>
      <c r="AL12" s="616"/>
      <c r="AM12" s="525"/>
      <c r="AN12" s="544"/>
      <c r="AO12" s="617"/>
      <c r="AP12" s="525"/>
      <c r="AQ12" s="525"/>
      <c r="AR12" s="544"/>
      <c r="AS12" s="525"/>
      <c r="AT12" s="525"/>
      <c r="AU12" s="525"/>
      <c r="AV12" s="525"/>
      <c r="AW12" s="525"/>
      <c r="AX12" s="528">
        <f t="shared" si="11"/>
        <v>0</v>
      </c>
      <c r="AY12" s="614"/>
      <c r="AZ12" s="525"/>
      <c r="BA12" s="615"/>
      <c r="BB12" s="533"/>
      <c r="BC12" s="533"/>
      <c r="BD12" s="525"/>
      <c r="BE12" s="525"/>
      <c r="BF12" s="544"/>
      <c r="BG12" s="525"/>
      <c r="BH12" s="525"/>
      <c r="BI12" s="525"/>
      <c r="BJ12" s="608"/>
      <c r="BK12" s="528">
        <f t="shared" ref="BK12:BK111" si="19">SUM(AY12:BJ12)</f>
        <v>0</v>
      </c>
      <c r="BL12" s="614"/>
      <c r="BM12" s="525"/>
      <c r="BN12" s="526"/>
      <c r="BO12" s="544"/>
      <c r="BP12" s="533"/>
      <c r="BQ12" s="526"/>
      <c r="BR12" s="544"/>
      <c r="BS12" s="525"/>
      <c r="BT12" s="525"/>
      <c r="BU12" s="525"/>
      <c r="BV12" s="525"/>
      <c r="BW12" s="608"/>
      <c r="BX12" s="528">
        <f t="shared" si="15"/>
        <v>0</v>
      </c>
      <c r="BY12" s="525"/>
      <c r="BZ12" s="525"/>
      <c r="CA12" s="525"/>
      <c r="CB12" s="619"/>
      <c r="CC12" s="525"/>
      <c r="CD12" s="619"/>
      <c r="CE12" s="619"/>
      <c r="CF12" s="525"/>
      <c r="CG12" s="619"/>
      <c r="CH12" s="525"/>
      <c r="CI12" s="525"/>
      <c r="CJ12" s="525"/>
      <c r="CK12" s="528">
        <f t="shared" si="12"/>
        <v>0</v>
      </c>
      <c r="CL12" s="526"/>
      <c r="CM12" s="525"/>
      <c r="CN12" s="809"/>
      <c r="CO12" s="619"/>
      <c r="CP12" s="542">
        <f>(30820+32086)*1.025</f>
        <v>64478.649999999994</v>
      </c>
      <c r="CQ12" s="515"/>
      <c r="CR12" s="848"/>
      <c r="CS12" s="515"/>
      <c r="CT12" s="848"/>
      <c r="CU12" s="515"/>
      <c r="CV12" s="525"/>
      <c r="CW12" s="525"/>
      <c r="CX12" s="528">
        <f t="shared" si="16"/>
        <v>64478.649999999994</v>
      </c>
      <c r="CY12" s="881"/>
      <c r="CZ12" s="541"/>
      <c r="DA12" s="541"/>
      <c r="DB12" s="541"/>
      <c r="DC12" s="541"/>
      <c r="DD12" s="541"/>
      <c r="DE12" s="541"/>
      <c r="DF12" s="541"/>
      <c r="DG12" s="541"/>
      <c r="DK12" s="528">
        <f t="shared" si="17"/>
        <v>0</v>
      </c>
      <c r="DX12" s="519">
        <f t="shared" si="18"/>
        <v>0</v>
      </c>
    </row>
    <row r="13" spans="2:128" ht="15">
      <c r="B13" s="480" t="s">
        <v>555</v>
      </c>
      <c r="C13" s="512"/>
      <c r="D13" s="512"/>
      <c r="E13" s="512"/>
      <c r="F13" s="512"/>
      <c r="G13" s="512"/>
      <c r="H13" s="512"/>
      <c r="I13" s="512"/>
      <c r="J13" s="512"/>
      <c r="K13" s="512"/>
      <c r="L13" s="512"/>
      <c r="M13" s="512"/>
      <c r="N13" s="512"/>
      <c r="O13" s="514">
        <f t="shared" si="9"/>
        <v>0</v>
      </c>
      <c r="P13" s="534"/>
      <c r="Q13" s="534"/>
      <c r="R13" s="534"/>
      <c r="S13" s="534"/>
      <c r="T13" s="534"/>
      <c r="U13" s="534"/>
      <c r="V13" s="534"/>
      <c r="W13" s="544"/>
      <c r="X13" s="525"/>
      <c r="Y13" s="525"/>
      <c r="Z13" s="525"/>
      <c r="AA13" s="525"/>
      <c r="AB13" s="605">
        <f t="shared" si="10"/>
        <v>0</v>
      </c>
      <c r="AC13" s="620"/>
      <c r="AD13" s="616"/>
      <c r="AE13" s="534"/>
      <c r="AF13" s="534"/>
      <c r="AG13" s="534"/>
      <c r="AH13" s="534"/>
      <c r="AI13" s="544"/>
      <c r="AJ13" s="616"/>
      <c r="AK13" s="607">
        <f t="shared" si="13"/>
        <v>0</v>
      </c>
      <c r="AL13" s="616"/>
      <c r="AM13" s="617"/>
      <c r="AN13" s="617"/>
      <c r="AO13" s="617"/>
      <c r="AP13" s="525"/>
      <c r="AQ13" s="525"/>
      <c r="AR13" s="544"/>
      <c r="AS13" s="533"/>
      <c r="AT13" s="533"/>
      <c r="AU13" s="533"/>
      <c r="AV13" s="533"/>
      <c r="AW13" s="533"/>
      <c r="AX13" s="528">
        <f t="shared" si="11"/>
        <v>0</v>
      </c>
      <c r="AY13" s="614"/>
      <c r="AZ13" s="533"/>
      <c r="BA13" s="535"/>
      <c r="BB13" s="533"/>
      <c r="BC13" s="533"/>
      <c r="BD13" s="525"/>
      <c r="BE13" s="544"/>
      <c r="BF13" s="525"/>
      <c r="BG13" s="525"/>
      <c r="BH13" s="525"/>
      <c r="BI13" s="525"/>
      <c r="BJ13" s="608"/>
      <c r="BK13" s="528">
        <f t="shared" si="19"/>
        <v>0</v>
      </c>
      <c r="BL13" s="614"/>
      <c r="BM13" s="533"/>
      <c r="BN13" s="535"/>
      <c r="BO13" s="533"/>
      <c r="BP13" s="533"/>
      <c r="BQ13" s="526"/>
      <c r="BR13" s="544"/>
      <c r="BS13" s="525"/>
      <c r="BT13" s="525"/>
      <c r="BU13" s="525"/>
      <c r="BV13" s="525"/>
      <c r="BW13" s="608"/>
      <c r="BX13" s="528">
        <f t="shared" si="15"/>
        <v>0</v>
      </c>
      <c r="BY13" s="525"/>
      <c r="BZ13" s="525"/>
      <c r="CA13" s="525"/>
      <c r="CB13" s="525"/>
      <c r="CC13" s="525"/>
      <c r="CD13" s="544"/>
      <c r="CE13" s="525"/>
      <c r="CF13" s="525"/>
      <c r="CG13" s="525"/>
      <c r="CH13" s="525"/>
      <c r="CI13" s="525"/>
      <c r="CJ13" s="525"/>
      <c r="CK13" s="528">
        <f t="shared" si="12"/>
        <v>0</v>
      </c>
      <c r="CL13" s="526"/>
      <c r="CM13" s="525"/>
      <c r="CN13" s="526"/>
      <c r="CO13" s="525"/>
      <c r="CP13" s="515"/>
      <c r="CQ13" s="542">
        <f>(29908+30643+31833)*1.025</f>
        <v>94693.599999999991</v>
      </c>
      <c r="CR13" s="515"/>
      <c r="CS13" s="515"/>
      <c r="CT13" s="515"/>
      <c r="CU13" s="515"/>
      <c r="CV13" s="525"/>
      <c r="CW13" s="525"/>
      <c r="CX13" s="528">
        <f t="shared" si="16"/>
        <v>94693.599999999991</v>
      </c>
      <c r="CY13" s="881"/>
      <c r="CZ13" s="541"/>
      <c r="DA13" s="541"/>
      <c r="DB13" s="541"/>
      <c r="DC13" s="541"/>
      <c r="DD13" s="848"/>
      <c r="DE13" s="541"/>
      <c r="DF13" s="541"/>
      <c r="DG13" s="541"/>
      <c r="DK13" s="528">
        <f t="shared" si="17"/>
        <v>0</v>
      </c>
      <c r="DX13" s="519">
        <f t="shared" si="18"/>
        <v>0</v>
      </c>
    </row>
    <row r="14" spans="2:128" ht="15">
      <c r="B14" s="480" t="s">
        <v>560</v>
      </c>
      <c r="C14" s="512"/>
      <c r="D14" s="512"/>
      <c r="E14" s="512"/>
      <c r="F14" s="512"/>
      <c r="G14" s="512"/>
      <c r="H14" s="512"/>
      <c r="I14" s="512"/>
      <c r="J14" s="512"/>
      <c r="K14" s="512"/>
      <c r="L14" s="512"/>
      <c r="M14" s="512"/>
      <c r="N14" s="512"/>
      <c r="O14" s="514"/>
      <c r="P14" s="534"/>
      <c r="Q14" s="534"/>
      <c r="R14" s="534"/>
      <c r="S14" s="534"/>
      <c r="T14" s="534"/>
      <c r="U14" s="534"/>
      <c r="V14" s="534"/>
      <c r="W14" s="544"/>
      <c r="X14" s="525"/>
      <c r="Y14" s="525"/>
      <c r="Z14" s="525"/>
      <c r="AA14" s="525"/>
      <c r="AB14" s="605"/>
      <c r="AC14" s="620"/>
      <c r="AD14" s="616"/>
      <c r="AE14" s="534"/>
      <c r="AF14" s="534"/>
      <c r="AG14" s="534"/>
      <c r="AH14" s="534"/>
      <c r="AI14" s="544"/>
      <c r="AJ14" s="616"/>
      <c r="AK14" s="607"/>
      <c r="AL14" s="616"/>
      <c r="AM14" s="617"/>
      <c r="AN14" s="617"/>
      <c r="AO14" s="617"/>
      <c r="AP14" s="525"/>
      <c r="AQ14" s="525"/>
      <c r="AR14" s="544"/>
      <c r="AS14" s="533"/>
      <c r="AT14" s="533"/>
      <c r="AU14" s="533"/>
      <c r="AV14" s="533"/>
      <c r="AW14" s="533"/>
      <c r="AX14" s="528"/>
      <c r="AY14" s="533"/>
      <c r="AZ14" s="533"/>
      <c r="BA14" s="535"/>
      <c r="BB14" s="533"/>
      <c r="BC14" s="533"/>
      <c r="BD14" s="525"/>
      <c r="BE14" s="544"/>
      <c r="BF14" s="525"/>
      <c r="BG14" s="525"/>
      <c r="BH14" s="525"/>
      <c r="BI14" s="525"/>
      <c r="BJ14" s="525"/>
      <c r="BK14" s="528"/>
      <c r="BL14" s="614"/>
      <c r="BM14" s="533"/>
      <c r="BN14" s="535"/>
      <c r="BO14" s="533"/>
      <c r="BP14" s="533"/>
      <c r="BQ14" s="526"/>
      <c r="BR14" s="544"/>
      <c r="BS14" s="525"/>
      <c r="BT14" s="525"/>
      <c r="BU14" s="525"/>
      <c r="BV14" s="525"/>
      <c r="BW14" s="608"/>
      <c r="BX14" s="528"/>
      <c r="BY14" s="525"/>
      <c r="BZ14" s="525"/>
      <c r="CA14" s="525"/>
      <c r="CB14" s="525"/>
      <c r="CC14" s="525"/>
      <c r="CD14" s="544"/>
      <c r="CE14" s="525"/>
      <c r="CF14" s="525"/>
      <c r="CG14" s="525"/>
      <c r="CH14" s="525"/>
      <c r="CI14" s="525"/>
      <c r="CJ14" s="525"/>
      <c r="CK14" s="528"/>
      <c r="CL14" s="526"/>
      <c r="CM14" s="525"/>
      <c r="CN14" s="526"/>
      <c r="CO14" s="525"/>
      <c r="CP14" s="515"/>
      <c r="CQ14" s="542">
        <f>(31098+31402)*1.025</f>
        <v>64062.499999999993</v>
      </c>
      <c r="CR14" s="515"/>
      <c r="CS14" s="515"/>
      <c r="CT14" s="515"/>
      <c r="CU14" s="515"/>
      <c r="CV14" s="525"/>
      <c r="CW14" s="525"/>
      <c r="CX14" s="528">
        <f t="shared" ref="CX14:CX50" si="20">SUM(CL14:CW14)</f>
        <v>64062.499999999993</v>
      </c>
      <c r="CY14" s="881"/>
      <c r="CZ14" s="541"/>
      <c r="DA14" s="541"/>
      <c r="DB14" s="541"/>
      <c r="DC14" s="541"/>
      <c r="DD14" s="848"/>
      <c r="DE14" s="541"/>
      <c r="DF14" s="541"/>
      <c r="DG14" s="541"/>
      <c r="DK14" s="528"/>
      <c r="DX14" s="519"/>
    </row>
    <row r="15" spans="2:128" ht="15">
      <c r="B15" s="480" t="s">
        <v>561</v>
      </c>
      <c r="C15" s="512"/>
      <c r="D15" s="512"/>
      <c r="E15" s="512"/>
      <c r="F15" s="512"/>
      <c r="G15" s="512"/>
      <c r="H15" s="512"/>
      <c r="I15" s="512"/>
      <c r="J15" s="512"/>
      <c r="K15" s="512"/>
      <c r="L15" s="512"/>
      <c r="M15" s="512"/>
      <c r="N15" s="512"/>
      <c r="O15" s="514"/>
      <c r="P15" s="534"/>
      <c r="Q15" s="534"/>
      <c r="R15" s="534"/>
      <c r="S15" s="534"/>
      <c r="T15" s="534"/>
      <c r="U15" s="534"/>
      <c r="V15" s="534"/>
      <c r="W15" s="544"/>
      <c r="X15" s="525"/>
      <c r="Y15" s="525"/>
      <c r="Z15" s="525"/>
      <c r="AA15" s="525"/>
      <c r="AB15" s="605"/>
      <c r="AC15" s="620"/>
      <c r="AD15" s="616"/>
      <c r="AE15" s="534"/>
      <c r="AF15" s="534"/>
      <c r="AG15" s="534"/>
      <c r="AH15" s="534"/>
      <c r="AI15" s="544"/>
      <c r="AJ15" s="616"/>
      <c r="AK15" s="607"/>
      <c r="AL15" s="616"/>
      <c r="AM15" s="617"/>
      <c r="AN15" s="617"/>
      <c r="AO15" s="617"/>
      <c r="AP15" s="525"/>
      <c r="AQ15" s="525"/>
      <c r="AR15" s="544"/>
      <c r="AS15" s="533"/>
      <c r="AT15" s="533"/>
      <c r="AU15" s="533"/>
      <c r="AV15" s="533"/>
      <c r="AW15" s="533"/>
      <c r="AX15" s="528"/>
      <c r="AY15" s="533"/>
      <c r="AZ15" s="533"/>
      <c r="BA15" s="535"/>
      <c r="BB15" s="533"/>
      <c r="BC15" s="533"/>
      <c r="BD15" s="525"/>
      <c r="BE15" s="544"/>
      <c r="BF15" s="525"/>
      <c r="BG15" s="525"/>
      <c r="BH15" s="525"/>
      <c r="BI15" s="525"/>
      <c r="BJ15" s="525"/>
      <c r="BK15" s="528"/>
      <c r="BL15" s="614"/>
      <c r="BM15" s="533"/>
      <c r="BN15" s="535"/>
      <c r="BO15" s="533"/>
      <c r="BP15" s="533"/>
      <c r="BQ15" s="526"/>
      <c r="BR15" s="544"/>
      <c r="BS15" s="525"/>
      <c r="BT15" s="525"/>
      <c r="BU15" s="525"/>
      <c r="BV15" s="525"/>
      <c r="BW15" s="608"/>
      <c r="BX15" s="528"/>
      <c r="BY15" s="525"/>
      <c r="BZ15" s="525"/>
      <c r="CA15" s="525"/>
      <c r="CB15" s="525"/>
      <c r="CC15" s="525"/>
      <c r="CD15" s="544"/>
      <c r="CE15" s="525"/>
      <c r="CF15" s="525"/>
      <c r="CG15" s="525"/>
      <c r="CH15" s="525"/>
      <c r="CI15" s="525"/>
      <c r="CJ15" s="525"/>
      <c r="CK15" s="528"/>
      <c r="CL15" s="526"/>
      <c r="CM15" s="525"/>
      <c r="CN15" s="526"/>
      <c r="CO15" s="525"/>
      <c r="CP15" s="515"/>
      <c r="CQ15" s="542">
        <f>(30921+31022)*1.025</f>
        <v>63491.574999999997</v>
      </c>
      <c r="CR15" s="515"/>
      <c r="CS15" s="515"/>
      <c r="CT15" s="515"/>
      <c r="CU15" s="515"/>
      <c r="CV15" s="525"/>
      <c r="CW15" s="525"/>
      <c r="CX15" s="528">
        <f t="shared" si="20"/>
        <v>63491.574999999997</v>
      </c>
      <c r="CY15" s="881"/>
      <c r="CZ15" s="541"/>
      <c r="DA15" s="541"/>
      <c r="DB15" s="541"/>
      <c r="DC15" s="541"/>
      <c r="DD15" s="848"/>
      <c r="DE15" s="541"/>
      <c r="DF15" s="541"/>
      <c r="DG15" s="541"/>
      <c r="DK15" s="528"/>
      <c r="DX15" s="519"/>
    </row>
    <row r="16" spans="2:128" ht="15">
      <c r="B16" s="480" t="s">
        <v>562</v>
      </c>
      <c r="C16" s="512"/>
      <c r="D16" s="512"/>
      <c r="E16" s="512"/>
      <c r="F16" s="512"/>
      <c r="G16" s="512"/>
      <c r="H16" s="512"/>
      <c r="I16" s="512"/>
      <c r="J16" s="512"/>
      <c r="K16" s="512"/>
      <c r="L16" s="512"/>
      <c r="M16" s="512"/>
      <c r="N16" s="512"/>
      <c r="O16" s="514"/>
      <c r="P16" s="534"/>
      <c r="Q16" s="534"/>
      <c r="R16" s="534"/>
      <c r="S16" s="534"/>
      <c r="T16" s="534"/>
      <c r="U16" s="534"/>
      <c r="V16" s="534"/>
      <c r="W16" s="544"/>
      <c r="X16" s="525"/>
      <c r="Y16" s="525"/>
      <c r="Z16" s="525"/>
      <c r="AA16" s="525"/>
      <c r="AB16" s="605"/>
      <c r="AC16" s="620"/>
      <c r="AD16" s="616"/>
      <c r="AE16" s="534"/>
      <c r="AF16" s="534"/>
      <c r="AG16" s="534"/>
      <c r="AH16" s="534"/>
      <c r="AI16" s="544"/>
      <c r="AJ16" s="616"/>
      <c r="AK16" s="607"/>
      <c r="AL16" s="616"/>
      <c r="AM16" s="617"/>
      <c r="AN16" s="617"/>
      <c r="AO16" s="617"/>
      <c r="AP16" s="525"/>
      <c r="AQ16" s="525"/>
      <c r="AR16" s="544"/>
      <c r="AS16" s="533"/>
      <c r="AT16" s="533"/>
      <c r="AU16" s="533"/>
      <c r="AV16" s="533"/>
      <c r="AW16" s="533"/>
      <c r="AX16" s="528"/>
      <c r="AY16" s="533"/>
      <c r="AZ16" s="533"/>
      <c r="BA16" s="535"/>
      <c r="BB16" s="533"/>
      <c r="BC16" s="533"/>
      <c r="BD16" s="525"/>
      <c r="BE16" s="544"/>
      <c r="BF16" s="525"/>
      <c r="BG16" s="525"/>
      <c r="BH16" s="525"/>
      <c r="BI16" s="525"/>
      <c r="BJ16" s="525"/>
      <c r="BK16" s="528"/>
      <c r="BL16" s="614"/>
      <c r="BM16" s="533"/>
      <c r="BN16" s="535"/>
      <c r="BO16" s="533"/>
      <c r="BP16" s="533"/>
      <c r="BQ16" s="526"/>
      <c r="BR16" s="544"/>
      <c r="BS16" s="525"/>
      <c r="BT16" s="525"/>
      <c r="BU16" s="525"/>
      <c r="BV16" s="525"/>
      <c r="BW16" s="608"/>
      <c r="BX16" s="528"/>
      <c r="BY16" s="525"/>
      <c r="BZ16" s="525"/>
      <c r="CA16" s="525"/>
      <c r="CB16" s="525"/>
      <c r="CC16" s="525"/>
      <c r="CD16" s="544"/>
      <c r="CE16" s="525"/>
      <c r="CF16" s="525"/>
      <c r="CG16" s="525"/>
      <c r="CH16" s="525"/>
      <c r="CI16" s="525"/>
      <c r="CJ16" s="525"/>
      <c r="CK16" s="528"/>
      <c r="CL16" s="526"/>
      <c r="CM16" s="525"/>
      <c r="CN16" s="526"/>
      <c r="CO16" s="525"/>
      <c r="CP16" s="515"/>
      <c r="CQ16" s="542">
        <f>(31073+31022)*1.025</f>
        <v>63647.374999999993</v>
      </c>
      <c r="CR16" s="515"/>
      <c r="CS16" s="515"/>
      <c r="CT16" s="515"/>
      <c r="CU16" s="515"/>
      <c r="CV16" s="525"/>
      <c r="CW16" s="525"/>
      <c r="CX16" s="528">
        <f t="shared" si="20"/>
        <v>63647.374999999993</v>
      </c>
      <c r="CY16" s="881"/>
      <c r="CZ16" s="541"/>
      <c r="DA16" s="541"/>
      <c r="DB16" s="541"/>
      <c r="DC16" s="541"/>
      <c r="DD16" s="848"/>
      <c r="DE16" s="541"/>
      <c r="DF16" s="541"/>
      <c r="DG16" s="541"/>
      <c r="DK16" s="528"/>
      <c r="DX16" s="519"/>
    </row>
    <row r="17" spans="2:128" ht="15">
      <c r="B17" s="480" t="s">
        <v>563</v>
      </c>
      <c r="C17" s="512"/>
      <c r="D17" s="512"/>
      <c r="E17" s="512"/>
      <c r="F17" s="512"/>
      <c r="G17" s="512"/>
      <c r="H17" s="512"/>
      <c r="I17" s="512"/>
      <c r="J17" s="512"/>
      <c r="K17" s="512"/>
      <c r="L17" s="512"/>
      <c r="M17" s="512"/>
      <c r="N17" s="512"/>
      <c r="O17" s="514"/>
      <c r="P17" s="534"/>
      <c r="Q17" s="534"/>
      <c r="R17" s="534"/>
      <c r="S17" s="534"/>
      <c r="T17" s="534"/>
      <c r="U17" s="534"/>
      <c r="V17" s="534"/>
      <c r="W17" s="544"/>
      <c r="X17" s="525"/>
      <c r="Y17" s="525"/>
      <c r="Z17" s="525"/>
      <c r="AA17" s="525"/>
      <c r="AB17" s="605"/>
      <c r="AC17" s="620"/>
      <c r="AD17" s="616"/>
      <c r="AE17" s="534"/>
      <c r="AF17" s="534"/>
      <c r="AG17" s="534"/>
      <c r="AH17" s="534"/>
      <c r="AI17" s="544"/>
      <c r="AJ17" s="616"/>
      <c r="AK17" s="607"/>
      <c r="AL17" s="616"/>
      <c r="AM17" s="617"/>
      <c r="AN17" s="617"/>
      <c r="AO17" s="617"/>
      <c r="AP17" s="525"/>
      <c r="AQ17" s="525"/>
      <c r="AR17" s="544"/>
      <c r="AS17" s="533"/>
      <c r="AT17" s="533"/>
      <c r="AU17" s="533"/>
      <c r="AV17" s="533"/>
      <c r="AW17" s="533"/>
      <c r="AX17" s="528"/>
      <c r="AY17" s="533"/>
      <c r="AZ17" s="533"/>
      <c r="BA17" s="535"/>
      <c r="BB17" s="533"/>
      <c r="BC17" s="533"/>
      <c r="BD17" s="525"/>
      <c r="BE17" s="544"/>
      <c r="BF17" s="525"/>
      <c r="BG17" s="525"/>
      <c r="BH17" s="525"/>
      <c r="BI17" s="525"/>
      <c r="BJ17" s="525"/>
      <c r="BK17" s="528"/>
      <c r="BL17" s="614"/>
      <c r="BM17" s="533"/>
      <c r="BN17" s="535"/>
      <c r="BO17" s="533"/>
      <c r="BP17" s="533"/>
      <c r="BQ17" s="526"/>
      <c r="BR17" s="544"/>
      <c r="BS17" s="525"/>
      <c r="BT17" s="525"/>
      <c r="BU17" s="525"/>
      <c r="BV17" s="525"/>
      <c r="BW17" s="608"/>
      <c r="BX17" s="528"/>
      <c r="BY17" s="525"/>
      <c r="BZ17" s="525"/>
      <c r="CA17" s="525"/>
      <c r="CB17" s="525"/>
      <c r="CC17" s="525"/>
      <c r="CD17" s="544"/>
      <c r="CE17" s="525"/>
      <c r="CF17" s="525"/>
      <c r="CG17" s="525"/>
      <c r="CH17" s="525"/>
      <c r="CI17" s="525"/>
      <c r="CJ17" s="525"/>
      <c r="CK17" s="528"/>
      <c r="CL17" s="526"/>
      <c r="CM17" s="525"/>
      <c r="CN17" s="526"/>
      <c r="CO17" s="525"/>
      <c r="CP17" s="515"/>
      <c r="CQ17" s="542">
        <f>(30972+30567)*1.025</f>
        <v>63077.474999999991</v>
      </c>
      <c r="CR17" s="515"/>
      <c r="CS17" s="515"/>
      <c r="CT17" s="515"/>
      <c r="CU17" s="515"/>
      <c r="CV17" s="525"/>
      <c r="CW17" s="525"/>
      <c r="CX17" s="528">
        <f t="shared" si="20"/>
        <v>63077.474999999991</v>
      </c>
      <c r="CY17" s="881"/>
      <c r="CZ17" s="541"/>
      <c r="DA17" s="541"/>
      <c r="DB17" s="541"/>
      <c r="DC17" s="541"/>
      <c r="DD17" s="848"/>
      <c r="DE17" s="541"/>
      <c r="DF17" s="541"/>
      <c r="DG17" s="541"/>
      <c r="DK17" s="528"/>
      <c r="DX17" s="519"/>
    </row>
    <row r="18" spans="2:128" ht="15">
      <c r="B18" s="480" t="s">
        <v>564</v>
      </c>
      <c r="C18" s="512"/>
      <c r="D18" s="512"/>
      <c r="E18" s="512"/>
      <c r="F18" s="512"/>
      <c r="G18" s="512"/>
      <c r="H18" s="512"/>
      <c r="I18" s="512"/>
      <c r="J18" s="512"/>
      <c r="K18" s="512"/>
      <c r="L18" s="512"/>
      <c r="M18" s="512"/>
      <c r="N18" s="512"/>
      <c r="O18" s="514"/>
      <c r="P18" s="534"/>
      <c r="Q18" s="534"/>
      <c r="R18" s="534"/>
      <c r="S18" s="534"/>
      <c r="T18" s="534"/>
      <c r="U18" s="534"/>
      <c r="V18" s="534"/>
      <c r="W18" s="544"/>
      <c r="X18" s="525"/>
      <c r="Y18" s="525"/>
      <c r="Z18" s="525"/>
      <c r="AA18" s="525"/>
      <c r="AB18" s="605"/>
      <c r="AC18" s="620"/>
      <c r="AD18" s="616"/>
      <c r="AE18" s="534"/>
      <c r="AF18" s="534"/>
      <c r="AG18" s="534"/>
      <c r="AH18" s="534"/>
      <c r="AI18" s="544"/>
      <c r="AJ18" s="616"/>
      <c r="AK18" s="607"/>
      <c r="AL18" s="616"/>
      <c r="AM18" s="617"/>
      <c r="AN18" s="617"/>
      <c r="AO18" s="617"/>
      <c r="AP18" s="525"/>
      <c r="AQ18" s="525"/>
      <c r="AR18" s="544"/>
      <c r="AS18" s="533"/>
      <c r="AT18" s="533"/>
      <c r="AU18" s="533"/>
      <c r="AV18" s="533"/>
      <c r="AW18" s="533"/>
      <c r="AX18" s="528"/>
      <c r="AY18" s="533"/>
      <c r="AZ18" s="533"/>
      <c r="BA18" s="535"/>
      <c r="BB18" s="533"/>
      <c r="BC18" s="533"/>
      <c r="BD18" s="525"/>
      <c r="BE18" s="544"/>
      <c r="BF18" s="525"/>
      <c r="BG18" s="525"/>
      <c r="BH18" s="525"/>
      <c r="BI18" s="525"/>
      <c r="BJ18" s="525"/>
      <c r="BK18" s="528"/>
      <c r="BL18" s="614"/>
      <c r="BM18" s="533"/>
      <c r="BN18" s="535"/>
      <c r="BO18" s="533"/>
      <c r="BP18" s="533"/>
      <c r="BQ18" s="526"/>
      <c r="BR18" s="544"/>
      <c r="BS18" s="525"/>
      <c r="BT18" s="525"/>
      <c r="BU18" s="525"/>
      <c r="BV18" s="525"/>
      <c r="BW18" s="608"/>
      <c r="BX18" s="528"/>
      <c r="BY18" s="525"/>
      <c r="BZ18" s="525"/>
      <c r="CA18" s="525"/>
      <c r="CB18" s="525"/>
      <c r="CC18" s="525"/>
      <c r="CD18" s="544"/>
      <c r="CE18" s="525"/>
      <c r="CF18" s="525"/>
      <c r="CG18" s="525"/>
      <c r="CH18" s="525"/>
      <c r="CI18" s="525"/>
      <c r="CJ18" s="525"/>
      <c r="CK18" s="528"/>
      <c r="CL18" s="526"/>
      <c r="CM18" s="525"/>
      <c r="CN18" s="526"/>
      <c r="CO18" s="525"/>
      <c r="CP18" s="515"/>
      <c r="CQ18" s="542">
        <f>(31402+30845)*1.025</f>
        <v>63803.174999999996</v>
      </c>
      <c r="CR18" s="515"/>
      <c r="CS18" s="515"/>
      <c r="CT18" s="515"/>
      <c r="CU18" s="515"/>
      <c r="CV18" s="525"/>
      <c r="CW18" s="525"/>
      <c r="CX18" s="528">
        <f t="shared" si="20"/>
        <v>63803.174999999996</v>
      </c>
      <c r="CY18" s="881"/>
      <c r="CZ18" s="541"/>
      <c r="DA18" s="541"/>
      <c r="DB18" s="541"/>
      <c r="DC18" s="541"/>
      <c r="DD18" s="848"/>
      <c r="DE18" s="541"/>
      <c r="DF18" s="541"/>
      <c r="DG18" s="541"/>
      <c r="DK18" s="528"/>
      <c r="DX18" s="519"/>
    </row>
    <row r="19" spans="2:128" ht="15">
      <c r="B19" s="480" t="s">
        <v>565</v>
      </c>
      <c r="C19" s="512"/>
      <c r="D19" s="512"/>
      <c r="E19" s="512"/>
      <c r="F19" s="512"/>
      <c r="G19" s="512"/>
      <c r="H19" s="512"/>
      <c r="I19" s="512"/>
      <c r="J19" s="512"/>
      <c r="K19" s="512"/>
      <c r="L19" s="512"/>
      <c r="M19" s="512"/>
      <c r="N19" s="512"/>
      <c r="O19" s="514"/>
      <c r="P19" s="534"/>
      <c r="Q19" s="534"/>
      <c r="R19" s="534"/>
      <c r="S19" s="534"/>
      <c r="T19" s="534"/>
      <c r="U19" s="534"/>
      <c r="V19" s="534"/>
      <c r="W19" s="544"/>
      <c r="X19" s="525"/>
      <c r="Y19" s="525"/>
      <c r="Z19" s="525"/>
      <c r="AA19" s="525"/>
      <c r="AB19" s="605"/>
      <c r="AC19" s="620"/>
      <c r="AD19" s="616"/>
      <c r="AE19" s="534"/>
      <c r="AF19" s="534"/>
      <c r="AG19" s="534"/>
      <c r="AH19" s="534"/>
      <c r="AI19" s="544"/>
      <c r="AJ19" s="616"/>
      <c r="AK19" s="607"/>
      <c r="AL19" s="616"/>
      <c r="AM19" s="617"/>
      <c r="AN19" s="617"/>
      <c r="AO19" s="617"/>
      <c r="AP19" s="525"/>
      <c r="AQ19" s="525"/>
      <c r="AR19" s="544"/>
      <c r="AS19" s="533"/>
      <c r="AT19" s="533"/>
      <c r="AU19" s="533"/>
      <c r="AV19" s="533"/>
      <c r="AW19" s="533"/>
      <c r="AX19" s="528"/>
      <c r="AY19" s="533"/>
      <c r="AZ19" s="533"/>
      <c r="BA19" s="535"/>
      <c r="BB19" s="533"/>
      <c r="BC19" s="533"/>
      <c r="BD19" s="525"/>
      <c r="BE19" s="544"/>
      <c r="BF19" s="525"/>
      <c r="BG19" s="525"/>
      <c r="BH19" s="525"/>
      <c r="BI19" s="525"/>
      <c r="BJ19" s="525"/>
      <c r="BK19" s="528"/>
      <c r="BL19" s="614"/>
      <c r="BM19" s="533"/>
      <c r="BN19" s="535"/>
      <c r="BO19" s="533"/>
      <c r="BP19" s="533"/>
      <c r="BQ19" s="526"/>
      <c r="BR19" s="544"/>
      <c r="BS19" s="525"/>
      <c r="BT19" s="525"/>
      <c r="BU19" s="525"/>
      <c r="BV19" s="525"/>
      <c r="BW19" s="608"/>
      <c r="BX19" s="528"/>
      <c r="BY19" s="525"/>
      <c r="BZ19" s="525"/>
      <c r="CA19" s="525"/>
      <c r="CB19" s="525"/>
      <c r="CC19" s="525"/>
      <c r="CD19" s="544"/>
      <c r="CE19" s="525"/>
      <c r="CF19" s="525"/>
      <c r="CG19" s="525"/>
      <c r="CH19" s="525"/>
      <c r="CI19" s="525"/>
      <c r="CJ19" s="525"/>
      <c r="CK19" s="528"/>
      <c r="CL19" s="526"/>
      <c r="CM19" s="525"/>
      <c r="CN19" s="526"/>
      <c r="CO19" s="525"/>
      <c r="CP19" s="515"/>
      <c r="CQ19" s="542">
        <f>(30415+31250)*1.025</f>
        <v>63206.624999999993</v>
      </c>
      <c r="CR19" s="515"/>
      <c r="CS19" s="515"/>
      <c r="CT19" s="515"/>
      <c r="CU19" s="515"/>
      <c r="CV19" s="525"/>
      <c r="CW19" s="525"/>
      <c r="CX19" s="528">
        <f t="shared" si="20"/>
        <v>63206.624999999993</v>
      </c>
      <c r="CY19" s="881"/>
      <c r="CZ19" s="541"/>
      <c r="DA19" s="541"/>
      <c r="DB19" s="541"/>
      <c r="DC19" s="541"/>
      <c r="DD19" s="848"/>
      <c r="DE19" s="541"/>
      <c r="DF19" s="541"/>
      <c r="DG19" s="541"/>
      <c r="DK19" s="528"/>
      <c r="DX19" s="519"/>
    </row>
    <row r="20" spans="2:128" ht="15">
      <c r="B20" s="480" t="s">
        <v>568</v>
      </c>
      <c r="C20" s="512"/>
      <c r="D20" s="512"/>
      <c r="E20" s="512"/>
      <c r="F20" s="512"/>
      <c r="G20" s="512"/>
      <c r="H20" s="512"/>
      <c r="I20" s="512"/>
      <c r="J20" s="512"/>
      <c r="K20" s="512"/>
      <c r="L20" s="512"/>
      <c r="M20" s="512"/>
      <c r="N20" s="512"/>
      <c r="O20" s="514"/>
      <c r="P20" s="534"/>
      <c r="Q20" s="534"/>
      <c r="R20" s="534"/>
      <c r="S20" s="534"/>
      <c r="T20" s="534"/>
      <c r="U20" s="534"/>
      <c r="V20" s="534"/>
      <c r="W20" s="544"/>
      <c r="X20" s="525"/>
      <c r="Y20" s="525"/>
      <c r="Z20" s="525"/>
      <c r="AA20" s="525"/>
      <c r="AB20" s="605"/>
      <c r="AC20" s="620"/>
      <c r="AD20" s="616"/>
      <c r="AE20" s="534"/>
      <c r="AF20" s="534"/>
      <c r="AG20" s="534"/>
      <c r="AH20" s="534"/>
      <c r="AI20" s="544"/>
      <c r="AJ20" s="616"/>
      <c r="AK20" s="607"/>
      <c r="AL20" s="616"/>
      <c r="AM20" s="617"/>
      <c r="AN20" s="617"/>
      <c r="AO20" s="617"/>
      <c r="AP20" s="525"/>
      <c r="AQ20" s="525"/>
      <c r="AR20" s="544"/>
      <c r="AS20" s="533"/>
      <c r="AT20" s="533"/>
      <c r="AU20" s="533"/>
      <c r="AV20" s="533"/>
      <c r="AW20" s="533"/>
      <c r="AX20" s="528"/>
      <c r="AY20" s="533"/>
      <c r="AZ20" s="533"/>
      <c r="BA20" s="535"/>
      <c r="BB20" s="533"/>
      <c r="BC20" s="533"/>
      <c r="BD20" s="525"/>
      <c r="BE20" s="544"/>
      <c r="BF20" s="525"/>
      <c r="BG20" s="525"/>
      <c r="BH20" s="525"/>
      <c r="BI20" s="525"/>
      <c r="BJ20" s="525"/>
      <c r="BK20" s="528"/>
      <c r="BL20" s="614"/>
      <c r="BM20" s="533"/>
      <c r="BN20" s="535"/>
      <c r="BO20" s="533"/>
      <c r="BP20" s="533"/>
      <c r="BQ20" s="526"/>
      <c r="BR20" s="544"/>
      <c r="BS20" s="525"/>
      <c r="BT20" s="525"/>
      <c r="BU20" s="525"/>
      <c r="BV20" s="525"/>
      <c r="BW20" s="608"/>
      <c r="BX20" s="528"/>
      <c r="BY20" s="525"/>
      <c r="BZ20" s="525"/>
      <c r="CA20" s="525"/>
      <c r="CB20" s="525"/>
      <c r="CC20" s="525"/>
      <c r="CD20" s="544"/>
      <c r="CE20" s="525"/>
      <c r="CF20" s="525"/>
      <c r="CG20" s="525"/>
      <c r="CH20" s="525"/>
      <c r="CI20" s="525"/>
      <c r="CJ20" s="525"/>
      <c r="CK20" s="528"/>
      <c r="CL20" s="526"/>
      <c r="CM20" s="525"/>
      <c r="CN20" s="526"/>
      <c r="CO20" s="525"/>
      <c r="CP20" s="525"/>
      <c r="CQ20" s="544">
        <f>-450*2-360</f>
        <v>-1260</v>
      </c>
      <c r="CR20" s="525"/>
      <c r="CS20" s="525"/>
      <c r="CT20" s="525"/>
      <c r="CU20" s="525"/>
      <c r="CV20" s="525"/>
      <c r="CW20" s="525"/>
      <c r="CX20" s="528">
        <f t="shared" si="20"/>
        <v>-1260</v>
      </c>
      <c r="CY20" s="881"/>
      <c r="CZ20" s="541"/>
      <c r="DA20" s="541"/>
      <c r="DB20" s="541"/>
      <c r="DC20" s="541"/>
      <c r="DD20" s="848"/>
      <c r="DE20" s="541"/>
      <c r="DF20" s="541"/>
      <c r="DG20" s="541"/>
      <c r="DK20" s="528"/>
      <c r="DX20" s="519"/>
    </row>
    <row r="21" spans="2:128" s="821" customFormat="1" ht="15.75" thickBot="1">
      <c r="B21" s="844" t="s">
        <v>606</v>
      </c>
      <c r="C21" s="822"/>
      <c r="D21" s="822"/>
      <c r="E21" s="822"/>
      <c r="F21" s="822"/>
      <c r="G21" s="822"/>
      <c r="H21" s="822"/>
      <c r="I21" s="822"/>
      <c r="J21" s="822"/>
      <c r="K21" s="822"/>
      <c r="L21" s="822"/>
      <c r="M21" s="822"/>
      <c r="N21" s="822"/>
      <c r="O21" s="823">
        <f t="shared" si="9"/>
        <v>0</v>
      </c>
      <c r="P21" s="824"/>
      <c r="Q21" s="824"/>
      <c r="R21" s="824"/>
      <c r="S21" s="824"/>
      <c r="T21" s="824"/>
      <c r="U21" s="824"/>
      <c r="V21" s="824"/>
      <c r="W21" s="825"/>
      <c r="X21" s="826"/>
      <c r="Y21" s="826"/>
      <c r="Z21" s="826"/>
      <c r="AA21" s="826"/>
      <c r="AB21" s="827">
        <f t="shared" si="10"/>
        <v>0</v>
      </c>
      <c r="AC21" s="828"/>
      <c r="AD21" s="825"/>
      <c r="AE21" s="829"/>
      <c r="AF21" s="829"/>
      <c r="AG21" s="829"/>
      <c r="AH21" s="829"/>
      <c r="AI21" s="824"/>
      <c r="AJ21" s="825"/>
      <c r="AK21" s="830">
        <f t="shared" si="13"/>
        <v>0</v>
      </c>
      <c r="AL21" s="829"/>
      <c r="AM21" s="831"/>
      <c r="AN21" s="831"/>
      <c r="AO21" s="831"/>
      <c r="AP21" s="826"/>
      <c r="AQ21" s="825"/>
      <c r="AR21" s="832"/>
      <c r="AS21" s="832"/>
      <c r="AT21" s="832"/>
      <c r="AU21" s="832"/>
      <c r="AV21" s="826"/>
      <c r="AW21" s="838"/>
      <c r="AX21" s="833">
        <f t="shared" si="11"/>
        <v>0</v>
      </c>
      <c r="AY21" s="825"/>
      <c r="AZ21" s="832"/>
      <c r="BA21" s="835"/>
      <c r="BB21" s="832"/>
      <c r="BC21" s="826"/>
      <c r="BD21" s="826"/>
      <c r="BE21" s="826"/>
      <c r="BF21" s="825"/>
      <c r="BG21" s="826"/>
      <c r="BH21" s="826"/>
      <c r="BI21" s="826"/>
      <c r="BJ21" s="825"/>
      <c r="BK21" s="833">
        <f>SUM(AY21:BJ21)</f>
        <v>0</v>
      </c>
      <c r="BL21" s="834"/>
      <c r="BM21" s="832"/>
      <c r="BN21" s="835"/>
      <c r="BO21" s="832"/>
      <c r="BP21" s="826"/>
      <c r="BQ21" s="840"/>
      <c r="BR21" s="826"/>
      <c r="BS21" s="826"/>
      <c r="BT21" s="826"/>
      <c r="BU21" s="826"/>
      <c r="BV21" s="825"/>
      <c r="BW21" s="836"/>
      <c r="BX21" s="833">
        <f t="shared" si="15"/>
        <v>0</v>
      </c>
      <c r="BY21" s="826"/>
      <c r="BZ21" s="826"/>
      <c r="CA21" s="826"/>
      <c r="CB21" s="826"/>
      <c r="CC21" s="826"/>
      <c r="CD21" s="839"/>
      <c r="CE21" s="839"/>
      <c r="CF21" s="839"/>
      <c r="CG21" s="839"/>
      <c r="CH21" s="839"/>
      <c r="CI21" s="839"/>
      <c r="CJ21" s="826"/>
      <c r="CK21" s="833">
        <f t="shared" si="12"/>
        <v>0</v>
      </c>
      <c r="CL21" s="837"/>
      <c r="CM21" s="826"/>
      <c r="CN21" s="837"/>
      <c r="CO21" s="826"/>
      <c r="CP21" s="825">
        <f>2015*3*1.21</f>
        <v>7314.45</v>
      </c>
      <c r="CQ21" s="845">
        <f>45*1.21+(450+450)*1.21+112.5*1.21*2+45*2*1.21+(2015+50.98)*19*1.21+2015*1.21+0.02+(2015+50.98)*7*1.21</f>
        <v>68958.500799999994</v>
      </c>
      <c r="CR21" s="849"/>
      <c r="CS21" s="832"/>
      <c r="CT21" s="839"/>
      <c r="CU21" s="839"/>
      <c r="CV21" s="839"/>
      <c r="CW21" s="826"/>
      <c r="CX21" s="833">
        <f t="shared" si="20"/>
        <v>76272.950799999991</v>
      </c>
      <c r="CY21" s="882"/>
      <c r="CZ21" s="860"/>
      <c r="DA21" s="860"/>
      <c r="DB21" s="860"/>
      <c r="DC21" s="860"/>
      <c r="DD21" s="860"/>
      <c r="DE21" s="860"/>
      <c r="DF21" s="860"/>
      <c r="DG21" s="860"/>
      <c r="DK21" s="833">
        <f t="shared" si="17"/>
        <v>0</v>
      </c>
      <c r="DX21" s="843">
        <f t="shared" si="18"/>
        <v>0</v>
      </c>
    </row>
    <row r="22" spans="2:128" ht="15">
      <c r="B22" s="589" t="s">
        <v>570</v>
      </c>
      <c r="C22" s="512"/>
      <c r="D22" s="512"/>
      <c r="E22" s="512"/>
      <c r="F22" s="512"/>
      <c r="G22" s="512">
        <v>0</v>
      </c>
      <c r="H22" s="512">
        <v>5000</v>
      </c>
      <c r="I22" s="512"/>
      <c r="J22" s="512"/>
      <c r="K22" s="512"/>
      <c r="L22" s="512"/>
      <c r="M22" s="512"/>
      <c r="N22" s="512"/>
      <c r="O22" s="514">
        <f t="shared" si="9"/>
        <v>5000</v>
      </c>
      <c r="P22" s="534"/>
      <c r="Q22" s="534"/>
      <c r="R22" s="534"/>
      <c r="S22" s="534"/>
      <c r="T22" s="534"/>
      <c r="U22" s="534"/>
      <c r="V22" s="534"/>
      <c r="W22" s="544"/>
      <c r="X22" s="534"/>
      <c r="Y22" s="525"/>
      <c r="Z22" s="525"/>
      <c r="AA22" s="525"/>
      <c r="AB22" s="605">
        <f t="shared" si="10"/>
        <v>0</v>
      </c>
      <c r="AC22" s="613"/>
      <c r="AD22" s="534"/>
      <c r="AE22" s="616"/>
      <c r="AF22" s="616"/>
      <c r="AG22" s="616"/>
      <c r="AH22" s="534"/>
      <c r="AI22" s="534"/>
      <c r="AJ22" s="534"/>
      <c r="AK22" s="607">
        <f t="shared" si="13"/>
        <v>0</v>
      </c>
      <c r="AL22" s="616"/>
      <c r="AM22" s="617"/>
      <c r="AN22" s="617"/>
      <c r="AO22" s="617"/>
      <c r="AP22" s="525"/>
      <c r="AQ22" s="533"/>
      <c r="AR22" s="533"/>
      <c r="AS22" s="533"/>
      <c r="AT22" s="533"/>
      <c r="AU22" s="533"/>
      <c r="AV22" s="533"/>
      <c r="AW22" s="533"/>
      <c r="AX22" s="528">
        <f t="shared" si="11"/>
        <v>0</v>
      </c>
      <c r="AY22" s="614"/>
      <c r="AZ22" s="533"/>
      <c r="BA22" s="535"/>
      <c r="BB22" s="533"/>
      <c r="BC22" s="533"/>
      <c r="BD22" s="525"/>
      <c r="BE22" s="525"/>
      <c r="BF22" s="525"/>
      <c r="BG22" s="525"/>
      <c r="BH22" s="525"/>
      <c r="BI22" s="525"/>
      <c r="BJ22" s="608"/>
      <c r="BK22" s="528">
        <f t="shared" si="19"/>
        <v>0</v>
      </c>
      <c r="BL22" s="614"/>
      <c r="BM22" s="533"/>
      <c r="BN22" s="535"/>
      <c r="BO22" s="533"/>
      <c r="BP22" s="533"/>
      <c r="BQ22" s="526"/>
      <c r="BR22" s="525"/>
      <c r="BS22" s="525"/>
      <c r="BT22" s="525"/>
      <c r="BU22" s="525"/>
      <c r="BV22" s="525"/>
      <c r="BW22" s="608"/>
      <c r="BX22" s="528">
        <f t="shared" si="15"/>
        <v>0</v>
      </c>
      <c r="BY22" s="525"/>
      <c r="BZ22" s="525"/>
      <c r="CA22" s="525"/>
      <c r="CB22" s="525"/>
      <c r="CC22" s="525"/>
      <c r="CD22" s="525"/>
      <c r="CE22" s="525"/>
      <c r="CF22" s="525"/>
      <c r="CG22" s="525"/>
      <c r="CH22" s="525"/>
      <c r="CI22" s="525"/>
      <c r="CJ22" s="525"/>
      <c r="CK22" s="528">
        <f t="shared" si="12"/>
        <v>0</v>
      </c>
      <c r="CL22" s="526"/>
      <c r="CM22" s="525"/>
      <c r="CN22" s="526"/>
      <c r="CO22" s="525"/>
      <c r="CP22" s="525"/>
      <c r="CQ22" s="525"/>
      <c r="CR22" s="525"/>
      <c r="CS22" s="525"/>
      <c r="CT22" s="525"/>
      <c r="CU22" s="525"/>
      <c r="CV22" s="525"/>
      <c r="CW22" s="525"/>
      <c r="CX22" s="528">
        <f t="shared" si="20"/>
        <v>0</v>
      </c>
      <c r="CY22" s="583">
        <f>15570-0.15*15570+0.21*15570</f>
        <v>16504.2</v>
      </c>
      <c r="CZ22" s="541"/>
      <c r="DA22" s="541"/>
      <c r="DB22" s="541"/>
      <c r="DC22" s="541"/>
      <c r="DD22" s="541"/>
      <c r="DE22" s="541"/>
      <c r="DF22" s="541"/>
      <c r="DG22" s="541"/>
      <c r="DK22" s="528">
        <f t="shared" si="17"/>
        <v>16504.2</v>
      </c>
      <c r="DX22" s="519">
        <f t="shared" si="18"/>
        <v>0</v>
      </c>
    </row>
    <row r="23" spans="2:128" ht="15">
      <c r="B23" s="480" t="s">
        <v>575</v>
      </c>
      <c r="C23" s="512"/>
      <c r="D23" s="512"/>
      <c r="E23" s="512"/>
      <c r="F23" s="512"/>
      <c r="G23" s="512"/>
      <c r="H23" s="512"/>
      <c r="I23" s="512"/>
      <c r="J23" s="512"/>
      <c r="K23" s="512"/>
      <c r="L23" s="512"/>
      <c r="M23" s="512"/>
      <c r="N23" s="512"/>
      <c r="O23" s="514"/>
      <c r="P23" s="534"/>
      <c r="Q23" s="534"/>
      <c r="R23" s="534"/>
      <c r="S23" s="534"/>
      <c r="T23" s="534"/>
      <c r="U23" s="534"/>
      <c r="V23" s="534"/>
      <c r="W23" s="544"/>
      <c r="X23" s="534"/>
      <c r="Y23" s="525"/>
      <c r="Z23" s="525"/>
      <c r="AA23" s="525"/>
      <c r="AB23" s="605"/>
      <c r="AC23" s="613"/>
      <c r="AD23" s="534"/>
      <c r="AE23" s="616"/>
      <c r="AF23" s="616"/>
      <c r="AG23" s="616"/>
      <c r="AH23" s="534"/>
      <c r="AI23" s="534"/>
      <c r="AJ23" s="534"/>
      <c r="AK23" s="607"/>
      <c r="AL23" s="616"/>
      <c r="AM23" s="617"/>
      <c r="AN23" s="617"/>
      <c r="AO23" s="617"/>
      <c r="AP23" s="525"/>
      <c r="AQ23" s="533"/>
      <c r="AR23" s="533"/>
      <c r="AS23" s="533"/>
      <c r="AT23" s="533"/>
      <c r="AU23" s="533"/>
      <c r="AV23" s="533"/>
      <c r="AW23" s="533"/>
      <c r="AX23" s="528"/>
      <c r="AY23" s="533"/>
      <c r="AZ23" s="533"/>
      <c r="BA23" s="535"/>
      <c r="BB23" s="533"/>
      <c r="BC23" s="533"/>
      <c r="BD23" s="525"/>
      <c r="BE23" s="525"/>
      <c r="BF23" s="525"/>
      <c r="BG23" s="525"/>
      <c r="BH23" s="525"/>
      <c r="BI23" s="525"/>
      <c r="BJ23" s="608"/>
      <c r="BK23" s="528"/>
      <c r="BL23" s="614"/>
      <c r="BM23" s="533"/>
      <c r="BN23" s="535"/>
      <c r="BO23" s="533"/>
      <c r="BP23" s="533"/>
      <c r="BQ23" s="526"/>
      <c r="BR23" s="525"/>
      <c r="BS23" s="525"/>
      <c r="BT23" s="525"/>
      <c r="BU23" s="525"/>
      <c r="BV23" s="525"/>
      <c r="BW23" s="525"/>
      <c r="BX23" s="528"/>
      <c r="BY23" s="525"/>
      <c r="BZ23" s="525"/>
      <c r="CA23" s="525"/>
      <c r="CB23" s="525"/>
      <c r="CC23" s="525"/>
      <c r="CD23" s="525"/>
      <c r="CE23" s="525"/>
      <c r="CF23" s="525"/>
      <c r="CG23" s="525"/>
      <c r="CH23" s="525"/>
      <c r="CI23" s="525"/>
      <c r="CJ23" s="525"/>
      <c r="CK23" s="528"/>
      <c r="CL23" s="526"/>
      <c r="CM23" s="525"/>
      <c r="CN23" s="526"/>
      <c r="CO23" s="525"/>
      <c r="CP23" s="525"/>
      <c r="CQ23" s="525"/>
      <c r="CR23" s="544">
        <f>31326*0.9467</f>
        <v>29656.324199999999</v>
      </c>
      <c r="CS23" s="525"/>
      <c r="CT23" s="525"/>
      <c r="CU23" s="525"/>
      <c r="CV23" s="525"/>
      <c r="CW23" s="525"/>
      <c r="CX23" s="528">
        <f t="shared" si="20"/>
        <v>29656.324199999999</v>
      </c>
      <c r="CY23" s="881"/>
      <c r="CZ23" s="541"/>
      <c r="DA23" s="541"/>
      <c r="DB23" s="541"/>
      <c r="DC23" s="541"/>
      <c r="DD23" s="541"/>
      <c r="DE23" s="541"/>
      <c r="DF23" s="541"/>
      <c r="DG23" s="541"/>
      <c r="DK23" s="528"/>
      <c r="DX23" s="519"/>
    </row>
    <row r="24" spans="2:128" ht="15">
      <c r="B24" s="480" t="s">
        <v>576</v>
      </c>
      <c r="C24" s="512"/>
      <c r="D24" s="512"/>
      <c r="E24" s="512"/>
      <c r="F24" s="512"/>
      <c r="G24" s="512"/>
      <c r="H24" s="512"/>
      <c r="I24" s="512"/>
      <c r="J24" s="512"/>
      <c r="K24" s="512"/>
      <c r="L24" s="512"/>
      <c r="M24" s="512"/>
      <c r="N24" s="512"/>
      <c r="O24" s="514"/>
      <c r="P24" s="534"/>
      <c r="Q24" s="534"/>
      <c r="R24" s="534"/>
      <c r="S24" s="534"/>
      <c r="T24" s="534"/>
      <c r="U24" s="534"/>
      <c r="V24" s="534"/>
      <c r="W24" s="544"/>
      <c r="X24" s="534"/>
      <c r="Y24" s="525"/>
      <c r="Z24" s="525"/>
      <c r="AA24" s="525"/>
      <c r="AB24" s="605"/>
      <c r="AC24" s="613"/>
      <c r="AD24" s="534"/>
      <c r="AE24" s="616"/>
      <c r="AF24" s="616"/>
      <c r="AG24" s="616"/>
      <c r="AH24" s="534"/>
      <c r="AI24" s="534"/>
      <c r="AJ24" s="534"/>
      <c r="AK24" s="607"/>
      <c r="AL24" s="616"/>
      <c r="AM24" s="617"/>
      <c r="AN24" s="617"/>
      <c r="AO24" s="617"/>
      <c r="AP24" s="525"/>
      <c r="AQ24" s="533"/>
      <c r="AR24" s="533"/>
      <c r="AS24" s="533"/>
      <c r="AT24" s="533"/>
      <c r="AU24" s="533"/>
      <c r="AV24" s="533"/>
      <c r="AW24" s="533"/>
      <c r="AX24" s="528"/>
      <c r="AY24" s="533"/>
      <c r="AZ24" s="533"/>
      <c r="BA24" s="535"/>
      <c r="BB24" s="533"/>
      <c r="BC24" s="533"/>
      <c r="BD24" s="525"/>
      <c r="BE24" s="525"/>
      <c r="BF24" s="525"/>
      <c r="BG24" s="525"/>
      <c r="BH24" s="525"/>
      <c r="BI24" s="525"/>
      <c r="BJ24" s="608"/>
      <c r="BK24" s="528"/>
      <c r="BL24" s="614"/>
      <c r="BM24" s="533"/>
      <c r="BN24" s="535"/>
      <c r="BO24" s="533"/>
      <c r="BP24" s="533"/>
      <c r="BQ24" s="526"/>
      <c r="BR24" s="525"/>
      <c r="BS24" s="525"/>
      <c r="BT24" s="525"/>
      <c r="BU24" s="525"/>
      <c r="BV24" s="525"/>
      <c r="BW24" s="525"/>
      <c r="BX24" s="528"/>
      <c r="BY24" s="525"/>
      <c r="BZ24" s="525"/>
      <c r="CA24" s="525"/>
      <c r="CB24" s="525"/>
      <c r="CC24" s="525"/>
      <c r="CD24" s="525"/>
      <c r="CE24" s="525"/>
      <c r="CF24" s="525"/>
      <c r="CG24" s="525"/>
      <c r="CH24" s="525"/>
      <c r="CI24" s="525"/>
      <c r="CJ24" s="525"/>
      <c r="CK24" s="528"/>
      <c r="CL24" s="526"/>
      <c r="CM24" s="525"/>
      <c r="CN24" s="526"/>
      <c r="CO24" s="525"/>
      <c r="CP24" s="525"/>
      <c r="CQ24" s="525"/>
      <c r="CR24" s="544">
        <f>(30541+31301+31833)*0.9467</f>
        <v>88682.122499999998</v>
      </c>
      <c r="CS24" s="525"/>
      <c r="CT24" s="525"/>
      <c r="CU24" s="525"/>
      <c r="CV24" s="525"/>
      <c r="CW24" s="525"/>
      <c r="CX24" s="528">
        <f t="shared" si="20"/>
        <v>88682.122499999998</v>
      </c>
      <c r="CY24" s="881"/>
      <c r="CZ24" s="541"/>
      <c r="DA24" s="541"/>
      <c r="DB24" s="541"/>
      <c r="DC24" s="541"/>
      <c r="DD24" s="541"/>
      <c r="DE24" s="541"/>
      <c r="DF24" s="541"/>
      <c r="DG24" s="541"/>
      <c r="DK24" s="528"/>
      <c r="DX24" s="519"/>
    </row>
    <row r="25" spans="2:128" ht="15">
      <c r="B25" s="480" t="s">
        <v>577</v>
      </c>
      <c r="C25" s="512"/>
      <c r="D25" s="512"/>
      <c r="E25" s="512"/>
      <c r="F25" s="512"/>
      <c r="G25" s="512"/>
      <c r="H25" s="512"/>
      <c r="I25" s="512"/>
      <c r="J25" s="512"/>
      <c r="K25" s="512"/>
      <c r="L25" s="512"/>
      <c r="M25" s="512"/>
      <c r="N25" s="512"/>
      <c r="O25" s="514"/>
      <c r="P25" s="534"/>
      <c r="Q25" s="534"/>
      <c r="R25" s="534"/>
      <c r="S25" s="534"/>
      <c r="T25" s="534"/>
      <c r="U25" s="534"/>
      <c r="V25" s="534"/>
      <c r="W25" s="544"/>
      <c r="X25" s="534"/>
      <c r="Y25" s="525"/>
      <c r="Z25" s="525"/>
      <c r="AA25" s="525"/>
      <c r="AB25" s="605"/>
      <c r="AC25" s="613"/>
      <c r="AD25" s="534"/>
      <c r="AE25" s="616"/>
      <c r="AF25" s="616"/>
      <c r="AG25" s="616"/>
      <c r="AH25" s="534"/>
      <c r="AI25" s="534"/>
      <c r="AJ25" s="534"/>
      <c r="AK25" s="607"/>
      <c r="AL25" s="616"/>
      <c r="AM25" s="617"/>
      <c r="AN25" s="617"/>
      <c r="AO25" s="617"/>
      <c r="AP25" s="525"/>
      <c r="AQ25" s="533"/>
      <c r="AR25" s="533"/>
      <c r="AS25" s="533"/>
      <c r="AT25" s="533"/>
      <c r="AU25" s="533"/>
      <c r="AV25" s="533"/>
      <c r="AW25" s="533"/>
      <c r="AX25" s="528"/>
      <c r="AY25" s="533"/>
      <c r="AZ25" s="533"/>
      <c r="BA25" s="535"/>
      <c r="BB25" s="533"/>
      <c r="BC25" s="533"/>
      <c r="BD25" s="525"/>
      <c r="BE25" s="525"/>
      <c r="BF25" s="525"/>
      <c r="BG25" s="525"/>
      <c r="BH25" s="525"/>
      <c r="BI25" s="525"/>
      <c r="BJ25" s="608"/>
      <c r="BK25" s="528"/>
      <c r="BL25" s="614"/>
      <c r="BM25" s="533"/>
      <c r="BN25" s="535"/>
      <c r="BO25" s="533"/>
      <c r="BP25" s="533"/>
      <c r="BQ25" s="526"/>
      <c r="BR25" s="525"/>
      <c r="BS25" s="525"/>
      <c r="BT25" s="525"/>
      <c r="BU25" s="525"/>
      <c r="BV25" s="525"/>
      <c r="BW25" s="525"/>
      <c r="BX25" s="528"/>
      <c r="BY25" s="525"/>
      <c r="BZ25" s="525"/>
      <c r="CA25" s="525"/>
      <c r="CB25" s="525"/>
      <c r="CC25" s="525"/>
      <c r="CD25" s="525"/>
      <c r="CE25" s="525"/>
      <c r="CF25" s="525"/>
      <c r="CG25" s="525"/>
      <c r="CH25" s="525"/>
      <c r="CI25" s="525"/>
      <c r="CJ25" s="525"/>
      <c r="CK25" s="528"/>
      <c r="CL25" s="526"/>
      <c r="CM25" s="525"/>
      <c r="CN25" s="526"/>
      <c r="CO25" s="525"/>
      <c r="CP25" s="525"/>
      <c r="CQ25" s="525"/>
      <c r="CR25" s="544">
        <f>(31174+30009+30060)*0.9467</f>
        <v>86379.748099999997</v>
      </c>
      <c r="CS25" s="525"/>
      <c r="CT25" s="525"/>
      <c r="CU25" s="525"/>
      <c r="CV25" s="525"/>
      <c r="CW25" s="525"/>
      <c r="CX25" s="528">
        <f t="shared" si="20"/>
        <v>86379.748099999997</v>
      </c>
      <c r="CY25" s="881"/>
      <c r="CZ25" s="541"/>
      <c r="DA25" s="541"/>
      <c r="DB25" s="541"/>
      <c r="DC25" s="541"/>
      <c r="DD25" s="541"/>
      <c r="DE25" s="541"/>
      <c r="DF25" s="541"/>
      <c r="DG25" s="541"/>
      <c r="DK25" s="528"/>
      <c r="DX25" s="519"/>
    </row>
    <row r="26" spans="2:128" ht="15">
      <c r="B26" s="480" t="s">
        <v>578</v>
      </c>
      <c r="C26" s="512"/>
      <c r="D26" s="512"/>
      <c r="E26" s="512"/>
      <c r="F26" s="512"/>
      <c r="G26" s="512"/>
      <c r="H26" s="512"/>
      <c r="I26" s="512"/>
      <c r="J26" s="512"/>
      <c r="K26" s="512"/>
      <c r="L26" s="512"/>
      <c r="M26" s="512"/>
      <c r="N26" s="512"/>
      <c r="O26" s="514"/>
      <c r="P26" s="534"/>
      <c r="Q26" s="534"/>
      <c r="R26" s="534"/>
      <c r="S26" s="534"/>
      <c r="T26" s="534"/>
      <c r="U26" s="534"/>
      <c r="V26" s="534"/>
      <c r="W26" s="544"/>
      <c r="X26" s="534"/>
      <c r="Y26" s="525"/>
      <c r="Z26" s="525"/>
      <c r="AA26" s="525"/>
      <c r="AB26" s="605"/>
      <c r="AC26" s="613"/>
      <c r="AD26" s="534"/>
      <c r="AE26" s="616"/>
      <c r="AF26" s="616"/>
      <c r="AG26" s="616"/>
      <c r="AH26" s="534"/>
      <c r="AI26" s="534"/>
      <c r="AJ26" s="534"/>
      <c r="AK26" s="607"/>
      <c r="AL26" s="616"/>
      <c r="AM26" s="617"/>
      <c r="AN26" s="617"/>
      <c r="AO26" s="617"/>
      <c r="AP26" s="525"/>
      <c r="AQ26" s="533"/>
      <c r="AR26" s="533"/>
      <c r="AS26" s="533"/>
      <c r="AT26" s="533"/>
      <c r="AU26" s="533"/>
      <c r="AV26" s="533"/>
      <c r="AW26" s="533"/>
      <c r="AX26" s="528"/>
      <c r="AY26" s="533"/>
      <c r="AZ26" s="533"/>
      <c r="BA26" s="535"/>
      <c r="BB26" s="533"/>
      <c r="BC26" s="533"/>
      <c r="BD26" s="525"/>
      <c r="BE26" s="525"/>
      <c r="BF26" s="525"/>
      <c r="BG26" s="525"/>
      <c r="BH26" s="525"/>
      <c r="BI26" s="525"/>
      <c r="BJ26" s="608"/>
      <c r="BK26" s="528"/>
      <c r="BL26" s="614"/>
      <c r="BM26" s="533"/>
      <c r="BN26" s="535"/>
      <c r="BO26" s="533"/>
      <c r="BP26" s="533"/>
      <c r="BQ26" s="526"/>
      <c r="BR26" s="525"/>
      <c r="BS26" s="525"/>
      <c r="BT26" s="525"/>
      <c r="BU26" s="525"/>
      <c r="BV26" s="525"/>
      <c r="BW26" s="525"/>
      <c r="BX26" s="528"/>
      <c r="BY26" s="525"/>
      <c r="BZ26" s="525"/>
      <c r="CA26" s="525"/>
      <c r="CB26" s="525"/>
      <c r="CC26" s="525"/>
      <c r="CD26" s="525"/>
      <c r="CE26" s="525"/>
      <c r="CF26" s="525"/>
      <c r="CG26" s="525"/>
      <c r="CH26" s="525"/>
      <c r="CI26" s="525"/>
      <c r="CJ26" s="525"/>
      <c r="CK26" s="528"/>
      <c r="CL26" s="526"/>
      <c r="CM26" s="525"/>
      <c r="CN26" s="526"/>
      <c r="CO26" s="525"/>
      <c r="CP26" s="525"/>
      <c r="CQ26" s="525"/>
      <c r="CR26" s="544">
        <f>(30389+30288+31225)*0.9467</f>
        <v>87003.623399999997</v>
      </c>
      <c r="CS26" s="525"/>
      <c r="CT26" s="525"/>
      <c r="CU26" s="525"/>
      <c r="CV26" s="525"/>
      <c r="CW26" s="525"/>
      <c r="CX26" s="528">
        <f t="shared" si="20"/>
        <v>87003.623399999997</v>
      </c>
      <c r="CY26" s="881"/>
      <c r="CZ26" s="541"/>
      <c r="DA26" s="541"/>
      <c r="DB26" s="541"/>
      <c r="DC26" s="541"/>
      <c r="DD26" s="541"/>
      <c r="DE26" s="541"/>
      <c r="DF26" s="541"/>
      <c r="DG26" s="541"/>
      <c r="DK26" s="528"/>
      <c r="DX26" s="519"/>
    </row>
    <row r="27" spans="2:128" ht="15">
      <c r="B27" s="480" t="s">
        <v>586</v>
      </c>
      <c r="C27" s="512"/>
      <c r="D27" s="512"/>
      <c r="E27" s="512"/>
      <c r="F27" s="512"/>
      <c r="G27" s="512"/>
      <c r="H27" s="512"/>
      <c r="I27" s="512"/>
      <c r="J27" s="512"/>
      <c r="K27" s="512"/>
      <c r="L27" s="512"/>
      <c r="M27" s="512"/>
      <c r="N27" s="512"/>
      <c r="O27" s="514"/>
      <c r="P27" s="534"/>
      <c r="Q27" s="534"/>
      <c r="R27" s="534"/>
      <c r="S27" s="534"/>
      <c r="T27" s="534"/>
      <c r="U27" s="534"/>
      <c r="V27" s="534"/>
      <c r="W27" s="544"/>
      <c r="X27" s="534"/>
      <c r="Y27" s="525"/>
      <c r="Z27" s="525"/>
      <c r="AA27" s="525"/>
      <c r="AB27" s="605"/>
      <c r="AC27" s="613"/>
      <c r="AD27" s="534"/>
      <c r="AE27" s="616"/>
      <c r="AF27" s="616"/>
      <c r="AG27" s="616"/>
      <c r="AH27" s="534"/>
      <c r="AI27" s="534"/>
      <c r="AJ27" s="534"/>
      <c r="AK27" s="607"/>
      <c r="AL27" s="616"/>
      <c r="AM27" s="617"/>
      <c r="AN27" s="617"/>
      <c r="AO27" s="617"/>
      <c r="AP27" s="525"/>
      <c r="AQ27" s="533"/>
      <c r="AR27" s="533"/>
      <c r="AS27" s="533"/>
      <c r="AT27" s="533"/>
      <c r="AU27" s="533"/>
      <c r="AV27" s="533"/>
      <c r="AW27" s="533"/>
      <c r="AX27" s="528"/>
      <c r="AY27" s="533"/>
      <c r="AZ27" s="533"/>
      <c r="BA27" s="535"/>
      <c r="BB27" s="533"/>
      <c r="BC27" s="533"/>
      <c r="BD27" s="525"/>
      <c r="BE27" s="525"/>
      <c r="BF27" s="525"/>
      <c r="BG27" s="525"/>
      <c r="BH27" s="525"/>
      <c r="BI27" s="525"/>
      <c r="BJ27" s="608"/>
      <c r="BK27" s="528"/>
      <c r="BL27" s="614"/>
      <c r="BM27" s="533"/>
      <c r="BN27" s="535"/>
      <c r="BO27" s="533"/>
      <c r="BP27" s="533"/>
      <c r="BQ27" s="526"/>
      <c r="BR27" s="525"/>
      <c r="BS27" s="525"/>
      <c r="BT27" s="525"/>
      <c r="BU27" s="525"/>
      <c r="BV27" s="525"/>
      <c r="BW27" s="525"/>
      <c r="BX27" s="528"/>
      <c r="BY27" s="525"/>
      <c r="BZ27" s="525"/>
      <c r="CA27" s="525"/>
      <c r="CB27" s="525"/>
      <c r="CC27" s="525"/>
      <c r="CD27" s="525"/>
      <c r="CE27" s="525"/>
      <c r="CF27" s="525"/>
      <c r="CG27" s="525"/>
      <c r="CH27" s="525"/>
      <c r="CI27" s="525"/>
      <c r="CJ27" s="525"/>
      <c r="CK27" s="528"/>
      <c r="CL27" s="526"/>
      <c r="CM27" s="525"/>
      <c r="CN27" s="526"/>
      <c r="CO27" s="525"/>
      <c r="CP27" s="525"/>
      <c r="CQ27" s="525"/>
      <c r="CR27" s="544">
        <f>(30440+31073+30491)*0.9467</f>
        <v>87100.186799999996</v>
      </c>
      <c r="CS27" s="525"/>
      <c r="CT27" s="525"/>
      <c r="CU27" s="525"/>
      <c r="CV27" s="525"/>
      <c r="CW27" s="525"/>
      <c r="CX27" s="528">
        <f t="shared" si="20"/>
        <v>87100.186799999996</v>
      </c>
      <c r="CY27" s="881"/>
      <c r="CZ27" s="541"/>
      <c r="DA27" s="541"/>
      <c r="DB27" s="541"/>
      <c r="DC27" s="541"/>
      <c r="DD27" s="541"/>
      <c r="DE27" s="541"/>
      <c r="DF27" s="541"/>
      <c r="DG27" s="541"/>
      <c r="DK27" s="528"/>
      <c r="DX27" s="519"/>
    </row>
    <row r="28" spans="2:128" ht="15">
      <c r="B28" s="480" t="s">
        <v>587</v>
      </c>
      <c r="C28" s="512"/>
      <c r="D28" s="512"/>
      <c r="E28" s="512"/>
      <c r="F28" s="512"/>
      <c r="G28" s="512"/>
      <c r="H28" s="512"/>
      <c r="I28" s="512"/>
      <c r="J28" s="512"/>
      <c r="K28" s="512"/>
      <c r="L28" s="512"/>
      <c r="M28" s="512"/>
      <c r="N28" s="512"/>
      <c r="O28" s="514"/>
      <c r="P28" s="534"/>
      <c r="Q28" s="534"/>
      <c r="R28" s="534"/>
      <c r="S28" s="534"/>
      <c r="T28" s="534"/>
      <c r="U28" s="534"/>
      <c r="V28" s="534"/>
      <c r="W28" s="544"/>
      <c r="X28" s="534"/>
      <c r="Y28" s="525"/>
      <c r="Z28" s="525"/>
      <c r="AA28" s="525"/>
      <c r="AB28" s="605"/>
      <c r="AC28" s="613"/>
      <c r="AD28" s="534"/>
      <c r="AE28" s="616"/>
      <c r="AF28" s="616"/>
      <c r="AG28" s="616"/>
      <c r="AH28" s="534"/>
      <c r="AI28" s="534"/>
      <c r="AJ28" s="534"/>
      <c r="AK28" s="607"/>
      <c r="AL28" s="616"/>
      <c r="AM28" s="617"/>
      <c r="AN28" s="617"/>
      <c r="AO28" s="617"/>
      <c r="AP28" s="525"/>
      <c r="AQ28" s="533"/>
      <c r="AR28" s="533"/>
      <c r="AS28" s="533"/>
      <c r="AT28" s="533"/>
      <c r="AU28" s="533"/>
      <c r="AV28" s="533"/>
      <c r="AW28" s="533"/>
      <c r="AX28" s="528"/>
      <c r="AY28" s="533"/>
      <c r="AZ28" s="533"/>
      <c r="BA28" s="535"/>
      <c r="BB28" s="533"/>
      <c r="BC28" s="533"/>
      <c r="BD28" s="525"/>
      <c r="BE28" s="525"/>
      <c r="BF28" s="525"/>
      <c r="BG28" s="525"/>
      <c r="BH28" s="525"/>
      <c r="BI28" s="525"/>
      <c r="BJ28" s="608"/>
      <c r="BK28" s="528"/>
      <c r="BL28" s="614"/>
      <c r="BM28" s="533"/>
      <c r="BN28" s="535"/>
      <c r="BO28" s="533"/>
      <c r="BP28" s="533"/>
      <c r="BQ28" s="526"/>
      <c r="BR28" s="525"/>
      <c r="BS28" s="525"/>
      <c r="BT28" s="525"/>
      <c r="BU28" s="525"/>
      <c r="BV28" s="525"/>
      <c r="BW28" s="525"/>
      <c r="BX28" s="528"/>
      <c r="BY28" s="525"/>
      <c r="BZ28" s="525"/>
      <c r="CA28" s="525"/>
      <c r="CB28" s="525"/>
      <c r="CC28" s="525"/>
      <c r="CD28" s="525"/>
      <c r="CE28" s="525"/>
      <c r="CF28" s="525"/>
      <c r="CG28" s="525"/>
      <c r="CH28" s="525"/>
      <c r="CI28" s="525"/>
      <c r="CJ28" s="525"/>
      <c r="CK28" s="528"/>
      <c r="CL28" s="526"/>
      <c r="CM28" s="525"/>
      <c r="CN28" s="526"/>
      <c r="CO28" s="525"/>
      <c r="CP28" s="525"/>
      <c r="CQ28" s="525"/>
      <c r="CR28" s="544">
        <f>(30491+30947+31073+30921)*0.9467</f>
        <v>116853.0744</v>
      </c>
      <c r="CS28" s="525"/>
      <c r="CT28" s="525"/>
      <c r="CU28" s="525"/>
      <c r="CV28" s="525"/>
      <c r="CW28" s="525"/>
      <c r="CX28" s="528">
        <f t="shared" si="20"/>
        <v>116853.0744</v>
      </c>
      <c r="CY28" s="881"/>
      <c r="CZ28" s="541"/>
      <c r="DA28" s="541"/>
      <c r="DB28" s="541"/>
      <c r="DC28" s="541"/>
      <c r="DD28" s="541"/>
      <c r="DE28" s="541"/>
      <c r="DF28" s="541"/>
      <c r="DG28" s="541"/>
      <c r="DK28" s="528"/>
      <c r="DX28" s="519"/>
    </row>
    <row r="29" spans="2:128" ht="15">
      <c r="B29" s="480" t="s">
        <v>588</v>
      </c>
      <c r="C29" s="512"/>
      <c r="D29" s="512"/>
      <c r="E29" s="512"/>
      <c r="F29" s="512"/>
      <c r="G29" s="512"/>
      <c r="H29" s="512"/>
      <c r="I29" s="512"/>
      <c r="J29" s="512"/>
      <c r="K29" s="512"/>
      <c r="L29" s="512"/>
      <c r="M29" s="512"/>
      <c r="N29" s="512"/>
      <c r="O29" s="514"/>
      <c r="P29" s="534"/>
      <c r="Q29" s="534"/>
      <c r="R29" s="534"/>
      <c r="S29" s="534"/>
      <c r="T29" s="534"/>
      <c r="U29" s="534"/>
      <c r="V29" s="534"/>
      <c r="W29" s="544"/>
      <c r="X29" s="534"/>
      <c r="Y29" s="525"/>
      <c r="Z29" s="525"/>
      <c r="AA29" s="525"/>
      <c r="AB29" s="605"/>
      <c r="AC29" s="613"/>
      <c r="AD29" s="534"/>
      <c r="AE29" s="616"/>
      <c r="AF29" s="616"/>
      <c r="AG29" s="616"/>
      <c r="AH29" s="534"/>
      <c r="AI29" s="534"/>
      <c r="AJ29" s="534"/>
      <c r="AK29" s="607"/>
      <c r="AL29" s="616"/>
      <c r="AM29" s="617"/>
      <c r="AN29" s="617"/>
      <c r="AO29" s="617"/>
      <c r="AP29" s="525"/>
      <c r="AQ29" s="533"/>
      <c r="AR29" s="533"/>
      <c r="AS29" s="533"/>
      <c r="AT29" s="533"/>
      <c r="AU29" s="533"/>
      <c r="AV29" s="533"/>
      <c r="AW29" s="533"/>
      <c r="AX29" s="528"/>
      <c r="AY29" s="533"/>
      <c r="AZ29" s="533"/>
      <c r="BA29" s="535"/>
      <c r="BB29" s="533"/>
      <c r="BC29" s="533"/>
      <c r="BD29" s="525"/>
      <c r="BE29" s="525"/>
      <c r="BF29" s="525"/>
      <c r="BG29" s="525"/>
      <c r="BH29" s="525"/>
      <c r="BI29" s="525"/>
      <c r="BJ29" s="608"/>
      <c r="BK29" s="528"/>
      <c r="BL29" s="614"/>
      <c r="BM29" s="533"/>
      <c r="BN29" s="535"/>
      <c r="BO29" s="533"/>
      <c r="BP29" s="533"/>
      <c r="BQ29" s="526"/>
      <c r="BR29" s="525"/>
      <c r="BS29" s="525"/>
      <c r="BT29" s="525"/>
      <c r="BU29" s="525"/>
      <c r="BV29" s="525"/>
      <c r="BW29" s="525"/>
      <c r="BX29" s="528"/>
      <c r="BY29" s="525"/>
      <c r="BZ29" s="525"/>
      <c r="CA29" s="525"/>
      <c r="CB29" s="525"/>
      <c r="CC29" s="525"/>
      <c r="CD29" s="525"/>
      <c r="CE29" s="525"/>
      <c r="CF29" s="525"/>
      <c r="CG29" s="525"/>
      <c r="CH29" s="525"/>
      <c r="CI29" s="525"/>
      <c r="CJ29" s="525"/>
      <c r="CK29" s="528"/>
      <c r="CL29" s="526"/>
      <c r="CM29" s="525"/>
      <c r="CN29" s="526"/>
      <c r="CO29" s="525"/>
      <c r="CP29" s="525"/>
      <c r="CQ29" s="525"/>
      <c r="CR29" s="544">
        <f>(31782+30972+31225)*0.9467</f>
        <v>88969.919299999994</v>
      </c>
      <c r="CS29" s="525"/>
      <c r="CT29" s="525"/>
      <c r="CU29" s="525"/>
      <c r="CV29" s="525"/>
      <c r="CW29" s="525"/>
      <c r="CX29" s="528">
        <f t="shared" si="20"/>
        <v>88969.919299999994</v>
      </c>
      <c r="CY29" s="881"/>
      <c r="CZ29" s="541"/>
      <c r="DA29" s="541"/>
      <c r="DB29" s="541"/>
      <c r="DC29" s="541"/>
      <c r="DD29" s="541"/>
      <c r="DE29" s="541"/>
      <c r="DF29" s="541"/>
      <c r="DG29" s="541"/>
      <c r="DK29" s="528"/>
      <c r="DX29" s="519"/>
    </row>
    <row r="30" spans="2:128" ht="15">
      <c r="B30" s="480" t="s">
        <v>589</v>
      </c>
      <c r="C30" s="512"/>
      <c r="D30" s="512"/>
      <c r="E30" s="512"/>
      <c r="F30" s="512"/>
      <c r="G30" s="512"/>
      <c r="H30" s="512"/>
      <c r="I30" s="512"/>
      <c r="J30" s="512"/>
      <c r="K30" s="512"/>
      <c r="L30" s="512"/>
      <c r="M30" s="512"/>
      <c r="N30" s="512"/>
      <c r="O30" s="514"/>
      <c r="P30" s="534"/>
      <c r="Q30" s="534"/>
      <c r="R30" s="534"/>
      <c r="S30" s="534"/>
      <c r="T30" s="534"/>
      <c r="U30" s="534"/>
      <c r="V30" s="534"/>
      <c r="W30" s="544"/>
      <c r="X30" s="534"/>
      <c r="Y30" s="525"/>
      <c r="Z30" s="525"/>
      <c r="AA30" s="525"/>
      <c r="AB30" s="605"/>
      <c r="AC30" s="613"/>
      <c r="AD30" s="534"/>
      <c r="AE30" s="616"/>
      <c r="AF30" s="616"/>
      <c r="AG30" s="616"/>
      <c r="AH30" s="534"/>
      <c r="AI30" s="534"/>
      <c r="AJ30" s="534"/>
      <c r="AK30" s="607"/>
      <c r="AL30" s="616"/>
      <c r="AM30" s="617"/>
      <c r="AN30" s="617"/>
      <c r="AO30" s="617"/>
      <c r="AP30" s="525"/>
      <c r="AQ30" s="533"/>
      <c r="AR30" s="533"/>
      <c r="AS30" s="533"/>
      <c r="AT30" s="533"/>
      <c r="AU30" s="533"/>
      <c r="AV30" s="533"/>
      <c r="AW30" s="533"/>
      <c r="AX30" s="528"/>
      <c r="AY30" s="533"/>
      <c r="AZ30" s="533"/>
      <c r="BA30" s="535"/>
      <c r="BB30" s="533"/>
      <c r="BC30" s="533"/>
      <c r="BD30" s="525"/>
      <c r="BE30" s="525"/>
      <c r="BF30" s="525"/>
      <c r="BG30" s="525"/>
      <c r="BH30" s="525"/>
      <c r="BI30" s="525"/>
      <c r="BJ30" s="608"/>
      <c r="BK30" s="528"/>
      <c r="BL30" s="614"/>
      <c r="BM30" s="533"/>
      <c r="BN30" s="535"/>
      <c r="BO30" s="533"/>
      <c r="BP30" s="533"/>
      <c r="BQ30" s="526"/>
      <c r="BR30" s="525"/>
      <c r="BS30" s="525"/>
      <c r="BT30" s="525"/>
      <c r="BU30" s="525"/>
      <c r="BV30" s="525"/>
      <c r="BW30" s="525"/>
      <c r="BX30" s="528"/>
      <c r="BY30" s="525"/>
      <c r="BZ30" s="525"/>
      <c r="CA30" s="525"/>
      <c r="CB30" s="525"/>
      <c r="CC30" s="525"/>
      <c r="CD30" s="525"/>
      <c r="CE30" s="525"/>
      <c r="CF30" s="525"/>
      <c r="CG30" s="525"/>
      <c r="CH30" s="525"/>
      <c r="CI30" s="525"/>
      <c r="CJ30" s="525"/>
      <c r="CK30" s="528"/>
      <c r="CL30" s="526"/>
      <c r="CM30" s="525"/>
      <c r="CN30" s="526"/>
      <c r="CO30" s="525"/>
      <c r="CP30" s="525"/>
      <c r="CQ30" s="525"/>
      <c r="CR30" s="544">
        <f>(30896+31200+31301)*0.9467</f>
        <v>88418.939899999998</v>
      </c>
      <c r="CS30" s="525"/>
      <c r="CT30" s="525"/>
      <c r="CU30" s="525"/>
      <c r="CV30" s="525"/>
      <c r="CW30" s="525"/>
      <c r="CX30" s="528">
        <f t="shared" si="20"/>
        <v>88418.939899999998</v>
      </c>
      <c r="CY30" s="881"/>
      <c r="CZ30" s="541"/>
      <c r="DA30" s="541"/>
      <c r="DB30" s="541"/>
      <c r="DC30" s="541"/>
      <c r="DD30" s="541"/>
      <c r="DE30" s="541"/>
      <c r="DF30" s="541"/>
      <c r="DG30" s="541"/>
      <c r="DK30" s="528"/>
      <c r="DX30" s="519"/>
    </row>
    <row r="31" spans="2:128" ht="15">
      <c r="B31" s="480" t="s">
        <v>590</v>
      </c>
      <c r="C31" s="512"/>
      <c r="D31" s="512"/>
      <c r="E31" s="512"/>
      <c r="F31" s="512"/>
      <c r="G31" s="512"/>
      <c r="H31" s="512"/>
      <c r="I31" s="512"/>
      <c r="J31" s="512"/>
      <c r="K31" s="512"/>
      <c r="L31" s="512"/>
      <c r="M31" s="512"/>
      <c r="N31" s="512"/>
      <c r="O31" s="514"/>
      <c r="P31" s="534"/>
      <c r="Q31" s="534"/>
      <c r="R31" s="534"/>
      <c r="S31" s="534"/>
      <c r="T31" s="534"/>
      <c r="U31" s="534"/>
      <c r="V31" s="534"/>
      <c r="W31" s="544"/>
      <c r="X31" s="534"/>
      <c r="Y31" s="525"/>
      <c r="Z31" s="525"/>
      <c r="AA31" s="525"/>
      <c r="AB31" s="605"/>
      <c r="AC31" s="613"/>
      <c r="AD31" s="534"/>
      <c r="AE31" s="616"/>
      <c r="AF31" s="616"/>
      <c r="AG31" s="616"/>
      <c r="AH31" s="534"/>
      <c r="AI31" s="534"/>
      <c r="AJ31" s="534"/>
      <c r="AK31" s="607"/>
      <c r="AL31" s="616"/>
      <c r="AM31" s="617"/>
      <c r="AN31" s="617"/>
      <c r="AO31" s="617"/>
      <c r="AP31" s="525"/>
      <c r="AQ31" s="533"/>
      <c r="AR31" s="533"/>
      <c r="AS31" s="533"/>
      <c r="AT31" s="533"/>
      <c r="AU31" s="533"/>
      <c r="AV31" s="533"/>
      <c r="AW31" s="533"/>
      <c r="AX31" s="528"/>
      <c r="AY31" s="533"/>
      <c r="AZ31" s="533"/>
      <c r="BA31" s="535"/>
      <c r="BB31" s="533"/>
      <c r="BC31" s="533"/>
      <c r="BD31" s="525"/>
      <c r="BE31" s="525"/>
      <c r="BF31" s="525"/>
      <c r="BG31" s="525"/>
      <c r="BH31" s="525"/>
      <c r="BI31" s="525"/>
      <c r="BJ31" s="608"/>
      <c r="BK31" s="528"/>
      <c r="BL31" s="614"/>
      <c r="BM31" s="533"/>
      <c r="BN31" s="535"/>
      <c r="BO31" s="533"/>
      <c r="BP31" s="533"/>
      <c r="BQ31" s="526"/>
      <c r="BR31" s="525"/>
      <c r="BS31" s="525"/>
      <c r="BT31" s="525"/>
      <c r="BU31" s="525"/>
      <c r="BV31" s="525"/>
      <c r="BW31" s="525"/>
      <c r="BX31" s="528"/>
      <c r="BY31" s="525"/>
      <c r="BZ31" s="525"/>
      <c r="CA31" s="525"/>
      <c r="CB31" s="525"/>
      <c r="CC31" s="525"/>
      <c r="CD31" s="525"/>
      <c r="CE31" s="525"/>
      <c r="CF31" s="525"/>
      <c r="CG31" s="525"/>
      <c r="CH31" s="525"/>
      <c r="CI31" s="525"/>
      <c r="CJ31" s="525"/>
      <c r="CK31" s="528"/>
      <c r="CL31" s="526"/>
      <c r="CM31" s="525"/>
      <c r="CN31" s="526"/>
      <c r="CO31" s="525"/>
      <c r="CP31" s="525"/>
      <c r="CQ31" s="525"/>
      <c r="CR31" s="541"/>
      <c r="CS31" s="544">
        <f>(30592+31757+31884+30997)*0.9467</f>
        <v>118555.24099999999</v>
      </c>
      <c r="CT31" s="525"/>
      <c r="CU31" s="525"/>
      <c r="CV31" s="525"/>
      <c r="CW31" s="525"/>
      <c r="CX31" s="528">
        <f t="shared" si="20"/>
        <v>118555.24099999999</v>
      </c>
      <c r="CY31" s="881"/>
      <c r="CZ31" s="541"/>
      <c r="DA31" s="541"/>
      <c r="DB31" s="541"/>
      <c r="DC31" s="541"/>
      <c r="DD31" s="541"/>
      <c r="DE31" s="541"/>
      <c r="DF31" s="541"/>
      <c r="DG31" s="541"/>
      <c r="DK31" s="528"/>
      <c r="DX31" s="519"/>
    </row>
    <row r="32" spans="2:128" ht="15">
      <c r="B32" s="480" t="s">
        <v>593</v>
      </c>
      <c r="C32" s="512"/>
      <c r="D32" s="512"/>
      <c r="E32" s="512"/>
      <c r="F32" s="512"/>
      <c r="G32" s="512"/>
      <c r="H32" s="512"/>
      <c r="I32" s="512"/>
      <c r="J32" s="512"/>
      <c r="K32" s="512"/>
      <c r="L32" s="512"/>
      <c r="M32" s="512"/>
      <c r="N32" s="512"/>
      <c r="O32" s="514"/>
      <c r="P32" s="534"/>
      <c r="Q32" s="534"/>
      <c r="R32" s="534"/>
      <c r="S32" s="534"/>
      <c r="T32" s="534"/>
      <c r="U32" s="534"/>
      <c r="V32" s="534"/>
      <c r="W32" s="544"/>
      <c r="X32" s="534"/>
      <c r="Y32" s="525"/>
      <c r="Z32" s="525"/>
      <c r="AA32" s="525"/>
      <c r="AB32" s="605"/>
      <c r="AC32" s="613"/>
      <c r="AD32" s="534"/>
      <c r="AE32" s="616"/>
      <c r="AF32" s="616"/>
      <c r="AG32" s="616"/>
      <c r="AH32" s="534"/>
      <c r="AI32" s="534"/>
      <c r="AJ32" s="534"/>
      <c r="AK32" s="607"/>
      <c r="AL32" s="616"/>
      <c r="AM32" s="617"/>
      <c r="AN32" s="617"/>
      <c r="AO32" s="617"/>
      <c r="AP32" s="525"/>
      <c r="AQ32" s="533"/>
      <c r="AR32" s="533"/>
      <c r="AS32" s="533"/>
      <c r="AT32" s="533"/>
      <c r="AU32" s="533"/>
      <c r="AV32" s="533"/>
      <c r="AW32" s="533"/>
      <c r="AX32" s="528"/>
      <c r="AY32" s="533"/>
      <c r="AZ32" s="533"/>
      <c r="BA32" s="535"/>
      <c r="BB32" s="533"/>
      <c r="BC32" s="533"/>
      <c r="BD32" s="525"/>
      <c r="BE32" s="525"/>
      <c r="BF32" s="525"/>
      <c r="BG32" s="525"/>
      <c r="BH32" s="525"/>
      <c r="BI32" s="525"/>
      <c r="BJ32" s="608"/>
      <c r="BK32" s="528"/>
      <c r="BL32" s="614"/>
      <c r="BM32" s="533"/>
      <c r="BN32" s="535"/>
      <c r="BO32" s="533"/>
      <c r="BP32" s="533"/>
      <c r="BQ32" s="526"/>
      <c r="BR32" s="525"/>
      <c r="BS32" s="525"/>
      <c r="BT32" s="525"/>
      <c r="BU32" s="525"/>
      <c r="BV32" s="525"/>
      <c r="BW32" s="525"/>
      <c r="BX32" s="528"/>
      <c r="BY32" s="525"/>
      <c r="BZ32" s="525"/>
      <c r="CA32" s="525"/>
      <c r="CB32" s="525"/>
      <c r="CC32" s="525"/>
      <c r="CD32" s="525"/>
      <c r="CE32" s="525"/>
      <c r="CF32" s="525"/>
      <c r="CG32" s="525"/>
      <c r="CH32" s="525"/>
      <c r="CI32" s="525"/>
      <c r="CJ32" s="525"/>
      <c r="CK32" s="528"/>
      <c r="CL32" s="526"/>
      <c r="CM32" s="525"/>
      <c r="CN32" s="526"/>
      <c r="CO32" s="525"/>
      <c r="CP32" s="525"/>
      <c r="CQ32" s="525"/>
      <c r="CR32" s="563"/>
      <c r="CS32" s="544">
        <f>(31808+31884+31453+31352+32086+30972+31808)*0.9467</f>
        <v>209564.35209999999</v>
      </c>
      <c r="CT32" s="525"/>
      <c r="CU32" s="525"/>
      <c r="CV32" s="525"/>
      <c r="CW32" s="525"/>
      <c r="CX32" s="528">
        <f t="shared" si="20"/>
        <v>209564.35209999999</v>
      </c>
      <c r="CY32" s="881"/>
      <c r="CZ32" s="541"/>
      <c r="DA32" s="541"/>
      <c r="DB32" s="541"/>
      <c r="DC32" s="541"/>
      <c r="DD32" s="541"/>
      <c r="DE32" s="541"/>
      <c r="DF32" s="541"/>
      <c r="DG32" s="541"/>
      <c r="DK32" s="528"/>
      <c r="DX32" s="519"/>
    </row>
    <row r="33" spans="2:128" ht="15">
      <c r="B33" s="480" t="s">
        <v>594</v>
      </c>
      <c r="C33" s="512"/>
      <c r="D33" s="512"/>
      <c r="E33" s="512"/>
      <c r="F33" s="512"/>
      <c r="G33" s="512"/>
      <c r="H33" s="512"/>
      <c r="I33" s="512"/>
      <c r="J33" s="512"/>
      <c r="K33" s="512"/>
      <c r="L33" s="512"/>
      <c r="M33" s="512"/>
      <c r="N33" s="512"/>
      <c r="O33" s="514"/>
      <c r="P33" s="534"/>
      <c r="Q33" s="534"/>
      <c r="R33" s="534"/>
      <c r="S33" s="534"/>
      <c r="T33" s="534"/>
      <c r="U33" s="534"/>
      <c r="V33" s="534"/>
      <c r="W33" s="544"/>
      <c r="X33" s="534"/>
      <c r="Y33" s="525"/>
      <c r="Z33" s="525"/>
      <c r="AA33" s="525"/>
      <c r="AB33" s="605"/>
      <c r="AC33" s="613"/>
      <c r="AD33" s="534"/>
      <c r="AE33" s="616"/>
      <c r="AF33" s="616"/>
      <c r="AG33" s="616"/>
      <c r="AH33" s="534"/>
      <c r="AI33" s="534"/>
      <c r="AJ33" s="534"/>
      <c r="AK33" s="607"/>
      <c r="AL33" s="616"/>
      <c r="AM33" s="617"/>
      <c r="AN33" s="617"/>
      <c r="AO33" s="617"/>
      <c r="AP33" s="525"/>
      <c r="AQ33" s="533"/>
      <c r="AR33" s="533"/>
      <c r="AS33" s="533"/>
      <c r="AT33" s="533"/>
      <c r="AU33" s="533"/>
      <c r="AV33" s="533"/>
      <c r="AW33" s="533"/>
      <c r="AX33" s="528"/>
      <c r="AY33" s="533"/>
      <c r="AZ33" s="533"/>
      <c r="BA33" s="535"/>
      <c r="BB33" s="533"/>
      <c r="BC33" s="533"/>
      <c r="BD33" s="525"/>
      <c r="BE33" s="525"/>
      <c r="BF33" s="525"/>
      <c r="BG33" s="525"/>
      <c r="BH33" s="525"/>
      <c r="BI33" s="525"/>
      <c r="BJ33" s="608"/>
      <c r="BK33" s="528"/>
      <c r="BL33" s="614"/>
      <c r="BM33" s="533"/>
      <c r="BN33" s="535"/>
      <c r="BO33" s="533"/>
      <c r="BP33" s="533"/>
      <c r="BQ33" s="526"/>
      <c r="BR33" s="525"/>
      <c r="BS33" s="525"/>
      <c r="BT33" s="525"/>
      <c r="BU33" s="525"/>
      <c r="BV33" s="525"/>
      <c r="BW33" s="525"/>
      <c r="BX33" s="528"/>
      <c r="BY33" s="525"/>
      <c r="BZ33" s="525"/>
      <c r="CA33" s="525"/>
      <c r="CB33" s="525"/>
      <c r="CC33" s="525"/>
      <c r="CD33" s="525"/>
      <c r="CE33" s="525"/>
      <c r="CF33" s="525"/>
      <c r="CG33" s="525"/>
      <c r="CH33" s="525"/>
      <c r="CI33" s="525"/>
      <c r="CJ33" s="525"/>
      <c r="CK33" s="528"/>
      <c r="CL33" s="526"/>
      <c r="CM33" s="525"/>
      <c r="CN33" s="526"/>
      <c r="CO33" s="525"/>
      <c r="CP33" s="525"/>
      <c r="CQ33" s="525"/>
      <c r="CR33" s="563"/>
      <c r="CS33" s="544">
        <f>(30744+31706)*0.9467</f>
        <v>59121.415000000001</v>
      </c>
      <c r="CT33" s="525"/>
      <c r="CU33" s="525"/>
      <c r="CV33" s="525"/>
      <c r="CW33" s="525"/>
      <c r="CX33" s="528">
        <f t="shared" si="20"/>
        <v>59121.415000000001</v>
      </c>
      <c r="CY33" s="881"/>
      <c r="CZ33" s="541"/>
      <c r="DA33" s="541"/>
      <c r="DB33" s="541"/>
      <c r="DC33" s="541"/>
      <c r="DD33" s="541"/>
      <c r="DE33" s="541"/>
      <c r="DF33" s="541"/>
      <c r="DG33" s="541"/>
      <c r="DK33" s="528"/>
      <c r="DX33" s="519"/>
    </row>
    <row r="34" spans="2:128" ht="15">
      <c r="B34" s="480" t="s">
        <v>595</v>
      </c>
      <c r="C34" s="512"/>
      <c r="D34" s="512"/>
      <c r="E34" s="512"/>
      <c r="F34" s="512"/>
      <c r="G34" s="512"/>
      <c r="H34" s="512"/>
      <c r="I34" s="512"/>
      <c r="J34" s="512"/>
      <c r="K34" s="512"/>
      <c r="L34" s="512"/>
      <c r="M34" s="512"/>
      <c r="N34" s="512"/>
      <c r="O34" s="514"/>
      <c r="P34" s="534"/>
      <c r="Q34" s="534"/>
      <c r="R34" s="534"/>
      <c r="S34" s="534"/>
      <c r="T34" s="534"/>
      <c r="U34" s="534"/>
      <c r="V34" s="534"/>
      <c r="W34" s="544"/>
      <c r="X34" s="534"/>
      <c r="Y34" s="525"/>
      <c r="Z34" s="525"/>
      <c r="AA34" s="525"/>
      <c r="AB34" s="605"/>
      <c r="AC34" s="613"/>
      <c r="AD34" s="534"/>
      <c r="AE34" s="616"/>
      <c r="AF34" s="616"/>
      <c r="AG34" s="616"/>
      <c r="AH34" s="534"/>
      <c r="AI34" s="534"/>
      <c r="AJ34" s="534"/>
      <c r="AK34" s="607"/>
      <c r="AL34" s="616"/>
      <c r="AM34" s="617"/>
      <c r="AN34" s="617"/>
      <c r="AO34" s="617"/>
      <c r="AP34" s="525"/>
      <c r="AQ34" s="533"/>
      <c r="AR34" s="533"/>
      <c r="AS34" s="533"/>
      <c r="AT34" s="533"/>
      <c r="AU34" s="533"/>
      <c r="AV34" s="533"/>
      <c r="AW34" s="533"/>
      <c r="AX34" s="528"/>
      <c r="AY34" s="533"/>
      <c r="AZ34" s="533"/>
      <c r="BA34" s="535"/>
      <c r="BB34" s="533"/>
      <c r="BC34" s="533"/>
      <c r="BD34" s="525"/>
      <c r="BE34" s="525"/>
      <c r="BF34" s="525"/>
      <c r="BG34" s="525"/>
      <c r="BH34" s="525"/>
      <c r="BI34" s="525"/>
      <c r="BJ34" s="608"/>
      <c r="BK34" s="528"/>
      <c r="BL34" s="614"/>
      <c r="BM34" s="533"/>
      <c r="BN34" s="535"/>
      <c r="BO34" s="533"/>
      <c r="BP34" s="533"/>
      <c r="BQ34" s="526"/>
      <c r="BR34" s="525"/>
      <c r="BS34" s="525"/>
      <c r="BT34" s="525"/>
      <c r="BU34" s="525"/>
      <c r="BV34" s="525"/>
      <c r="BW34" s="525"/>
      <c r="BX34" s="528"/>
      <c r="BY34" s="525"/>
      <c r="BZ34" s="525"/>
      <c r="CA34" s="525"/>
      <c r="CB34" s="525"/>
      <c r="CC34" s="525"/>
      <c r="CD34" s="525"/>
      <c r="CE34" s="525"/>
      <c r="CF34" s="525"/>
      <c r="CG34" s="525"/>
      <c r="CH34" s="525"/>
      <c r="CI34" s="525"/>
      <c r="CJ34" s="525"/>
      <c r="CK34" s="528"/>
      <c r="CL34" s="526"/>
      <c r="CM34" s="525"/>
      <c r="CN34" s="526"/>
      <c r="CO34" s="525"/>
      <c r="CP34" s="525"/>
      <c r="CQ34" s="525"/>
      <c r="CR34" s="563"/>
      <c r="CS34" s="544">
        <f>31706*0.9467</f>
        <v>30016.070199999998</v>
      </c>
      <c r="CT34" s="525"/>
      <c r="CU34" s="525"/>
      <c r="CV34" s="525"/>
      <c r="CW34" s="525"/>
      <c r="CX34" s="528">
        <f t="shared" si="20"/>
        <v>30016.070199999998</v>
      </c>
      <c r="CY34" s="881"/>
      <c r="CZ34" s="541"/>
      <c r="DA34" s="541"/>
      <c r="DB34" s="541"/>
      <c r="DC34" s="541"/>
      <c r="DD34" s="541"/>
      <c r="DE34" s="541"/>
      <c r="DF34" s="541"/>
      <c r="DG34" s="541"/>
      <c r="DK34" s="528"/>
      <c r="DX34" s="519"/>
    </row>
    <row r="35" spans="2:128" ht="15">
      <c r="B35" s="480" t="s">
        <v>600</v>
      </c>
      <c r="C35" s="512"/>
      <c r="D35" s="512"/>
      <c r="E35" s="512"/>
      <c r="F35" s="512"/>
      <c r="G35" s="512"/>
      <c r="H35" s="512"/>
      <c r="I35" s="512"/>
      <c r="J35" s="512"/>
      <c r="K35" s="512"/>
      <c r="L35" s="512"/>
      <c r="M35" s="512"/>
      <c r="N35" s="512"/>
      <c r="O35" s="514"/>
      <c r="P35" s="534"/>
      <c r="Q35" s="534"/>
      <c r="R35" s="534"/>
      <c r="S35" s="534"/>
      <c r="T35" s="534"/>
      <c r="U35" s="534"/>
      <c r="V35" s="534"/>
      <c r="W35" s="544"/>
      <c r="X35" s="534"/>
      <c r="Y35" s="525"/>
      <c r="Z35" s="525"/>
      <c r="AA35" s="525"/>
      <c r="AB35" s="605"/>
      <c r="AC35" s="613"/>
      <c r="AD35" s="534"/>
      <c r="AE35" s="616"/>
      <c r="AF35" s="616"/>
      <c r="AG35" s="616"/>
      <c r="AH35" s="534"/>
      <c r="AI35" s="534"/>
      <c r="AJ35" s="534"/>
      <c r="AK35" s="607"/>
      <c r="AL35" s="616"/>
      <c r="AM35" s="617"/>
      <c r="AN35" s="617"/>
      <c r="AO35" s="617"/>
      <c r="AP35" s="525"/>
      <c r="AQ35" s="533"/>
      <c r="AR35" s="533"/>
      <c r="AS35" s="533"/>
      <c r="AT35" s="533"/>
      <c r="AU35" s="533"/>
      <c r="AV35" s="533"/>
      <c r="AW35" s="533"/>
      <c r="AX35" s="528"/>
      <c r="AY35" s="533"/>
      <c r="AZ35" s="533"/>
      <c r="BA35" s="535"/>
      <c r="BB35" s="533"/>
      <c r="BC35" s="533"/>
      <c r="BD35" s="525"/>
      <c r="BE35" s="525"/>
      <c r="BF35" s="525"/>
      <c r="BG35" s="525"/>
      <c r="BH35" s="525"/>
      <c r="BI35" s="525"/>
      <c r="BJ35" s="608"/>
      <c r="BK35" s="528"/>
      <c r="BL35" s="614"/>
      <c r="BM35" s="533"/>
      <c r="BN35" s="535"/>
      <c r="BO35" s="533"/>
      <c r="BP35" s="533"/>
      <c r="BQ35" s="526"/>
      <c r="BR35" s="525"/>
      <c r="BS35" s="525"/>
      <c r="BT35" s="525"/>
      <c r="BU35" s="525"/>
      <c r="BV35" s="525"/>
      <c r="BW35" s="525"/>
      <c r="BX35" s="528"/>
      <c r="BY35" s="525"/>
      <c r="BZ35" s="525"/>
      <c r="CA35" s="525"/>
      <c r="CB35" s="525"/>
      <c r="CC35" s="525"/>
      <c r="CD35" s="525"/>
      <c r="CE35" s="525"/>
      <c r="CF35" s="525"/>
      <c r="CG35" s="525"/>
      <c r="CH35" s="525"/>
      <c r="CI35" s="525"/>
      <c r="CJ35" s="525"/>
      <c r="CK35" s="528"/>
      <c r="CL35" s="526"/>
      <c r="CM35" s="525"/>
      <c r="CN35" s="526"/>
      <c r="CO35" s="525"/>
      <c r="CP35" s="525"/>
      <c r="CQ35" s="525"/>
      <c r="CR35" s="563"/>
      <c r="CS35" s="544">
        <f>(31073+30921+31073)*0.9467</f>
        <v>88106.528900000005</v>
      </c>
      <c r="CT35" s="525"/>
      <c r="CU35" s="525"/>
      <c r="CV35" s="525"/>
      <c r="CW35" s="525"/>
      <c r="CX35" s="528">
        <f t="shared" si="20"/>
        <v>88106.528900000005</v>
      </c>
      <c r="CY35" s="881"/>
      <c r="CZ35" s="541"/>
      <c r="DA35" s="541"/>
      <c r="DB35" s="541"/>
      <c r="DC35" s="541"/>
      <c r="DD35" s="541"/>
      <c r="DE35" s="541"/>
      <c r="DF35" s="541"/>
      <c r="DG35" s="541"/>
      <c r="DK35" s="528"/>
      <c r="DX35" s="519"/>
    </row>
    <row r="36" spans="2:128" ht="15">
      <c r="B36" s="480" t="s">
        <v>601</v>
      </c>
      <c r="C36" s="512"/>
      <c r="D36" s="512"/>
      <c r="E36" s="512"/>
      <c r="F36" s="512"/>
      <c r="G36" s="512"/>
      <c r="H36" s="512"/>
      <c r="I36" s="512"/>
      <c r="J36" s="512"/>
      <c r="K36" s="512"/>
      <c r="L36" s="512"/>
      <c r="M36" s="512"/>
      <c r="N36" s="512"/>
      <c r="O36" s="514"/>
      <c r="P36" s="534"/>
      <c r="Q36" s="534"/>
      <c r="R36" s="534"/>
      <c r="S36" s="534"/>
      <c r="T36" s="534"/>
      <c r="U36" s="534"/>
      <c r="V36" s="534"/>
      <c r="W36" s="544"/>
      <c r="X36" s="534"/>
      <c r="Y36" s="525"/>
      <c r="Z36" s="525"/>
      <c r="AA36" s="525"/>
      <c r="AB36" s="605"/>
      <c r="AC36" s="613"/>
      <c r="AD36" s="534"/>
      <c r="AE36" s="616"/>
      <c r="AF36" s="616"/>
      <c r="AG36" s="616"/>
      <c r="AH36" s="534"/>
      <c r="AI36" s="534"/>
      <c r="AJ36" s="534"/>
      <c r="AK36" s="607"/>
      <c r="AL36" s="616"/>
      <c r="AM36" s="617"/>
      <c r="AN36" s="617"/>
      <c r="AO36" s="617"/>
      <c r="AP36" s="525"/>
      <c r="AQ36" s="533"/>
      <c r="AR36" s="533"/>
      <c r="AS36" s="533"/>
      <c r="AT36" s="533"/>
      <c r="AU36" s="533"/>
      <c r="AV36" s="533"/>
      <c r="AW36" s="533"/>
      <c r="AX36" s="528"/>
      <c r="AY36" s="533"/>
      <c r="AZ36" s="533"/>
      <c r="BA36" s="535"/>
      <c r="BB36" s="533"/>
      <c r="BC36" s="533"/>
      <c r="BD36" s="525"/>
      <c r="BE36" s="525"/>
      <c r="BF36" s="525"/>
      <c r="BG36" s="525"/>
      <c r="BH36" s="525"/>
      <c r="BI36" s="525"/>
      <c r="BJ36" s="608"/>
      <c r="BK36" s="528"/>
      <c r="BL36" s="614"/>
      <c r="BM36" s="533"/>
      <c r="BN36" s="535"/>
      <c r="BO36" s="533"/>
      <c r="BP36" s="533"/>
      <c r="BQ36" s="526"/>
      <c r="BR36" s="525"/>
      <c r="BS36" s="525"/>
      <c r="BT36" s="525"/>
      <c r="BU36" s="525"/>
      <c r="BV36" s="525"/>
      <c r="BW36" s="525"/>
      <c r="BX36" s="528"/>
      <c r="BY36" s="525"/>
      <c r="BZ36" s="525"/>
      <c r="CA36" s="525"/>
      <c r="CB36" s="525"/>
      <c r="CC36" s="525"/>
      <c r="CD36" s="525"/>
      <c r="CE36" s="525"/>
      <c r="CF36" s="525"/>
      <c r="CG36" s="525"/>
      <c r="CH36" s="525"/>
      <c r="CI36" s="525"/>
      <c r="CJ36" s="525"/>
      <c r="CK36" s="528"/>
      <c r="CL36" s="526"/>
      <c r="CM36" s="525"/>
      <c r="CN36" s="526"/>
      <c r="CO36" s="525"/>
      <c r="CP36" s="525"/>
      <c r="CQ36" s="525"/>
      <c r="CR36" s="563"/>
      <c r="CS36" s="544">
        <f>31681*0.9467</f>
        <v>29992.402699999999</v>
      </c>
      <c r="CT36" s="525"/>
      <c r="CU36" s="525"/>
      <c r="CV36" s="525"/>
      <c r="CW36" s="525"/>
      <c r="CX36" s="528">
        <f t="shared" si="20"/>
        <v>29992.402699999999</v>
      </c>
      <c r="CY36" s="881"/>
      <c r="CZ36" s="541"/>
      <c r="DA36" s="541"/>
      <c r="DB36" s="541"/>
      <c r="DC36" s="541"/>
      <c r="DD36" s="541"/>
      <c r="DE36" s="541"/>
      <c r="DF36" s="541"/>
      <c r="DG36" s="541"/>
      <c r="DK36" s="528"/>
      <c r="DX36" s="519"/>
    </row>
    <row r="37" spans="2:128" ht="15">
      <c r="B37" s="480" t="s">
        <v>602</v>
      </c>
      <c r="C37" s="512"/>
      <c r="D37" s="512"/>
      <c r="E37" s="512"/>
      <c r="F37" s="512"/>
      <c r="G37" s="512"/>
      <c r="H37" s="512"/>
      <c r="I37" s="512"/>
      <c r="J37" s="512"/>
      <c r="K37" s="512"/>
      <c r="L37" s="512"/>
      <c r="M37" s="512"/>
      <c r="N37" s="512"/>
      <c r="O37" s="514"/>
      <c r="P37" s="534"/>
      <c r="Q37" s="534"/>
      <c r="R37" s="534"/>
      <c r="S37" s="534"/>
      <c r="T37" s="534"/>
      <c r="U37" s="534"/>
      <c r="V37" s="534"/>
      <c r="W37" s="544"/>
      <c r="X37" s="534"/>
      <c r="Y37" s="525"/>
      <c r="Z37" s="525"/>
      <c r="AA37" s="525"/>
      <c r="AB37" s="605"/>
      <c r="AC37" s="613"/>
      <c r="AD37" s="534"/>
      <c r="AE37" s="616"/>
      <c r="AF37" s="616"/>
      <c r="AG37" s="616"/>
      <c r="AH37" s="534"/>
      <c r="AI37" s="534"/>
      <c r="AJ37" s="534"/>
      <c r="AK37" s="607"/>
      <c r="AL37" s="616"/>
      <c r="AM37" s="617"/>
      <c r="AN37" s="617"/>
      <c r="AO37" s="617"/>
      <c r="AP37" s="525"/>
      <c r="AQ37" s="533"/>
      <c r="AR37" s="533"/>
      <c r="AS37" s="533"/>
      <c r="AT37" s="533"/>
      <c r="AU37" s="533"/>
      <c r="AV37" s="533"/>
      <c r="AW37" s="533"/>
      <c r="AX37" s="528"/>
      <c r="AY37" s="533"/>
      <c r="AZ37" s="533"/>
      <c r="BA37" s="535"/>
      <c r="BB37" s="533"/>
      <c r="BC37" s="533"/>
      <c r="BD37" s="525"/>
      <c r="BE37" s="525"/>
      <c r="BF37" s="525"/>
      <c r="BG37" s="525"/>
      <c r="BH37" s="525"/>
      <c r="BI37" s="525"/>
      <c r="BJ37" s="608"/>
      <c r="BK37" s="528"/>
      <c r="BL37" s="614"/>
      <c r="BM37" s="533"/>
      <c r="BN37" s="535"/>
      <c r="BO37" s="533"/>
      <c r="BP37" s="533"/>
      <c r="BQ37" s="526"/>
      <c r="BR37" s="525"/>
      <c r="BS37" s="525"/>
      <c r="BT37" s="525"/>
      <c r="BU37" s="525"/>
      <c r="BV37" s="525"/>
      <c r="BW37" s="525"/>
      <c r="BX37" s="528"/>
      <c r="BY37" s="525"/>
      <c r="BZ37" s="525"/>
      <c r="CA37" s="525"/>
      <c r="CB37" s="525"/>
      <c r="CC37" s="525"/>
      <c r="CD37" s="525"/>
      <c r="CE37" s="525"/>
      <c r="CF37" s="525"/>
      <c r="CG37" s="525"/>
      <c r="CH37" s="525"/>
      <c r="CI37" s="525"/>
      <c r="CJ37" s="525"/>
      <c r="CK37" s="528"/>
      <c r="CL37" s="526"/>
      <c r="CM37" s="525"/>
      <c r="CN37" s="526"/>
      <c r="CO37" s="525"/>
      <c r="CP37" s="525"/>
      <c r="CQ37" s="525"/>
      <c r="CR37" s="563"/>
      <c r="CS37" s="544">
        <f>-(901+523)*0.9467</f>
        <v>-1348.1007999999999</v>
      </c>
      <c r="CT37" s="525"/>
      <c r="CU37" s="525"/>
      <c r="CV37" s="525"/>
      <c r="CW37" s="525"/>
      <c r="CX37" s="528">
        <f t="shared" si="20"/>
        <v>-1348.1007999999999</v>
      </c>
      <c r="CY37" s="881"/>
      <c r="CZ37" s="541"/>
      <c r="DA37" s="541"/>
      <c r="DB37" s="541"/>
      <c r="DC37" s="541"/>
      <c r="DD37" s="541"/>
      <c r="DE37" s="541"/>
      <c r="DF37" s="541"/>
      <c r="DG37" s="541"/>
      <c r="DK37" s="528"/>
      <c r="DX37" s="519"/>
    </row>
    <row r="38" spans="2:128" ht="15">
      <c r="B38" s="480" t="s">
        <v>603</v>
      </c>
      <c r="C38" s="512"/>
      <c r="D38" s="512"/>
      <c r="E38" s="512"/>
      <c r="F38" s="512"/>
      <c r="G38" s="512"/>
      <c r="H38" s="512"/>
      <c r="I38" s="512"/>
      <c r="J38" s="512"/>
      <c r="K38" s="512"/>
      <c r="L38" s="512"/>
      <c r="M38" s="512"/>
      <c r="N38" s="512"/>
      <c r="O38" s="514"/>
      <c r="P38" s="534"/>
      <c r="Q38" s="534"/>
      <c r="R38" s="534"/>
      <c r="S38" s="534"/>
      <c r="T38" s="534"/>
      <c r="U38" s="534"/>
      <c r="V38" s="534"/>
      <c r="W38" s="544"/>
      <c r="X38" s="534"/>
      <c r="Y38" s="525"/>
      <c r="Z38" s="525"/>
      <c r="AA38" s="525"/>
      <c r="AB38" s="605"/>
      <c r="AC38" s="613"/>
      <c r="AD38" s="534"/>
      <c r="AE38" s="616"/>
      <c r="AF38" s="616"/>
      <c r="AG38" s="616"/>
      <c r="AH38" s="534"/>
      <c r="AI38" s="534"/>
      <c r="AJ38" s="534"/>
      <c r="AK38" s="607"/>
      <c r="AL38" s="616"/>
      <c r="AM38" s="617"/>
      <c r="AN38" s="617"/>
      <c r="AO38" s="617"/>
      <c r="AP38" s="525"/>
      <c r="AQ38" s="533"/>
      <c r="AR38" s="533"/>
      <c r="AS38" s="533"/>
      <c r="AT38" s="533"/>
      <c r="AU38" s="533"/>
      <c r="AV38" s="533"/>
      <c r="AW38" s="533"/>
      <c r="AX38" s="528"/>
      <c r="AY38" s="533"/>
      <c r="AZ38" s="533"/>
      <c r="BA38" s="535"/>
      <c r="BB38" s="533"/>
      <c r="BC38" s="533"/>
      <c r="BD38" s="525"/>
      <c r="BE38" s="525"/>
      <c r="BF38" s="525"/>
      <c r="BG38" s="525"/>
      <c r="BH38" s="525"/>
      <c r="BI38" s="525"/>
      <c r="BJ38" s="608"/>
      <c r="BK38" s="528"/>
      <c r="BL38" s="614"/>
      <c r="BM38" s="533"/>
      <c r="BN38" s="535"/>
      <c r="BO38" s="533"/>
      <c r="BP38" s="533"/>
      <c r="BQ38" s="526"/>
      <c r="BR38" s="525"/>
      <c r="BS38" s="525"/>
      <c r="BT38" s="525"/>
      <c r="BU38" s="525"/>
      <c r="BV38" s="525"/>
      <c r="BW38" s="525"/>
      <c r="BX38" s="528"/>
      <c r="BY38" s="525"/>
      <c r="BZ38" s="525"/>
      <c r="CA38" s="525"/>
      <c r="CB38" s="525"/>
      <c r="CC38" s="525"/>
      <c r="CD38" s="525"/>
      <c r="CE38" s="525"/>
      <c r="CF38" s="525"/>
      <c r="CG38" s="525"/>
      <c r="CH38" s="525"/>
      <c r="CI38" s="525"/>
      <c r="CJ38" s="525"/>
      <c r="CK38" s="528"/>
      <c r="CL38" s="526"/>
      <c r="CM38" s="525"/>
      <c r="CN38" s="526"/>
      <c r="CO38" s="525"/>
      <c r="CP38" s="525"/>
      <c r="CQ38" s="525"/>
      <c r="CR38" s="563"/>
      <c r="CS38" s="541"/>
      <c r="CT38" s="563"/>
      <c r="CU38" s="525"/>
      <c r="CV38" s="525"/>
      <c r="CW38" s="525"/>
      <c r="CX38" s="528">
        <f t="shared" si="20"/>
        <v>0</v>
      </c>
      <c r="CY38" s="544">
        <f>30643*0.9467</f>
        <v>29009.7281</v>
      </c>
      <c r="CZ38" s="541"/>
      <c r="DA38" s="541"/>
      <c r="DB38" s="541"/>
      <c r="DC38" s="541"/>
      <c r="DD38" s="541"/>
      <c r="DE38" s="541"/>
      <c r="DF38" s="541"/>
      <c r="DG38" s="541"/>
      <c r="DK38" s="528"/>
      <c r="DX38" s="519"/>
    </row>
    <row r="39" spans="2:128" ht="15">
      <c r="B39" s="480" t="s">
        <v>604</v>
      </c>
      <c r="C39" s="512"/>
      <c r="D39" s="512"/>
      <c r="E39" s="512"/>
      <c r="F39" s="512"/>
      <c r="G39" s="512"/>
      <c r="H39" s="512"/>
      <c r="I39" s="512"/>
      <c r="J39" s="512"/>
      <c r="K39" s="512"/>
      <c r="L39" s="512"/>
      <c r="M39" s="512"/>
      <c r="N39" s="512"/>
      <c r="O39" s="514"/>
      <c r="P39" s="534"/>
      <c r="Q39" s="534"/>
      <c r="R39" s="534"/>
      <c r="S39" s="534"/>
      <c r="T39" s="534"/>
      <c r="U39" s="534"/>
      <c r="V39" s="534"/>
      <c r="W39" s="544"/>
      <c r="X39" s="534"/>
      <c r="Y39" s="525"/>
      <c r="Z39" s="525"/>
      <c r="AA39" s="525"/>
      <c r="AB39" s="605"/>
      <c r="AC39" s="613"/>
      <c r="AD39" s="534"/>
      <c r="AE39" s="616"/>
      <c r="AF39" s="616"/>
      <c r="AG39" s="616"/>
      <c r="AH39" s="534"/>
      <c r="AI39" s="534"/>
      <c r="AJ39" s="534"/>
      <c r="AK39" s="607"/>
      <c r="AL39" s="616"/>
      <c r="AM39" s="617"/>
      <c r="AN39" s="617"/>
      <c r="AO39" s="617"/>
      <c r="AP39" s="525"/>
      <c r="AQ39" s="533"/>
      <c r="AR39" s="533"/>
      <c r="AS39" s="533"/>
      <c r="AT39" s="533"/>
      <c r="AU39" s="533"/>
      <c r="AV39" s="533"/>
      <c r="AW39" s="533"/>
      <c r="AX39" s="528"/>
      <c r="AY39" s="533"/>
      <c r="AZ39" s="533"/>
      <c r="BA39" s="535"/>
      <c r="BB39" s="533"/>
      <c r="BC39" s="533"/>
      <c r="BD39" s="525"/>
      <c r="BE39" s="525"/>
      <c r="BF39" s="525"/>
      <c r="BG39" s="525"/>
      <c r="BH39" s="525"/>
      <c r="BI39" s="525"/>
      <c r="BJ39" s="608"/>
      <c r="BK39" s="528"/>
      <c r="BL39" s="614"/>
      <c r="BM39" s="533"/>
      <c r="BN39" s="535"/>
      <c r="BO39" s="533"/>
      <c r="BP39" s="533"/>
      <c r="BQ39" s="526"/>
      <c r="BR39" s="525"/>
      <c r="BS39" s="525"/>
      <c r="BT39" s="525"/>
      <c r="BU39" s="525"/>
      <c r="BV39" s="525"/>
      <c r="BW39" s="525"/>
      <c r="BX39" s="528"/>
      <c r="BY39" s="525"/>
      <c r="BZ39" s="525"/>
      <c r="CA39" s="525"/>
      <c r="CB39" s="525"/>
      <c r="CC39" s="525"/>
      <c r="CD39" s="525"/>
      <c r="CE39" s="525"/>
      <c r="CF39" s="525"/>
      <c r="CG39" s="525"/>
      <c r="CH39" s="525"/>
      <c r="CI39" s="525"/>
      <c r="CJ39" s="525"/>
      <c r="CK39" s="528"/>
      <c r="CL39" s="526"/>
      <c r="CM39" s="525"/>
      <c r="CN39" s="526"/>
      <c r="CO39" s="525"/>
      <c r="CP39" s="525"/>
      <c r="CQ39" s="525"/>
      <c r="CR39" s="563"/>
      <c r="CS39" s="544">
        <f>(32111+31124)*0.9467</f>
        <v>59864.574500000002</v>
      </c>
      <c r="CT39" s="525"/>
      <c r="CU39" s="525"/>
      <c r="CV39" s="525"/>
      <c r="CW39" s="525"/>
      <c r="CX39" s="528">
        <f t="shared" si="20"/>
        <v>59864.574500000002</v>
      </c>
      <c r="CY39" s="881"/>
      <c r="CZ39" s="541"/>
      <c r="DA39" s="541"/>
      <c r="DB39" s="541"/>
      <c r="DC39" s="541"/>
      <c r="DD39" s="541"/>
      <c r="DE39" s="541"/>
      <c r="DF39" s="541"/>
      <c r="DG39" s="541"/>
      <c r="DK39" s="528"/>
      <c r="DX39" s="519"/>
    </row>
    <row r="40" spans="2:128" ht="15">
      <c r="B40" s="480" t="s">
        <v>605</v>
      </c>
      <c r="C40" s="512"/>
      <c r="D40" s="512"/>
      <c r="E40" s="512"/>
      <c r="F40" s="512"/>
      <c r="G40" s="512"/>
      <c r="H40" s="512"/>
      <c r="I40" s="512"/>
      <c r="J40" s="512"/>
      <c r="K40" s="512"/>
      <c r="L40" s="512"/>
      <c r="M40" s="512"/>
      <c r="N40" s="512"/>
      <c r="O40" s="514"/>
      <c r="P40" s="534"/>
      <c r="Q40" s="534"/>
      <c r="R40" s="534"/>
      <c r="S40" s="534"/>
      <c r="T40" s="534"/>
      <c r="U40" s="534"/>
      <c r="V40" s="534"/>
      <c r="W40" s="544"/>
      <c r="X40" s="534"/>
      <c r="Y40" s="525"/>
      <c r="Z40" s="525"/>
      <c r="AA40" s="525"/>
      <c r="AB40" s="605"/>
      <c r="AC40" s="613"/>
      <c r="AD40" s="534"/>
      <c r="AE40" s="616"/>
      <c r="AF40" s="616"/>
      <c r="AG40" s="616"/>
      <c r="AH40" s="534"/>
      <c r="AI40" s="534"/>
      <c r="AJ40" s="534"/>
      <c r="AK40" s="607"/>
      <c r="AL40" s="616"/>
      <c r="AM40" s="617"/>
      <c r="AN40" s="617"/>
      <c r="AO40" s="617"/>
      <c r="AP40" s="525"/>
      <c r="AQ40" s="533"/>
      <c r="AR40" s="533"/>
      <c r="AS40" s="533"/>
      <c r="AT40" s="533"/>
      <c r="AU40" s="533"/>
      <c r="AV40" s="533"/>
      <c r="AW40" s="533"/>
      <c r="AX40" s="528"/>
      <c r="AY40" s="533"/>
      <c r="AZ40" s="533"/>
      <c r="BA40" s="535"/>
      <c r="BB40" s="533"/>
      <c r="BC40" s="533"/>
      <c r="BD40" s="525"/>
      <c r="BE40" s="525"/>
      <c r="BF40" s="525"/>
      <c r="BG40" s="525"/>
      <c r="BH40" s="525"/>
      <c r="BI40" s="525"/>
      <c r="BJ40" s="608"/>
      <c r="BK40" s="528"/>
      <c r="BL40" s="614"/>
      <c r="BM40" s="533"/>
      <c r="BN40" s="535"/>
      <c r="BO40" s="533"/>
      <c r="BP40" s="533"/>
      <c r="BQ40" s="526"/>
      <c r="BR40" s="525"/>
      <c r="BS40" s="525"/>
      <c r="BT40" s="525"/>
      <c r="BU40" s="525"/>
      <c r="BV40" s="525"/>
      <c r="BW40" s="525"/>
      <c r="BX40" s="528"/>
      <c r="BY40" s="525"/>
      <c r="BZ40" s="525"/>
      <c r="CA40" s="525"/>
      <c r="CB40" s="525"/>
      <c r="CC40" s="525"/>
      <c r="CD40" s="525"/>
      <c r="CE40" s="525"/>
      <c r="CF40" s="525"/>
      <c r="CG40" s="525"/>
      <c r="CH40" s="525"/>
      <c r="CI40" s="525"/>
      <c r="CJ40" s="525"/>
      <c r="CK40" s="528"/>
      <c r="CL40" s="526"/>
      <c r="CM40" s="525"/>
      <c r="CN40" s="526"/>
      <c r="CO40" s="525"/>
      <c r="CP40" s="525"/>
      <c r="CQ40" s="525"/>
      <c r="CR40" s="563"/>
      <c r="CS40" s="544">
        <f>(31808+30845+31352+31808)*0.9467</f>
        <v>119107.16709999999</v>
      </c>
      <c r="CT40" s="525"/>
      <c r="CU40" s="525"/>
      <c r="CV40" s="525"/>
      <c r="CW40" s="525"/>
      <c r="CX40" s="528">
        <f t="shared" si="20"/>
        <v>119107.16709999999</v>
      </c>
      <c r="CY40" s="881"/>
      <c r="CZ40" s="541"/>
      <c r="DA40" s="541"/>
      <c r="DB40" s="541"/>
      <c r="DC40" s="541"/>
      <c r="DD40" s="541"/>
      <c r="DE40" s="541"/>
      <c r="DF40" s="541"/>
      <c r="DG40" s="541"/>
      <c r="DK40" s="528"/>
      <c r="DX40" s="519"/>
    </row>
    <row r="41" spans="2:128" ht="15">
      <c r="B41" s="480" t="s">
        <v>611</v>
      </c>
      <c r="C41" s="512"/>
      <c r="D41" s="512"/>
      <c r="E41" s="512"/>
      <c r="F41" s="512"/>
      <c r="G41" s="512"/>
      <c r="H41" s="512"/>
      <c r="I41" s="512"/>
      <c r="J41" s="512"/>
      <c r="K41" s="512"/>
      <c r="L41" s="512"/>
      <c r="M41" s="512"/>
      <c r="N41" s="512"/>
      <c r="O41" s="514"/>
      <c r="P41" s="534"/>
      <c r="Q41" s="534"/>
      <c r="R41" s="534"/>
      <c r="S41" s="534"/>
      <c r="T41" s="534"/>
      <c r="U41" s="534"/>
      <c r="V41" s="534"/>
      <c r="W41" s="544"/>
      <c r="X41" s="534"/>
      <c r="Y41" s="525"/>
      <c r="Z41" s="525"/>
      <c r="AA41" s="525"/>
      <c r="AB41" s="605"/>
      <c r="AC41" s="613"/>
      <c r="AD41" s="534"/>
      <c r="AE41" s="616"/>
      <c r="AF41" s="616"/>
      <c r="AG41" s="616"/>
      <c r="AH41" s="534"/>
      <c r="AI41" s="534"/>
      <c r="AJ41" s="534"/>
      <c r="AK41" s="607"/>
      <c r="AL41" s="616"/>
      <c r="AM41" s="617"/>
      <c r="AN41" s="617"/>
      <c r="AO41" s="617"/>
      <c r="AP41" s="525"/>
      <c r="AQ41" s="533"/>
      <c r="AR41" s="533"/>
      <c r="AS41" s="533"/>
      <c r="AT41" s="533"/>
      <c r="AU41" s="533"/>
      <c r="AV41" s="533"/>
      <c r="AW41" s="533"/>
      <c r="AX41" s="528"/>
      <c r="AY41" s="533"/>
      <c r="AZ41" s="533"/>
      <c r="BA41" s="535"/>
      <c r="BB41" s="533"/>
      <c r="BC41" s="533"/>
      <c r="BD41" s="525"/>
      <c r="BE41" s="525"/>
      <c r="BF41" s="525"/>
      <c r="BG41" s="525"/>
      <c r="BH41" s="525"/>
      <c r="BI41" s="525"/>
      <c r="BJ41" s="608"/>
      <c r="BK41" s="528"/>
      <c r="BL41" s="614"/>
      <c r="BM41" s="533"/>
      <c r="BN41" s="535"/>
      <c r="BO41" s="533"/>
      <c r="BP41" s="533"/>
      <c r="BQ41" s="526"/>
      <c r="BR41" s="525"/>
      <c r="BS41" s="525"/>
      <c r="BT41" s="525"/>
      <c r="BU41" s="525"/>
      <c r="BV41" s="525"/>
      <c r="BW41" s="525"/>
      <c r="BX41" s="528"/>
      <c r="BY41" s="525"/>
      <c r="BZ41" s="525"/>
      <c r="CA41" s="525"/>
      <c r="CB41" s="525"/>
      <c r="CC41" s="525"/>
      <c r="CD41" s="525"/>
      <c r="CE41" s="525"/>
      <c r="CF41" s="525"/>
      <c r="CG41" s="525"/>
      <c r="CH41" s="525"/>
      <c r="CI41" s="525"/>
      <c r="CJ41" s="525"/>
      <c r="CK41" s="528"/>
      <c r="CL41" s="526"/>
      <c r="CM41" s="525"/>
      <c r="CN41" s="526"/>
      <c r="CO41" s="525"/>
      <c r="CP41" s="525"/>
      <c r="CQ41" s="525"/>
      <c r="CR41" s="563"/>
      <c r="CS41" s="541"/>
      <c r="CT41" s="563"/>
      <c r="CU41" s="525"/>
      <c r="CV41" s="525"/>
      <c r="CW41" s="525"/>
      <c r="CX41" s="528">
        <f t="shared" si="20"/>
        <v>0</v>
      </c>
      <c r="CY41" s="544">
        <f>-4500</f>
        <v>-4500</v>
      </c>
      <c r="CZ41" s="541"/>
      <c r="DA41" s="541"/>
      <c r="DB41" s="541"/>
      <c r="DC41" s="541"/>
      <c r="DD41" s="541"/>
      <c r="DE41" s="541"/>
      <c r="DF41" s="541"/>
      <c r="DG41" s="541"/>
      <c r="DK41" s="528"/>
      <c r="DX41" s="519"/>
    </row>
    <row r="42" spans="2:128" ht="15">
      <c r="B42" s="480" t="s">
        <v>614</v>
      </c>
      <c r="C42" s="512"/>
      <c r="D42" s="512"/>
      <c r="E42" s="512"/>
      <c r="F42" s="512"/>
      <c r="G42" s="512"/>
      <c r="H42" s="512"/>
      <c r="I42" s="512"/>
      <c r="J42" s="512"/>
      <c r="K42" s="512"/>
      <c r="L42" s="512"/>
      <c r="M42" s="512"/>
      <c r="N42" s="512"/>
      <c r="O42" s="514"/>
      <c r="P42" s="534"/>
      <c r="Q42" s="534"/>
      <c r="R42" s="534"/>
      <c r="S42" s="534"/>
      <c r="T42" s="534"/>
      <c r="U42" s="534"/>
      <c r="V42" s="534"/>
      <c r="W42" s="544"/>
      <c r="X42" s="534"/>
      <c r="Y42" s="525"/>
      <c r="Z42" s="525"/>
      <c r="AA42" s="525"/>
      <c r="AB42" s="605"/>
      <c r="AC42" s="613"/>
      <c r="AD42" s="534"/>
      <c r="AE42" s="616"/>
      <c r="AF42" s="616"/>
      <c r="AG42" s="616"/>
      <c r="AH42" s="534"/>
      <c r="AI42" s="534"/>
      <c r="AJ42" s="534"/>
      <c r="AK42" s="607"/>
      <c r="AL42" s="616"/>
      <c r="AM42" s="617"/>
      <c r="AN42" s="617"/>
      <c r="AO42" s="617"/>
      <c r="AP42" s="525"/>
      <c r="AQ42" s="533"/>
      <c r="AR42" s="533"/>
      <c r="AS42" s="533"/>
      <c r="AT42" s="533"/>
      <c r="AU42" s="533"/>
      <c r="AV42" s="533"/>
      <c r="AW42" s="533"/>
      <c r="AX42" s="528"/>
      <c r="AY42" s="533"/>
      <c r="AZ42" s="533"/>
      <c r="BA42" s="535"/>
      <c r="BB42" s="533"/>
      <c r="BC42" s="533"/>
      <c r="BD42" s="525"/>
      <c r="BE42" s="525"/>
      <c r="BF42" s="525"/>
      <c r="BG42" s="525"/>
      <c r="BH42" s="525"/>
      <c r="BI42" s="525"/>
      <c r="BJ42" s="608"/>
      <c r="BK42" s="528"/>
      <c r="BL42" s="614"/>
      <c r="BM42" s="533"/>
      <c r="BN42" s="535"/>
      <c r="BO42" s="533"/>
      <c r="BP42" s="533"/>
      <c r="BQ42" s="526"/>
      <c r="BR42" s="525"/>
      <c r="BS42" s="525"/>
      <c r="BT42" s="525"/>
      <c r="BU42" s="525"/>
      <c r="BV42" s="525"/>
      <c r="BW42" s="525"/>
      <c r="BX42" s="528"/>
      <c r="BY42" s="525"/>
      <c r="BZ42" s="525"/>
      <c r="CA42" s="525"/>
      <c r="CB42" s="525"/>
      <c r="CC42" s="525"/>
      <c r="CD42" s="525"/>
      <c r="CE42" s="525"/>
      <c r="CF42" s="525"/>
      <c r="CG42" s="525"/>
      <c r="CH42" s="525"/>
      <c r="CI42" s="525"/>
      <c r="CJ42" s="525"/>
      <c r="CK42" s="528"/>
      <c r="CL42" s="526"/>
      <c r="CM42" s="525"/>
      <c r="CN42" s="526"/>
      <c r="CO42" s="525"/>
      <c r="CP42" s="525"/>
      <c r="CQ42" s="525"/>
      <c r="CR42" s="563"/>
      <c r="CS42" s="563"/>
      <c r="CT42" s="563"/>
      <c r="CU42" s="525"/>
      <c r="CV42" s="525"/>
      <c r="CW42" s="525"/>
      <c r="CX42" s="528">
        <f t="shared" si="20"/>
        <v>0</v>
      </c>
      <c r="CY42" s="544">
        <f>-45*4-90-450*4</f>
        <v>-2070</v>
      </c>
      <c r="CZ42" s="541"/>
      <c r="DA42" s="541"/>
      <c r="DB42" s="541"/>
      <c r="DC42" s="541"/>
      <c r="DD42" s="541"/>
      <c r="DE42" s="541"/>
      <c r="DF42" s="541"/>
      <c r="DG42" s="541"/>
      <c r="DK42" s="528"/>
      <c r="DX42" s="519"/>
    </row>
    <row r="43" spans="2:128" ht="15">
      <c r="B43" s="589" t="s">
        <v>606</v>
      </c>
      <c r="C43" s="512"/>
      <c r="D43" s="512"/>
      <c r="E43" s="512"/>
      <c r="F43" s="512"/>
      <c r="G43" s="512"/>
      <c r="H43" s="512"/>
      <c r="I43" s="512"/>
      <c r="J43" s="512"/>
      <c r="K43" s="512"/>
      <c r="L43" s="512"/>
      <c r="M43" s="512"/>
      <c r="N43" s="512"/>
      <c r="O43" s="514"/>
      <c r="P43" s="534"/>
      <c r="Q43" s="534"/>
      <c r="R43" s="534"/>
      <c r="S43" s="544"/>
      <c r="T43" s="534"/>
      <c r="U43" s="534"/>
      <c r="V43" s="534"/>
      <c r="W43" s="544"/>
      <c r="X43" s="525"/>
      <c r="Y43" s="525"/>
      <c r="Z43" s="525"/>
      <c r="AA43" s="525"/>
      <c r="AB43" s="605"/>
      <c r="AC43" s="620"/>
      <c r="AD43" s="616"/>
      <c r="AE43" s="616"/>
      <c r="AF43" s="534"/>
      <c r="AG43" s="534"/>
      <c r="AH43" s="534"/>
      <c r="AI43" s="544"/>
      <c r="AJ43" s="616"/>
      <c r="AK43" s="607"/>
      <c r="AL43" s="616"/>
      <c r="AM43" s="617"/>
      <c r="AN43" s="617"/>
      <c r="AO43" s="617"/>
      <c r="AP43" s="525"/>
      <c r="AQ43" s="533"/>
      <c r="AR43" s="533"/>
      <c r="AS43" s="525"/>
      <c r="AT43" s="525"/>
      <c r="AU43" s="533"/>
      <c r="AV43" s="525"/>
      <c r="AW43" s="533"/>
      <c r="AX43" s="528"/>
      <c r="AY43" s="525"/>
      <c r="AZ43" s="533"/>
      <c r="BA43" s="526"/>
      <c r="BB43" s="544"/>
      <c r="BC43" s="533"/>
      <c r="BD43" s="525"/>
      <c r="BE43" s="525"/>
      <c r="BF43" s="525"/>
      <c r="BG43" s="533"/>
      <c r="BH43" s="525"/>
      <c r="BI43" s="525"/>
      <c r="BJ43" s="608"/>
      <c r="BK43" s="528"/>
      <c r="BL43" s="614"/>
      <c r="BM43" s="533"/>
      <c r="BN43" s="535"/>
      <c r="BO43" s="533"/>
      <c r="BP43" s="533"/>
      <c r="BQ43" s="526"/>
      <c r="BR43" s="525"/>
      <c r="BS43" s="525"/>
      <c r="BT43" s="525"/>
      <c r="BU43" s="533"/>
      <c r="BV43" s="525"/>
      <c r="BW43" s="563"/>
      <c r="BX43" s="528"/>
      <c r="BY43" s="544"/>
      <c r="BZ43" s="525"/>
      <c r="CA43" s="525"/>
      <c r="CB43" s="525"/>
      <c r="CC43" s="525"/>
      <c r="CD43" s="525"/>
      <c r="CE43" s="525"/>
      <c r="CF43" s="525"/>
      <c r="CG43" s="544"/>
      <c r="CH43" s="525"/>
      <c r="CI43" s="525"/>
      <c r="CJ43" s="525"/>
      <c r="CK43" s="528">
        <f t="shared" si="12"/>
        <v>0</v>
      </c>
      <c r="CL43" s="526"/>
      <c r="CM43" s="525"/>
      <c r="CN43" s="526"/>
      <c r="CO43" s="525"/>
      <c r="CP43" s="525"/>
      <c r="CQ43" s="525"/>
      <c r="CR43" s="541"/>
      <c r="CS43" s="542">
        <f>(2015+80.6)*4+(2015+90.47)*4+(3100+139.19)*1</f>
        <v>20043.469999999998</v>
      </c>
      <c r="CT43" s="534">
        <f>90+450+450</f>
        <v>990</v>
      </c>
      <c r="CU43" s="525"/>
      <c r="CV43" s="525"/>
      <c r="CW43" s="619"/>
      <c r="CX43" s="528">
        <f t="shared" si="20"/>
        <v>21033.469999999998</v>
      </c>
      <c r="CY43" s="881"/>
      <c r="CZ43" s="541"/>
      <c r="DA43" s="541"/>
      <c r="DB43" s="541"/>
      <c r="DC43" s="541"/>
      <c r="DD43" s="541"/>
      <c r="DE43" s="541"/>
      <c r="DF43" s="541"/>
      <c r="DG43" s="541"/>
      <c r="DJ43" s="612"/>
      <c r="DK43" s="528"/>
      <c r="DX43" s="519"/>
    </row>
    <row r="44" spans="2:128" ht="15">
      <c r="B44" s="589" t="s">
        <v>613</v>
      </c>
      <c r="C44" s="512"/>
      <c r="D44" s="512"/>
      <c r="E44" s="512"/>
      <c r="F44" s="512"/>
      <c r="G44" s="512"/>
      <c r="H44" s="512"/>
      <c r="I44" s="512"/>
      <c r="J44" s="512"/>
      <c r="K44" s="512"/>
      <c r="L44" s="512"/>
      <c r="M44" s="512"/>
      <c r="N44" s="512"/>
      <c r="O44" s="514"/>
      <c r="P44" s="534"/>
      <c r="Q44" s="534"/>
      <c r="R44" s="534"/>
      <c r="S44" s="544"/>
      <c r="T44" s="534"/>
      <c r="U44" s="534"/>
      <c r="V44" s="534"/>
      <c r="W44" s="544"/>
      <c r="X44" s="525"/>
      <c r="Y44" s="525"/>
      <c r="Z44" s="525"/>
      <c r="AA44" s="525"/>
      <c r="AB44" s="605"/>
      <c r="AC44" s="620"/>
      <c r="AD44" s="616"/>
      <c r="AE44" s="616"/>
      <c r="AF44" s="534"/>
      <c r="AG44" s="534"/>
      <c r="AH44" s="534"/>
      <c r="AI44" s="544"/>
      <c r="AJ44" s="616"/>
      <c r="AK44" s="607"/>
      <c r="AL44" s="616"/>
      <c r="AM44" s="617"/>
      <c r="AN44" s="617"/>
      <c r="AO44" s="617"/>
      <c r="AP44" s="525"/>
      <c r="AQ44" s="533"/>
      <c r="AR44" s="533"/>
      <c r="AS44" s="525"/>
      <c r="AT44" s="525"/>
      <c r="AU44" s="533"/>
      <c r="AV44" s="525"/>
      <c r="AW44" s="533"/>
      <c r="AX44" s="528"/>
      <c r="AY44" s="525"/>
      <c r="AZ44" s="533"/>
      <c r="BA44" s="526"/>
      <c r="BB44" s="544"/>
      <c r="BC44" s="533"/>
      <c r="BD44" s="525"/>
      <c r="BE44" s="525"/>
      <c r="BF44" s="525"/>
      <c r="BG44" s="533"/>
      <c r="BH44" s="525"/>
      <c r="BI44" s="525"/>
      <c r="BJ44" s="608"/>
      <c r="BK44" s="528"/>
      <c r="BL44" s="614"/>
      <c r="BM44" s="533"/>
      <c r="BN44" s="535"/>
      <c r="BO44" s="533"/>
      <c r="BP44" s="533"/>
      <c r="BQ44" s="526"/>
      <c r="BR44" s="525"/>
      <c r="BS44" s="525"/>
      <c r="BT44" s="525"/>
      <c r="BU44" s="533"/>
      <c r="BV44" s="525"/>
      <c r="BW44" s="563"/>
      <c r="BX44" s="528"/>
      <c r="BY44" s="544"/>
      <c r="BZ44" s="525"/>
      <c r="CA44" s="525"/>
      <c r="CB44" s="525"/>
      <c r="CC44" s="525"/>
      <c r="CD44" s="525"/>
      <c r="CE44" s="525"/>
      <c r="CF44" s="525"/>
      <c r="CG44" s="544"/>
      <c r="CH44" s="525"/>
      <c r="CI44" s="525"/>
      <c r="CJ44" s="525"/>
      <c r="CK44" s="528"/>
      <c r="CL44" s="526"/>
      <c r="CM44" s="525"/>
      <c r="CN44" s="526"/>
      <c r="CO44" s="525"/>
      <c r="CP44" s="525"/>
      <c r="CQ44" s="525"/>
      <c r="CR44" s="541"/>
      <c r="CS44" s="542">
        <f>(2015+80.6)*6+(2015+90.47)*2</f>
        <v>16784.539999999997</v>
      </c>
      <c r="CT44" s="544">
        <f>54.45+54.45+54.45+45+450+450</f>
        <v>1108.3499999999999</v>
      </c>
      <c r="CU44" s="525"/>
      <c r="CV44" s="525"/>
      <c r="CW44" s="619"/>
      <c r="CX44" s="528">
        <f t="shared" si="20"/>
        <v>17892.889999999996</v>
      </c>
      <c r="CY44" s="881"/>
      <c r="CZ44" s="541"/>
      <c r="DA44" s="541"/>
      <c r="DB44" s="541"/>
      <c r="DC44" s="541"/>
      <c r="DD44" s="541"/>
      <c r="DE44" s="541"/>
      <c r="DF44" s="541"/>
      <c r="DG44" s="541"/>
      <c r="DJ44" s="612"/>
      <c r="DK44" s="528"/>
      <c r="DX44" s="519"/>
    </row>
    <row r="45" spans="2:128" ht="15">
      <c r="B45" s="589" t="s">
        <v>608</v>
      </c>
      <c r="C45" s="512"/>
      <c r="D45" s="512"/>
      <c r="E45" s="512"/>
      <c r="F45" s="512"/>
      <c r="G45" s="512"/>
      <c r="H45" s="512"/>
      <c r="I45" s="512"/>
      <c r="J45" s="512"/>
      <c r="K45" s="512"/>
      <c r="L45" s="512"/>
      <c r="M45" s="512"/>
      <c r="N45" s="512"/>
      <c r="O45" s="514"/>
      <c r="P45" s="534"/>
      <c r="Q45" s="534"/>
      <c r="R45" s="534"/>
      <c r="S45" s="544"/>
      <c r="T45" s="534"/>
      <c r="U45" s="534"/>
      <c r="V45" s="534"/>
      <c r="W45" s="544"/>
      <c r="X45" s="525"/>
      <c r="Y45" s="525"/>
      <c r="Z45" s="525"/>
      <c r="AA45" s="525"/>
      <c r="AB45" s="605"/>
      <c r="AC45" s="620"/>
      <c r="AD45" s="616"/>
      <c r="AE45" s="616"/>
      <c r="AF45" s="534"/>
      <c r="AG45" s="534"/>
      <c r="AH45" s="534"/>
      <c r="AI45" s="544"/>
      <c r="AJ45" s="616"/>
      <c r="AK45" s="607"/>
      <c r="AL45" s="616"/>
      <c r="AM45" s="617"/>
      <c r="AN45" s="617"/>
      <c r="AO45" s="617"/>
      <c r="AP45" s="525"/>
      <c r="AQ45" s="533"/>
      <c r="AR45" s="533"/>
      <c r="AS45" s="525"/>
      <c r="AT45" s="525"/>
      <c r="AU45" s="533"/>
      <c r="AV45" s="525"/>
      <c r="AW45" s="533"/>
      <c r="AX45" s="528"/>
      <c r="AY45" s="525"/>
      <c r="AZ45" s="533"/>
      <c r="BA45" s="526"/>
      <c r="BB45" s="544"/>
      <c r="BC45" s="533"/>
      <c r="BD45" s="525"/>
      <c r="BE45" s="525"/>
      <c r="BF45" s="525"/>
      <c r="BG45" s="533"/>
      <c r="BH45" s="525"/>
      <c r="BI45" s="525"/>
      <c r="BJ45" s="608"/>
      <c r="BK45" s="528"/>
      <c r="BL45" s="614"/>
      <c r="BM45" s="533"/>
      <c r="BN45" s="535"/>
      <c r="BO45" s="533"/>
      <c r="BP45" s="533"/>
      <c r="BQ45" s="526"/>
      <c r="BR45" s="525"/>
      <c r="BS45" s="525"/>
      <c r="BT45" s="525"/>
      <c r="BU45" s="533"/>
      <c r="BV45" s="525"/>
      <c r="BW45" s="563"/>
      <c r="BX45" s="528"/>
      <c r="BY45" s="544"/>
      <c r="BZ45" s="525"/>
      <c r="CA45" s="525"/>
      <c r="CB45" s="525"/>
      <c r="CC45" s="525"/>
      <c r="CD45" s="525"/>
      <c r="CE45" s="525"/>
      <c r="CF45" s="525"/>
      <c r="CG45" s="544"/>
      <c r="CH45" s="525"/>
      <c r="CI45" s="525"/>
      <c r="CJ45" s="525"/>
      <c r="CK45" s="528"/>
      <c r="CL45" s="526"/>
      <c r="CM45" s="525"/>
      <c r="CN45" s="526"/>
      <c r="CO45" s="525"/>
      <c r="CP45" s="525"/>
      <c r="CQ45" s="525"/>
      <c r="CR45" s="541"/>
      <c r="CS45" s="542">
        <f>(2450*5)*1.21+(2450*8)*1.21</f>
        <v>38538.5</v>
      </c>
      <c r="CT45" s="541"/>
      <c r="CU45" s="525"/>
      <c r="CV45" s="525"/>
      <c r="CW45" s="619"/>
      <c r="CX45" s="528">
        <f t="shared" si="20"/>
        <v>38538.5</v>
      </c>
      <c r="CY45" s="881"/>
      <c r="CZ45" s="541"/>
      <c r="DA45" s="541"/>
      <c r="DB45" s="541"/>
      <c r="DC45" s="541"/>
      <c r="DD45" s="541"/>
      <c r="DE45" s="541"/>
      <c r="DF45" s="541"/>
      <c r="DG45" s="541"/>
      <c r="DJ45" s="612"/>
      <c r="DK45" s="528"/>
      <c r="DX45" s="519"/>
    </row>
    <row r="46" spans="2:128" ht="15">
      <c r="B46" s="589" t="s">
        <v>612</v>
      </c>
      <c r="C46" s="512"/>
      <c r="D46" s="512"/>
      <c r="E46" s="512"/>
      <c r="F46" s="512"/>
      <c r="G46" s="512"/>
      <c r="H46" s="512"/>
      <c r="I46" s="512"/>
      <c r="J46" s="512"/>
      <c r="K46" s="512"/>
      <c r="L46" s="512"/>
      <c r="M46" s="512"/>
      <c r="N46" s="512"/>
      <c r="O46" s="514"/>
      <c r="P46" s="534"/>
      <c r="Q46" s="534"/>
      <c r="R46" s="534"/>
      <c r="S46" s="544"/>
      <c r="T46" s="534"/>
      <c r="U46" s="534"/>
      <c r="V46" s="534"/>
      <c r="W46" s="544"/>
      <c r="X46" s="525"/>
      <c r="Y46" s="525"/>
      <c r="Z46" s="525"/>
      <c r="AA46" s="525"/>
      <c r="AB46" s="605"/>
      <c r="AC46" s="620"/>
      <c r="AD46" s="616"/>
      <c r="AE46" s="616"/>
      <c r="AF46" s="534"/>
      <c r="AG46" s="534"/>
      <c r="AH46" s="534"/>
      <c r="AI46" s="544"/>
      <c r="AJ46" s="616"/>
      <c r="AK46" s="607"/>
      <c r="AL46" s="616"/>
      <c r="AM46" s="617"/>
      <c r="AN46" s="617"/>
      <c r="AO46" s="617"/>
      <c r="AP46" s="525"/>
      <c r="AQ46" s="533"/>
      <c r="AR46" s="533"/>
      <c r="AS46" s="525"/>
      <c r="AT46" s="525"/>
      <c r="AU46" s="533"/>
      <c r="AV46" s="525"/>
      <c r="AW46" s="533"/>
      <c r="AX46" s="528"/>
      <c r="AY46" s="525"/>
      <c r="AZ46" s="533"/>
      <c r="BA46" s="526"/>
      <c r="BB46" s="544"/>
      <c r="BC46" s="533"/>
      <c r="BD46" s="525"/>
      <c r="BE46" s="525"/>
      <c r="BF46" s="525"/>
      <c r="BG46" s="533"/>
      <c r="BH46" s="525"/>
      <c r="BI46" s="525"/>
      <c r="BJ46" s="608"/>
      <c r="BK46" s="528"/>
      <c r="BL46" s="614"/>
      <c r="BM46" s="533"/>
      <c r="BN46" s="535"/>
      <c r="BO46" s="533"/>
      <c r="BP46" s="533"/>
      <c r="BQ46" s="526"/>
      <c r="BR46" s="525"/>
      <c r="BS46" s="525"/>
      <c r="BT46" s="525"/>
      <c r="BU46" s="533"/>
      <c r="BV46" s="525"/>
      <c r="BW46" s="563"/>
      <c r="BX46" s="528"/>
      <c r="BY46" s="544"/>
      <c r="BZ46" s="525"/>
      <c r="CA46" s="525"/>
      <c r="CB46" s="525"/>
      <c r="CC46" s="525"/>
      <c r="CD46" s="525"/>
      <c r="CE46" s="525"/>
      <c r="CF46" s="525"/>
      <c r="CG46" s="544"/>
      <c r="CH46" s="525"/>
      <c r="CI46" s="525"/>
      <c r="CJ46" s="525"/>
      <c r="CK46" s="528"/>
      <c r="CL46" s="526"/>
      <c r="CM46" s="525"/>
      <c r="CN46" s="526"/>
      <c r="CO46" s="525"/>
      <c r="CP46" s="525"/>
      <c r="CQ46" s="525"/>
      <c r="CR46" s="541"/>
      <c r="CS46" s="542">
        <f>-(572.69*1.21)</f>
        <v>-692.95490000000007</v>
      </c>
      <c r="CT46" s="525"/>
      <c r="CU46" s="525"/>
      <c r="CV46" s="525"/>
      <c r="CW46" s="619"/>
      <c r="CX46" s="528">
        <f t="shared" si="20"/>
        <v>-692.95490000000007</v>
      </c>
      <c r="CY46" s="881"/>
      <c r="CZ46" s="541"/>
      <c r="DA46" s="541"/>
      <c r="DB46" s="541"/>
      <c r="DC46" s="541"/>
      <c r="DD46" s="541"/>
      <c r="DE46" s="541"/>
      <c r="DF46" s="541"/>
      <c r="DG46" s="541"/>
      <c r="DJ46" s="612"/>
      <c r="DK46" s="528"/>
      <c r="DX46" s="519"/>
    </row>
    <row r="47" spans="2:128" ht="15">
      <c r="B47" s="589" t="s">
        <v>609</v>
      </c>
      <c r="C47" s="512"/>
      <c r="D47" s="512"/>
      <c r="E47" s="512"/>
      <c r="F47" s="512"/>
      <c r="G47" s="512"/>
      <c r="H47" s="512"/>
      <c r="I47" s="512"/>
      <c r="J47" s="512"/>
      <c r="K47" s="512"/>
      <c r="L47" s="512"/>
      <c r="M47" s="512"/>
      <c r="N47" s="512"/>
      <c r="O47" s="514"/>
      <c r="P47" s="534"/>
      <c r="Q47" s="534"/>
      <c r="R47" s="534"/>
      <c r="S47" s="544"/>
      <c r="T47" s="534"/>
      <c r="U47" s="534"/>
      <c r="V47" s="534"/>
      <c r="W47" s="544"/>
      <c r="X47" s="525"/>
      <c r="Y47" s="525"/>
      <c r="Z47" s="525"/>
      <c r="AA47" s="525"/>
      <c r="AB47" s="605"/>
      <c r="AC47" s="620"/>
      <c r="AD47" s="616"/>
      <c r="AE47" s="616"/>
      <c r="AF47" s="534"/>
      <c r="AG47" s="534"/>
      <c r="AH47" s="534"/>
      <c r="AI47" s="544"/>
      <c r="AJ47" s="616"/>
      <c r="AK47" s="607"/>
      <c r="AL47" s="616"/>
      <c r="AM47" s="617"/>
      <c r="AN47" s="617"/>
      <c r="AO47" s="617"/>
      <c r="AP47" s="525"/>
      <c r="AQ47" s="533"/>
      <c r="AR47" s="533"/>
      <c r="AS47" s="525"/>
      <c r="AT47" s="525"/>
      <c r="AU47" s="533"/>
      <c r="AV47" s="525"/>
      <c r="AW47" s="533"/>
      <c r="AX47" s="528"/>
      <c r="AY47" s="525"/>
      <c r="AZ47" s="533"/>
      <c r="BA47" s="526"/>
      <c r="BB47" s="544"/>
      <c r="BC47" s="533"/>
      <c r="BD47" s="525"/>
      <c r="BE47" s="525"/>
      <c r="BF47" s="525"/>
      <c r="BG47" s="533"/>
      <c r="BH47" s="525"/>
      <c r="BI47" s="525"/>
      <c r="BJ47" s="608"/>
      <c r="BK47" s="528"/>
      <c r="BL47" s="614"/>
      <c r="BM47" s="533"/>
      <c r="BN47" s="535"/>
      <c r="BO47" s="533"/>
      <c r="BP47" s="533"/>
      <c r="BQ47" s="526"/>
      <c r="BR47" s="525"/>
      <c r="BS47" s="525"/>
      <c r="BT47" s="525"/>
      <c r="BU47" s="533"/>
      <c r="BV47" s="525"/>
      <c r="BW47" s="563"/>
      <c r="BX47" s="528"/>
      <c r="BY47" s="544"/>
      <c r="BZ47" s="525"/>
      <c r="CA47" s="525"/>
      <c r="CB47" s="525"/>
      <c r="CC47" s="525"/>
      <c r="CD47" s="525"/>
      <c r="CE47" s="525"/>
      <c r="CF47" s="525"/>
      <c r="CG47" s="544"/>
      <c r="CH47" s="525"/>
      <c r="CI47" s="525"/>
      <c r="CJ47" s="525"/>
      <c r="CK47" s="528"/>
      <c r="CL47" s="526"/>
      <c r="CM47" s="525"/>
      <c r="CN47" s="526"/>
      <c r="CO47" s="525"/>
      <c r="CP47" s="525"/>
      <c r="CQ47" s="525"/>
      <c r="CR47" s="541"/>
      <c r="CS47" s="544">
        <f>17*3800+3800*1+2700</f>
        <v>71100</v>
      </c>
      <c r="CT47" s="525"/>
      <c r="CU47" s="525"/>
      <c r="CV47" s="525"/>
      <c r="CW47" s="619"/>
      <c r="CX47" s="528">
        <f t="shared" si="20"/>
        <v>71100</v>
      </c>
      <c r="CY47" s="881"/>
      <c r="CZ47" s="541"/>
      <c r="DA47" s="541"/>
      <c r="DB47" s="541"/>
      <c r="DC47" s="541"/>
      <c r="DD47" s="541"/>
      <c r="DE47" s="541"/>
      <c r="DF47" s="541"/>
      <c r="DG47" s="541"/>
      <c r="DJ47" s="612"/>
      <c r="DK47" s="528"/>
      <c r="DX47" s="519"/>
    </row>
    <row r="48" spans="2:128" s="821" customFormat="1" ht="15.75" thickBot="1">
      <c r="B48" s="844" t="s">
        <v>571</v>
      </c>
      <c r="C48" s="822"/>
      <c r="D48" s="822"/>
      <c r="E48" s="822"/>
      <c r="F48" s="822"/>
      <c r="G48" s="822"/>
      <c r="H48" s="822"/>
      <c r="I48" s="822"/>
      <c r="J48" s="822"/>
      <c r="K48" s="822"/>
      <c r="L48" s="822"/>
      <c r="M48" s="822"/>
      <c r="N48" s="822"/>
      <c r="O48" s="823">
        <f t="shared" si="9"/>
        <v>0</v>
      </c>
      <c r="P48" s="824"/>
      <c r="Q48" s="825"/>
      <c r="R48" s="824"/>
      <c r="S48" s="824"/>
      <c r="T48" s="824"/>
      <c r="U48" s="824"/>
      <c r="V48" s="824"/>
      <c r="W48" s="825"/>
      <c r="X48" s="826"/>
      <c r="Y48" s="826"/>
      <c r="Z48" s="826"/>
      <c r="AA48" s="826"/>
      <c r="AB48" s="827">
        <f t="shared" si="10"/>
        <v>0</v>
      </c>
      <c r="AC48" s="859"/>
      <c r="AD48" s="824"/>
      <c r="AE48" s="829"/>
      <c r="AF48" s="829"/>
      <c r="AG48" s="829"/>
      <c r="AH48" s="829"/>
      <c r="AI48" s="829"/>
      <c r="AJ48" s="829"/>
      <c r="AK48" s="830">
        <f t="shared" si="13"/>
        <v>0</v>
      </c>
      <c r="AL48" s="829"/>
      <c r="AM48" s="831"/>
      <c r="AN48" s="838"/>
      <c r="AO48" s="831"/>
      <c r="AP48" s="826"/>
      <c r="AQ48" s="826"/>
      <c r="AR48" s="826"/>
      <c r="AS48" s="826"/>
      <c r="AT48" s="826"/>
      <c r="AU48" s="826"/>
      <c r="AV48" s="826"/>
      <c r="AW48" s="832"/>
      <c r="AX48" s="833">
        <f t="shared" si="11"/>
        <v>0</v>
      </c>
      <c r="AY48" s="834"/>
      <c r="AZ48" s="832"/>
      <c r="BA48" s="835"/>
      <c r="BB48" s="832"/>
      <c r="BC48" s="832"/>
      <c r="BD48" s="832"/>
      <c r="BE48" s="826"/>
      <c r="BF48" s="826"/>
      <c r="BG48" s="826"/>
      <c r="BH48" s="826"/>
      <c r="BI48" s="826"/>
      <c r="BJ48" s="836"/>
      <c r="BK48" s="833">
        <f t="shared" si="19"/>
        <v>0</v>
      </c>
      <c r="BL48" s="834"/>
      <c r="BM48" s="832"/>
      <c r="BN48" s="835"/>
      <c r="BO48" s="832"/>
      <c r="BP48" s="832"/>
      <c r="BQ48" s="835"/>
      <c r="BR48" s="826"/>
      <c r="BS48" s="826"/>
      <c r="BT48" s="826"/>
      <c r="BU48" s="826"/>
      <c r="BV48" s="826"/>
      <c r="BW48" s="836"/>
      <c r="BX48" s="833">
        <f t="shared" si="15"/>
        <v>0</v>
      </c>
      <c r="BY48" s="826"/>
      <c r="BZ48" s="826"/>
      <c r="CA48" s="826"/>
      <c r="CB48" s="826"/>
      <c r="CC48" s="826"/>
      <c r="CD48" s="826"/>
      <c r="CE48" s="826"/>
      <c r="CF48" s="826"/>
      <c r="CG48" s="826"/>
      <c r="CH48" s="826"/>
      <c r="CI48" s="826"/>
      <c r="CJ48" s="826"/>
      <c r="CK48" s="833">
        <f t="shared" si="12"/>
        <v>0</v>
      </c>
      <c r="CL48" s="837"/>
      <c r="CM48" s="826"/>
      <c r="CN48" s="837"/>
      <c r="CO48" s="826"/>
      <c r="CP48" s="826"/>
      <c r="CQ48" s="826"/>
      <c r="CR48" s="826"/>
      <c r="CS48" s="860"/>
      <c r="CT48" s="861"/>
      <c r="CU48" s="826"/>
      <c r="CV48" s="826"/>
      <c r="CW48" s="826"/>
      <c r="CX48" s="833">
        <f t="shared" si="20"/>
        <v>0</v>
      </c>
      <c r="CY48" s="882"/>
      <c r="CZ48" s="860"/>
      <c r="DA48" s="860"/>
      <c r="DB48" s="860"/>
      <c r="DC48" s="860"/>
      <c r="DD48" s="860"/>
      <c r="DE48" s="860"/>
      <c r="DF48" s="860"/>
      <c r="DG48" s="860"/>
      <c r="DK48" s="833">
        <f t="shared" si="17"/>
        <v>0</v>
      </c>
      <c r="DX48" s="843">
        <f t="shared" si="18"/>
        <v>0</v>
      </c>
    </row>
    <row r="49" spans="1:128" ht="15">
      <c r="B49" s="480" t="s">
        <v>625</v>
      </c>
      <c r="C49" s="512"/>
      <c r="D49" s="512"/>
      <c r="E49" s="512"/>
      <c r="F49" s="512"/>
      <c r="G49" s="512"/>
      <c r="H49" s="512"/>
      <c r="I49" s="512"/>
      <c r="J49" s="512"/>
      <c r="K49" s="512"/>
      <c r="L49" s="512"/>
      <c r="M49" s="512"/>
      <c r="N49" s="512"/>
      <c r="O49" s="514">
        <f t="shared" si="9"/>
        <v>0</v>
      </c>
      <c r="P49" s="534"/>
      <c r="Q49" s="544"/>
      <c r="R49" s="534"/>
      <c r="S49" s="534"/>
      <c r="T49" s="534"/>
      <c r="U49" s="534"/>
      <c r="V49" s="534"/>
      <c r="W49" s="544"/>
      <c r="X49" s="525"/>
      <c r="Y49" s="525"/>
      <c r="Z49" s="525"/>
      <c r="AA49" s="525"/>
      <c r="AB49" s="605">
        <f t="shared" si="10"/>
        <v>0</v>
      </c>
      <c r="AC49" s="613"/>
      <c r="AD49" s="534"/>
      <c r="AE49" s="534"/>
      <c r="AF49" s="544"/>
      <c r="AG49" s="616"/>
      <c r="AH49" s="616"/>
      <c r="AI49" s="616"/>
      <c r="AJ49" s="616"/>
      <c r="AK49" s="607">
        <f t="shared" si="13"/>
        <v>0</v>
      </c>
      <c r="AL49" s="616"/>
      <c r="AM49" s="617"/>
      <c r="AN49" s="617"/>
      <c r="AO49" s="617"/>
      <c r="AP49" s="525"/>
      <c r="AQ49" s="525"/>
      <c r="AR49" s="525"/>
      <c r="AS49" s="525"/>
      <c r="AT49" s="525"/>
      <c r="AU49" s="544"/>
      <c r="AV49" s="533"/>
      <c r="AW49" s="533"/>
      <c r="AX49" s="528">
        <f>SUM(AL49:AW49)</f>
        <v>0</v>
      </c>
      <c r="AY49" s="614"/>
      <c r="AZ49" s="533"/>
      <c r="BA49" s="535"/>
      <c r="BB49" s="533"/>
      <c r="BC49" s="533"/>
      <c r="BD49" s="525"/>
      <c r="BE49" s="544"/>
      <c r="BF49" s="525"/>
      <c r="BG49" s="525"/>
      <c r="BH49" s="525"/>
      <c r="BI49" s="525"/>
      <c r="BJ49" s="608"/>
      <c r="BK49" s="528">
        <f t="shared" si="19"/>
        <v>0</v>
      </c>
      <c r="BL49" s="614"/>
      <c r="BM49" s="533"/>
      <c r="BN49" s="535"/>
      <c r="BO49" s="533"/>
      <c r="BP49" s="533"/>
      <c r="BQ49" s="526"/>
      <c r="BR49" s="544"/>
      <c r="BS49" s="525"/>
      <c r="BT49" s="525"/>
      <c r="BU49" s="525"/>
      <c r="BV49" s="525"/>
      <c r="BW49" s="608"/>
      <c r="BX49" s="528">
        <f t="shared" si="15"/>
        <v>0</v>
      </c>
      <c r="BY49" s="525"/>
      <c r="BZ49" s="525"/>
      <c r="CA49" s="525"/>
      <c r="CB49" s="525"/>
      <c r="CC49" s="525"/>
      <c r="CD49" s="544"/>
      <c r="CE49" s="525"/>
      <c r="CF49" s="525"/>
      <c r="CG49" s="525"/>
      <c r="CH49" s="525"/>
      <c r="CI49" s="525"/>
      <c r="CJ49" s="525"/>
      <c r="CK49" s="528">
        <f t="shared" si="12"/>
        <v>0</v>
      </c>
      <c r="CL49" s="526"/>
      <c r="CM49" s="525"/>
      <c r="CN49" s="526"/>
      <c r="CO49" s="525"/>
      <c r="CP49" s="525"/>
      <c r="CQ49" s="563"/>
      <c r="CR49" s="525"/>
      <c r="CS49" s="525"/>
      <c r="CT49" s="525"/>
      <c r="CU49" s="525"/>
      <c r="CV49" s="544">
        <f>(25200+25760+26080+25300)*0.948*1.1</f>
        <v>106720.152</v>
      </c>
      <c r="CW49" s="563"/>
      <c r="CX49" s="528">
        <f t="shared" si="20"/>
        <v>106720.152</v>
      </c>
      <c r="CY49" s="541"/>
      <c r="CZ49" s="544">
        <f>((25200+25760+26080+25300)*0.948*1.21)-((25200+25760+26080+25300)*0.948*1.1)</f>
        <v>10672.01519999998</v>
      </c>
      <c r="DA49" s="541"/>
      <c r="DB49" s="541"/>
      <c r="DC49" s="541"/>
      <c r="DD49" s="848"/>
      <c r="DE49" s="541"/>
      <c r="DF49" s="541"/>
      <c r="DG49" s="541"/>
      <c r="DK49" s="528">
        <f t="shared" ref="DK49:DK55" si="21">SUM(CZ49:DJ49)</f>
        <v>10672.01519999998</v>
      </c>
      <c r="DX49" s="519">
        <f t="shared" si="18"/>
        <v>0</v>
      </c>
    </row>
    <row r="50" spans="1:128" ht="15">
      <c r="A50" s="589"/>
      <c r="B50" s="480" t="s">
        <v>626</v>
      </c>
      <c r="C50" s="512"/>
      <c r="D50" s="512"/>
      <c r="E50" s="512"/>
      <c r="F50" s="512"/>
      <c r="G50" s="512"/>
      <c r="H50" s="512"/>
      <c r="I50" s="512"/>
      <c r="J50" s="512"/>
      <c r="K50" s="512"/>
      <c r="L50" s="512"/>
      <c r="M50" s="512"/>
      <c r="N50" s="512"/>
      <c r="O50" s="514">
        <f t="shared" si="9"/>
        <v>0</v>
      </c>
      <c r="P50" s="534"/>
      <c r="Q50" s="534"/>
      <c r="R50" s="534"/>
      <c r="S50" s="534"/>
      <c r="T50" s="534"/>
      <c r="U50" s="534"/>
      <c r="V50" s="544"/>
      <c r="W50" s="544"/>
      <c r="X50" s="525"/>
      <c r="Y50" s="525"/>
      <c r="Z50" s="525"/>
      <c r="AA50" s="525"/>
      <c r="AB50" s="605">
        <f t="shared" si="10"/>
        <v>0</v>
      </c>
      <c r="AC50" s="620"/>
      <c r="AD50" s="534"/>
      <c r="AE50" s="534"/>
      <c r="AF50" s="534"/>
      <c r="AG50" s="534"/>
      <c r="AH50" s="534"/>
      <c r="AI50" s="534"/>
      <c r="AJ50" s="534"/>
      <c r="AK50" s="607">
        <f t="shared" si="13"/>
        <v>0</v>
      </c>
      <c r="AL50" s="534"/>
      <c r="AM50" s="544"/>
      <c r="AN50" s="525"/>
      <c r="AO50" s="617"/>
      <c r="AP50" s="525"/>
      <c r="AQ50" s="525"/>
      <c r="AR50" s="525"/>
      <c r="AS50" s="525"/>
      <c r="AT50" s="525"/>
      <c r="AU50" s="533"/>
      <c r="AV50" s="533"/>
      <c r="AW50" s="544"/>
      <c r="AX50" s="528">
        <f>SUM(AL50:AW50)</f>
        <v>0</v>
      </c>
      <c r="AY50" s="614"/>
      <c r="AZ50" s="533"/>
      <c r="BA50" s="535"/>
      <c r="BB50" s="533"/>
      <c r="BC50" s="533"/>
      <c r="BD50" s="525"/>
      <c r="BE50" s="525"/>
      <c r="BF50" s="525"/>
      <c r="BG50" s="525"/>
      <c r="BH50" s="525"/>
      <c r="BI50" s="525"/>
      <c r="BJ50" s="563"/>
      <c r="BK50" s="528">
        <f>SUM(AY50:BJ50)</f>
        <v>0</v>
      </c>
      <c r="BL50" s="544"/>
      <c r="BM50" s="533"/>
      <c r="BN50" s="535"/>
      <c r="BO50" s="533"/>
      <c r="BP50" s="533"/>
      <c r="BQ50" s="526"/>
      <c r="BR50" s="525"/>
      <c r="BS50" s="525"/>
      <c r="BT50" s="525"/>
      <c r="BU50" s="525"/>
      <c r="BV50" s="544"/>
      <c r="BW50" s="525"/>
      <c r="BX50" s="528">
        <f>SUM(BL50:BV50)</f>
        <v>0</v>
      </c>
      <c r="BY50" s="525"/>
      <c r="BZ50" s="525"/>
      <c r="CA50" s="525"/>
      <c r="CB50" s="525"/>
      <c r="CC50" s="525"/>
      <c r="CD50" s="619"/>
      <c r="CE50" s="525"/>
      <c r="CF50" s="525"/>
      <c r="CG50" s="525"/>
      <c r="CH50" s="525"/>
      <c r="CI50" s="525"/>
      <c r="CJ50" s="544"/>
      <c r="CK50" s="528">
        <f t="shared" si="12"/>
        <v>0</v>
      </c>
      <c r="CL50" s="526"/>
      <c r="CM50" s="525"/>
      <c r="CN50" s="526"/>
      <c r="CO50" s="525"/>
      <c r="CP50" s="525"/>
      <c r="CQ50" s="525"/>
      <c r="CR50" s="525"/>
      <c r="CS50" s="525"/>
      <c r="CT50" s="525"/>
      <c r="CU50" s="525"/>
      <c r="CV50" s="544">
        <f t="shared" ref="CV50" si="22">(25540+25640+25880)*0.948*1.1</f>
        <v>80358.167999999991</v>
      </c>
      <c r="CW50" s="563"/>
      <c r="CX50" s="528">
        <f t="shared" si="20"/>
        <v>80358.167999999991</v>
      </c>
      <c r="CY50" s="541"/>
      <c r="CZ50" s="544">
        <f>((25540+25640+25880)*0.948*1.21)-((25540+25640+25880)*0.948*1.1)</f>
        <v>8035.8168000000005</v>
      </c>
      <c r="DA50" s="541"/>
      <c r="DB50" s="541"/>
      <c r="DC50" s="541"/>
      <c r="DD50" s="541"/>
      <c r="DE50" s="541"/>
      <c r="DF50" s="541"/>
      <c r="DG50" s="541"/>
      <c r="DJ50" s="612"/>
      <c r="DK50" s="528">
        <f t="shared" si="21"/>
        <v>8035.8168000000005</v>
      </c>
      <c r="DX50" s="519">
        <f t="shared" si="18"/>
        <v>0</v>
      </c>
    </row>
    <row r="51" spans="1:128" ht="15">
      <c r="A51" s="589"/>
      <c r="B51" s="480" t="s">
        <v>627</v>
      </c>
      <c r="C51" s="512"/>
      <c r="D51" s="512"/>
      <c r="E51" s="512"/>
      <c r="F51" s="512"/>
      <c r="G51" s="512"/>
      <c r="H51" s="512"/>
      <c r="I51" s="512"/>
      <c r="J51" s="512"/>
      <c r="K51" s="512"/>
      <c r="L51" s="512"/>
      <c r="M51" s="512"/>
      <c r="N51" s="512"/>
      <c r="O51" s="514">
        <f t="shared" si="9"/>
        <v>0</v>
      </c>
      <c r="P51" s="534"/>
      <c r="Q51" s="616"/>
      <c r="R51" s="616"/>
      <c r="S51" s="534"/>
      <c r="T51" s="534"/>
      <c r="U51" s="534"/>
      <c r="V51" s="534"/>
      <c r="W51" s="544"/>
      <c r="X51" s="525"/>
      <c r="Y51" s="525"/>
      <c r="Z51" s="525"/>
      <c r="AA51" s="525"/>
      <c r="AB51" s="605">
        <f t="shared" si="10"/>
        <v>0</v>
      </c>
      <c r="AC51" s="620"/>
      <c r="AD51" s="616"/>
      <c r="AE51" s="616"/>
      <c r="AF51" s="616"/>
      <c r="AG51" s="534"/>
      <c r="AH51" s="534"/>
      <c r="AI51" s="621"/>
      <c r="AJ51" s="534"/>
      <c r="AK51" s="607">
        <f t="shared" si="13"/>
        <v>0</v>
      </c>
      <c r="AL51" s="616"/>
      <c r="AM51" s="617"/>
      <c r="AN51" s="617"/>
      <c r="AO51" s="617"/>
      <c r="AP51" s="525"/>
      <c r="AQ51" s="533"/>
      <c r="AR51" s="533"/>
      <c r="AS51" s="525"/>
      <c r="AT51" s="544"/>
      <c r="AU51" s="533"/>
      <c r="AV51" s="533"/>
      <c r="AW51" s="533"/>
      <c r="AX51" s="528">
        <f t="shared" si="11"/>
        <v>0</v>
      </c>
      <c r="AY51" s="614"/>
      <c r="AZ51" s="533"/>
      <c r="BA51" s="533"/>
      <c r="BB51" s="533"/>
      <c r="BC51" s="533"/>
      <c r="BD51" s="525"/>
      <c r="BE51" s="525"/>
      <c r="BF51" s="525"/>
      <c r="BG51" s="525"/>
      <c r="BH51" s="544"/>
      <c r="BI51" s="525"/>
      <c r="BJ51" s="608"/>
      <c r="BK51" s="528">
        <f t="shared" si="19"/>
        <v>0</v>
      </c>
      <c r="BL51" s="614"/>
      <c r="BM51" s="533"/>
      <c r="BN51" s="535"/>
      <c r="BO51" s="533"/>
      <c r="BP51" s="533"/>
      <c r="BQ51" s="526"/>
      <c r="BR51" s="525"/>
      <c r="BS51" s="544"/>
      <c r="BT51" s="525"/>
      <c r="BU51" s="525"/>
      <c r="BV51" s="525"/>
      <c r="BW51" s="608"/>
      <c r="BX51" s="528">
        <f t="shared" si="15"/>
        <v>0</v>
      </c>
      <c r="BY51" s="525"/>
      <c r="BZ51" s="525"/>
      <c r="CA51" s="525"/>
      <c r="CB51" s="525"/>
      <c r="CC51" s="525"/>
      <c r="CD51" s="525"/>
      <c r="CE51" s="525"/>
      <c r="CF51" s="544"/>
      <c r="CG51" s="525"/>
      <c r="CH51" s="525"/>
      <c r="CI51" s="525"/>
      <c r="CJ51" s="525"/>
      <c r="CK51" s="528">
        <f t="shared" si="12"/>
        <v>0</v>
      </c>
      <c r="CL51" s="526"/>
      <c r="CM51" s="525"/>
      <c r="CN51" s="526"/>
      <c r="CO51" s="525"/>
      <c r="CP51" s="525"/>
      <c r="CQ51" s="525"/>
      <c r="CR51" s="525"/>
      <c r="CS51" s="525"/>
      <c r="CT51" s="525"/>
      <c r="CU51" s="525"/>
      <c r="CV51" s="544">
        <f>(24220+25460+24500+25640+25220)*0.948*1.1</f>
        <v>130391.71200000001</v>
      </c>
      <c r="CW51" s="525"/>
      <c r="CX51" s="528">
        <f t="shared" si="16"/>
        <v>130391.71200000001</v>
      </c>
      <c r="CY51" s="541"/>
      <c r="CZ51" s="534">
        <f>((24220+25460+24500+25640+25220)*0.948*1.21)-((24220+25460+24500+25640+25220)*0.948*1.1)</f>
        <v>13039.171199999968</v>
      </c>
      <c r="DA51" s="541"/>
      <c r="DB51" s="541"/>
      <c r="DC51" s="541"/>
      <c r="DD51" s="541"/>
      <c r="DE51" s="541"/>
      <c r="DF51" s="848"/>
      <c r="DG51" s="541"/>
      <c r="DK51" s="528">
        <f t="shared" si="21"/>
        <v>13039.171199999968</v>
      </c>
      <c r="DX51" s="519">
        <f t="shared" si="18"/>
        <v>0</v>
      </c>
    </row>
    <row r="52" spans="1:128" ht="15">
      <c r="A52" s="589"/>
      <c r="B52" s="480" t="s">
        <v>628</v>
      </c>
      <c r="C52" s="512"/>
      <c r="D52" s="512"/>
      <c r="E52" s="512"/>
      <c r="F52" s="512"/>
      <c r="G52" s="512"/>
      <c r="H52" s="512"/>
      <c r="I52" s="512"/>
      <c r="J52" s="512"/>
      <c r="K52" s="512"/>
      <c r="L52" s="512"/>
      <c r="M52" s="512"/>
      <c r="N52" s="512"/>
      <c r="O52" s="514">
        <f t="shared" si="9"/>
        <v>0</v>
      </c>
      <c r="P52" s="534"/>
      <c r="Q52" s="534"/>
      <c r="R52" s="616"/>
      <c r="S52" s="534"/>
      <c r="T52" s="534"/>
      <c r="U52" s="534"/>
      <c r="V52" s="534"/>
      <c r="W52" s="544"/>
      <c r="X52" s="525"/>
      <c r="Y52" s="617"/>
      <c r="Z52" s="525"/>
      <c r="AA52" s="617"/>
      <c r="AB52" s="605">
        <f t="shared" si="10"/>
        <v>0</v>
      </c>
      <c r="AC52" s="620"/>
      <c r="AD52" s="616"/>
      <c r="AE52" s="616"/>
      <c r="AF52" s="534"/>
      <c r="AG52" s="534"/>
      <c r="AH52" s="534"/>
      <c r="AI52" s="534"/>
      <c r="AJ52" s="534"/>
      <c r="AK52" s="607">
        <f t="shared" si="13"/>
        <v>0</v>
      </c>
      <c r="AL52" s="544"/>
      <c r="AM52" s="525"/>
      <c r="AN52" s="617"/>
      <c r="AO52" s="617"/>
      <c r="AP52" s="525"/>
      <c r="AQ52" s="533"/>
      <c r="AR52" s="533"/>
      <c r="AS52" s="533"/>
      <c r="AT52" s="525"/>
      <c r="AU52" s="525"/>
      <c r="AV52" s="544"/>
      <c r="AW52" s="533"/>
      <c r="AX52" s="528">
        <f t="shared" si="11"/>
        <v>0</v>
      </c>
      <c r="AY52" s="614"/>
      <c r="AZ52" s="533"/>
      <c r="BA52" s="533"/>
      <c r="BB52" s="533"/>
      <c r="BC52" s="533"/>
      <c r="BD52" s="525"/>
      <c r="BE52" s="525"/>
      <c r="BF52" s="615"/>
      <c r="BG52" s="525"/>
      <c r="BH52" s="563"/>
      <c r="BI52" s="525"/>
      <c r="BJ52" s="608"/>
      <c r="BK52" s="528">
        <f t="shared" si="19"/>
        <v>0</v>
      </c>
      <c r="BL52" s="614"/>
      <c r="BM52" s="533"/>
      <c r="BN52" s="535"/>
      <c r="BO52" s="533"/>
      <c r="BP52" s="533"/>
      <c r="BQ52" s="526"/>
      <c r="BR52" s="544"/>
      <c r="BS52" s="525"/>
      <c r="BT52" s="525"/>
      <c r="BU52" s="525"/>
      <c r="BV52" s="525"/>
      <c r="BW52" s="608"/>
      <c r="BX52" s="528">
        <f t="shared" si="15"/>
        <v>0</v>
      </c>
      <c r="BY52" s="525"/>
      <c r="BZ52" s="525"/>
      <c r="CA52" s="525"/>
      <c r="CB52" s="525"/>
      <c r="CC52" s="525"/>
      <c r="CD52" s="525"/>
      <c r="CE52" s="525"/>
      <c r="CF52" s="525"/>
      <c r="CG52" s="525"/>
      <c r="CH52" s="544"/>
      <c r="CI52" s="525"/>
      <c r="CJ52" s="525"/>
      <c r="CK52" s="528">
        <f t="shared" si="12"/>
        <v>0</v>
      </c>
      <c r="CL52" s="526"/>
      <c r="CM52" s="525"/>
      <c r="CN52" s="526"/>
      <c r="CO52" s="525"/>
      <c r="CP52" s="525"/>
      <c r="CQ52" s="525"/>
      <c r="CR52" s="525"/>
      <c r="CS52" s="525"/>
      <c r="CT52" s="525"/>
      <c r="CU52" s="525"/>
      <c r="CV52" s="544">
        <f>(25020+25000+24300+25460+24820+25320+25920)*0.948*1.1</f>
        <v>183365.95199999999</v>
      </c>
      <c r="CW52" s="525"/>
      <c r="CX52" s="528">
        <f t="shared" si="16"/>
        <v>183365.95199999999</v>
      </c>
      <c r="CY52" s="541"/>
      <c r="CZ52" s="534">
        <f>((25020+25000+24300+25460+24820+25320+25920)*0.948*1.21)-((25020+25000+24300+25460+24820+25320+25920)*0.948*1.1)</f>
        <v>18336.595199999982</v>
      </c>
      <c r="DA52" s="541"/>
      <c r="DB52" s="541"/>
      <c r="DC52" s="541"/>
      <c r="DD52" s="541"/>
      <c r="DE52" s="848"/>
      <c r="DF52" s="541"/>
      <c r="DG52" s="541"/>
      <c r="DK52" s="528">
        <f t="shared" si="21"/>
        <v>18336.595199999982</v>
      </c>
      <c r="DX52" s="519">
        <f t="shared" si="18"/>
        <v>0</v>
      </c>
    </row>
    <row r="53" spans="1:128" ht="15">
      <c r="A53" s="589"/>
      <c r="B53" s="480" t="s">
        <v>629</v>
      </c>
      <c r="C53" s="512"/>
      <c r="D53" s="512"/>
      <c r="E53" s="512"/>
      <c r="F53" s="512"/>
      <c r="G53" s="512"/>
      <c r="H53" s="512"/>
      <c r="I53" s="512"/>
      <c r="J53" s="512"/>
      <c r="K53" s="512"/>
      <c r="L53" s="512"/>
      <c r="M53" s="512"/>
      <c r="N53" s="512"/>
      <c r="O53" s="514">
        <f t="shared" si="9"/>
        <v>0</v>
      </c>
      <c r="P53" s="534"/>
      <c r="Q53" s="544"/>
      <c r="R53" s="616"/>
      <c r="S53" s="544"/>
      <c r="T53" s="544"/>
      <c r="U53" s="544"/>
      <c r="V53" s="544"/>
      <c r="W53" s="544"/>
      <c r="X53" s="563"/>
      <c r="Y53" s="563"/>
      <c r="Z53" s="563"/>
      <c r="AA53" s="563"/>
      <c r="AB53" s="605">
        <f t="shared" si="10"/>
        <v>0</v>
      </c>
      <c r="AC53" s="620"/>
      <c r="AD53" s="616"/>
      <c r="AE53" s="534"/>
      <c r="AF53" s="534"/>
      <c r="AG53" s="534"/>
      <c r="AH53" s="534"/>
      <c r="AI53" s="534"/>
      <c r="AJ53" s="534"/>
      <c r="AK53" s="607">
        <f t="shared" si="13"/>
        <v>0</v>
      </c>
      <c r="AL53" s="534"/>
      <c r="AM53" s="544"/>
      <c r="AN53" s="617"/>
      <c r="AO53" s="617"/>
      <c r="AP53" s="525"/>
      <c r="AQ53" s="533"/>
      <c r="AR53" s="525"/>
      <c r="AS53" s="525"/>
      <c r="AT53" s="544"/>
      <c r="AU53" s="533"/>
      <c r="AV53" s="533"/>
      <c r="AW53" s="533"/>
      <c r="AX53" s="528">
        <f t="shared" si="11"/>
        <v>0</v>
      </c>
      <c r="AY53" s="614"/>
      <c r="AZ53" s="533"/>
      <c r="BA53" s="533"/>
      <c r="BB53" s="533"/>
      <c r="BC53" s="525"/>
      <c r="BD53" s="544"/>
      <c r="BE53" s="525"/>
      <c r="BF53" s="525"/>
      <c r="BG53" s="525"/>
      <c r="BH53" s="544"/>
      <c r="BI53" s="525"/>
      <c r="BJ53" s="608"/>
      <c r="BK53" s="528">
        <f t="shared" si="19"/>
        <v>0</v>
      </c>
      <c r="BL53" s="614"/>
      <c r="BM53" s="533"/>
      <c r="BN53" s="535"/>
      <c r="BO53" s="533"/>
      <c r="BP53" s="533"/>
      <c r="BQ53" s="526"/>
      <c r="BR53" s="525"/>
      <c r="BS53" s="544"/>
      <c r="BT53" s="525"/>
      <c r="BU53" s="525"/>
      <c r="BV53" s="525"/>
      <c r="BW53" s="608"/>
      <c r="BX53" s="528">
        <f t="shared" si="15"/>
        <v>0</v>
      </c>
      <c r="BY53" s="525"/>
      <c r="BZ53" s="525"/>
      <c r="CA53" s="525"/>
      <c r="CB53" s="525"/>
      <c r="CC53" s="525"/>
      <c r="CD53" s="525"/>
      <c r="CE53" s="525"/>
      <c r="CF53" s="525"/>
      <c r="CG53" s="544"/>
      <c r="CH53" s="525"/>
      <c r="CI53" s="525"/>
      <c r="CJ53" s="525"/>
      <c r="CK53" s="528">
        <f t="shared" si="12"/>
        <v>0</v>
      </c>
      <c r="CL53" s="526"/>
      <c r="CM53" s="525"/>
      <c r="CN53" s="526"/>
      <c r="CO53" s="525"/>
      <c r="CP53" s="525"/>
      <c r="CQ53" s="525"/>
      <c r="CR53" s="525"/>
      <c r="CS53" s="525"/>
      <c r="CT53" s="525"/>
      <c r="CU53" s="525"/>
      <c r="CV53" s="544">
        <f>(24900+24700+24900+25600)*0.948*1.1</f>
        <v>104384.28</v>
      </c>
      <c r="CW53" s="525"/>
      <c r="CX53" s="528">
        <f t="shared" si="16"/>
        <v>104384.28</v>
      </c>
      <c r="CY53" s="541"/>
      <c r="CZ53" s="534">
        <f>((24900+24700+24900+25600)*0.948*1.21)-((24900+24700+24900+25600)*0.948*1.1)</f>
        <v>10438.427999999985</v>
      </c>
      <c r="DA53" s="541"/>
      <c r="DB53" s="541"/>
      <c r="DC53" s="541"/>
      <c r="DD53" s="541"/>
      <c r="DE53" s="541"/>
      <c r="DF53" s="848"/>
      <c r="DG53" s="541"/>
      <c r="DK53" s="528">
        <f t="shared" si="21"/>
        <v>10438.427999999985</v>
      </c>
      <c r="DX53" s="519">
        <f t="shared" si="18"/>
        <v>0</v>
      </c>
    </row>
    <row r="54" spans="1:128" ht="15">
      <c r="A54" s="589"/>
      <c r="B54" s="480" t="s">
        <v>630</v>
      </c>
      <c r="C54" s="512"/>
      <c r="D54" s="512"/>
      <c r="E54" s="512"/>
      <c r="F54" s="512"/>
      <c r="G54" s="512"/>
      <c r="H54" s="512"/>
      <c r="I54" s="512"/>
      <c r="J54" s="512"/>
      <c r="K54" s="512"/>
      <c r="L54" s="512"/>
      <c r="M54" s="512"/>
      <c r="N54" s="512"/>
      <c r="O54" s="514">
        <f t="shared" si="9"/>
        <v>0</v>
      </c>
      <c r="P54" s="534"/>
      <c r="Q54" s="534"/>
      <c r="R54" s="534"/>
      <c r="S54" s="534"/>
      <c r="T54" s="534"/>
      <c r="U54" s="534"/>
      <c r="V54" s="534"/>
      <c r="W54" s="544"/>
      <c r="X54" s="563"/>
      <c r="Y54" s="525"/>
      <c r="Z54" s="525"/>
      <c r="AA54" s="525"/>
      <c r="AB54" s="605">
        <f t="shared" si="10"/>
        <v>0</v>
      </c>
      <c r="AC54" s="620"/>
      <c r="AD54" s="616"/>
      <c r="AE54" s="616"/>
      <c r="AF54" s="616"/>
      <c r="AG54" s="622"/>
      <c r="AH54" s="616"/>
      <c r="AI54" s="616"/>
      <c r="AJ54" s="616"/>
      <c r="AK54" s="607">
        <f t="shared" si="13"/>
        <v>0</v>
      </c>
      <c r="AL54" s="617"/>
      <c r="AM54" s="617"/>
      <c r="AN54" s="617"/>
      <c r="AO54" s="617"/>
      <c r="AP54" s="525"/>
      <c r="AQ54" s="533"/>
      <c r="AR54" s="533"/>
      <c r="AS54" s="533"/>
      <c r="AT54" s="525"/>
      <c r="AU54" s="533"/>
      <c r="AV54" s="525"/>
      <c r="AW54" s="533"/>
      <c r="AX54" s="528">
        <f>SUM(AL54:AW54)</f>
        <v>0</v>
      </c>
      <c r="AY54" s="614"/>
      <c r="AZ54" s="533"/>
      <c r="BA54" s="533"/>
      <c r="BB54" s="533"/>
      <c r="BC54" s="533"/>
      <c r="BD54" s="525"/>
      <c r="BE54" s="525"/>
      <c r="BF54" s="525"/>
      <c r="BG54" s="533"/>
      <c r="BH54" s="563"/>
      <c r="BI54" s="525"/>
      <c r="BJ54" s="608"/>
      <c r="BK54" s="528">
        <f>SUM(AY54:BJ54)</f>
        <v>0</v>
      </c>
      <c r="BL54" s="614"/>
      <c r="BM54" s="525"/>
      <c r="BN54" s="535"/>
      <c r="BO54" s="533"/>
      <c r="BP54" s="533"/>
      <c r="BQ54" s="526"/>
      <c r="BR54" s="525"/>
      <c r="BS54" s="525"/>
      <c r="BT54" s="533"/>
      <c r="BU54" s="525"/>
      <c r="BV54" s="525"/>
      <c r="BW54" s="608"/>
      <c r="BX54" s="528">
        <f t="shared" si="15"/>
        <v>0</v>
      </c>
      <c r="BY54" s="525"/>
      <c r="BZ54" s="525"/>
      <c r="CA54" s="525"/>
      <c r="CB54" s="525"/>
      <c r="CC54" s="525"/>
      <c r="CD54" s="525"/>
      <c r="CE54" s="525"/>
      <c r="CF54" s="525"/>
      <c r="CG54" s="525"/>
      <c r="CH54" s="525"/>
      <c r="CI54" s="525"/>
      <c r="CJ54" s="525"/>
      <c r="CK54" s="528">
        <f t="shared" si="12"/>
        <v>0</v>
      </c>
      <c r="CL54" s="526"/>
      <c r="CM54" s="525"/>
      <c r="CN54" s="526"/>
      <c r="CO54" s="525"/>
      <c r="CP54" s="525"/>
      <c r="CQ54" s="525"/>
      <c r="CR54" s="525"/>
      <c r="CS54" s="525"/>
      <c r="CT54" s="525"/>
      <c r="CU54" s="525"/>
      <c r="CV54" s="544">
        <f>(26740+24120+25040+24740+24480+24660+25240+25660+25220+25060)*0.948*1.1</f>
        <v>261701.08800000002</v>
      </c>
      <c r="CW54" s="525"/>
      <c r="CX54" s="528">
        <f t="shared" si="16"/>
        <v>261701.08800000002</v>
      </c>
      <c r="CY54" s="541"/>
      <c r="CZ54" s="534">
        <f>((26740+24120+25040+24740+24480+24660+25240+25660+25220+25060)*0.948*1.21)-((26740+24120+25040+24740+24480+24660+25240+25660+25220+25060)*0.948*1.1)</f>
        <v>26170.108799999958</v>
      </c>
      <c r="DA54" s="541"/>
      <c r="DB54" s="541"/>
      <c r="DC54" s="541"/>
      <c r="DD54" s="541"/>
      <c r="DE54" s="541"/>
      <c r="DF54" s="541"/>
      <c r="DG54" s="541"/>
      <c r="DK54" s="528">
        <f t="shared" si="21"/>
        <v>26170.108799999958</v>
      </c>
      <c r="DX54" s="519">
        <f t="shared" si="18"/>
        <v>0</v>
      </c>
    </row>
    <row r="55" spans="1:128" s="821" customFormat="1" ht="15.75" thickBot="1">
      <c r="A55" s="844"/>
      <c r="B55" s="821" t="s">
        <v>631</v>
      </c>
      <c r="C55" s="822"/>
      <c r="D55" s="822"/>
      <c r="E55" s="822"/>
      <c r="F55" s="822"/>
      <c r="G55" s="822"/>
      <c r="H55" s="822"/>
      <c r="I55" s="822"/>
      <c r="J55" s="822"/>
      <c r="K55" s="822"/>
      <c r="L55" s="822"/>
      <c r="M55" s="822"/>
      <c r="N55" s="822"/>
      <c r="O55" s="823"/>
      <c r="P55" s="824"/>
      <c r="Q55" s="824"/>
      <c r="R55" s="824"/>
      <c r="S55" s="824"/>
      <c r="T55" s="824"/>
      <c r="U55" s="824"/>
      <c r="V55" s="824"/>
      <c r="W55" s="825"/>
      <c r="X55" s="838"/>
      <c r="Y55" s="826"/>
      <c r="Z55" s="826"/>
      <c r="AA55" s="826"/>
      <c r="AB55" s="827">
        <f>SUM(P55:AA55)</f>
        <v>0</v>
      </c>
      <c r="AC55" s="828"/>
      <c r="AD55" s="829"/>
      <c r="AE55" s="829"/>
      <c r="AF55" s="829"/>
      <c r="AG55" s="825"/>
      <c r="AH55" s="829"/>
      <c r="AI55" s="829"/>
      <c r="AJ55" s="829"/>
      <c r="AK55" s="830">
        <f>SUM(AC55:AJ55)</f>
        <v>0</v>
      </c>
      <c r="AL55" s="831"/>
      <c r="AM55" s="831"/>
      <c r="AN55" s="831"/>
      <c r="AO55" s="831"/>
      <c r="AP55" s="826"/>
      <c r="AQ55" s="832"/>
      <c r="AR55" s="832"/>
      <c r="AS55" s="832"/>
      <c r="AT55" s="826"/>
      <c r="AU55" s="832"/>
      <c r="AV55" s="826"/>
      <c r="AW55" s="832"/>
      <c r="AX55" s="833">
        <f>SUM(AL55:AW55)</f>
        <v>0</v>
      </c>
      <c r="AY55" s="834"/>
      <c r="AZ55" s="832"/>
      <c r="BA55" s="832"/>
      <c r="BB55" s="832"/>
      <c r="BC55" s="832"/>
      <c r="BD55" s="826"/>
      <c r="BE55" s="826"/>
      <c r="BF55" s="826"/>
      <c r="BG55" s="826"/>
      <c r="BH55" s="838"/>
      <c r="BI55" s="825"/>
      <c r="BJ55" s="836"/>
      <c r="BK55" s="833">
        <f>SUM(AY55:BJ55)</f>
        <v>0</v>
      </c>
      <c r="BL55" s="834"/>
      <c r="BM55" s="825"/>
      <c r="BN55" s="837"/>
      <c r="BO55" s="832"/>
      <c r="BP55" s="832"/>
      <c r="BQ55" s="835"/>
      <c r="BR55" s="826"/>
      <c r="BS55" s="825"/>
      <c r="BT55" s="826"/>
      <c r="BU55" s="832"/>
      <c r="BV55" s="826"/>
      <c r="BW55" s="836"/>
      <c r="BX55" s="833">
        <f t="shared" si="15"/>
        <v>0</v>
      </c>
      <c r="BY55" s="826"/>
      <c r="BZ55" s="826"/>
      <c r="CA55" s="825"/>
      <c r="CB55" s="826"/>
      <c r="CC55" s="826"/>
      <c r="CD55" s="826"/>
      <c r="CE55" s="826"/>
      <c r="CF55" s="839"/>
      <c r="CG55" s="826"/>
      <c r="CH55" s="825"/>
      <c r="CI55" s="860"/>
      <c r="CJ55" s="838"/>
      <c r="CK55" s="833">
        <f>SUM(BY55:CJ55)</f>
        <v>0</v>
      </c>
      <c r="CL55" s="837"/>
      <c r="CM55" s="826"/>
      <c r="CN55" s="887"/>
      <c r="CO55" s="826"/>
      <c r="CP55" s="826"/>
      <c r="CQ55" s="826"/>
      <c r="CR55" s="826"/>
      <c r="CS55" s="826"/>
      <c r="CT55" s="826"/>
      <c r="CU55" s="826"/>
      <c r="CV55" s="825">
        <f>(24460+25620+26040+24820+25200)*0.948*1.1</f>
        <v>131538.79200000002</v>
      </c>
      <c r="CW55" s="826"/>
      <c r="CX55" s="833">
        <f t="shared" si="16"/>
        <v>131538.79200000002</v>
      </c>
      <c r="CY55" s="860"/>
      <c r="CZ55" s="824">
        <f>((24460+25620+26040+24820+25200)*0.948*1.21)-((24460+25620+26040+24820+25200)*0.948*1.1)</f>
        <v>13153.879199999996</v>
      </c>
      <c r="DA55" s="956"/>
      <c r="DB55" s="860"/>
      <c r="DC55" s="860"/>
      <c r="DD55" s="860"/>
      <c r="DE55" s="860"/>
      <c r="DF55" s="956"/>
      <c r="DG55" s="860"/>
      <c r="DK55" s="833">
        <f t="shared" si="21"/>
        <v>13153.879199999996</v>
      </c>
      <c r="DX55" s="843">
        <f t="shared" si="18"/>
        <v>0</v>
      </c>
    </row>
    <row r="56" spans="1:128" ht="15">
      <c r="B56" s="480" t="s">
        <v>637</v>
      </c>
      <c r="C56" s="512"/>
      <c r="D56" s="512"/>
      <c r="E56" s="512"/>
      <c r="F56" s="512"/>
      <c r="G56" s="512"/>
      <c r="H56" s="512"/>
      <c r="I56" s="512"/>
      <c r="J56" s="512"/>
      <c r="K56" s="512"/>
      <c r="L56" s="512"/>
      <c r="M56" s="512">
        <v>18500</v>
      </c>
      <c r="N56" s="512"/>
      <c r="O56" s="514">
        <f t="shared" si="9"/>
        <v>18500</v>
      </c>
      <c r="P56" s="534"/>
      <c r="Q56" s="534"/>
      <c r="R56" s="534"/>
      <c r="S56" s="534"/>
      <c r="T56" s="534"/>
      <c r="U56" s="534"/>
      <c r="V56" s="525"/>
      <c r="W56" s="544"/>
      <c r="X56" s="525"/>
      <c r="Y56" s="525"/>
      <c r="Z56" s="525"/>
      <c r="AA56" s="525"/>
      <c r="AB56" s="605">
        <f t="shared" si="10"/>
        <v>0</v>
      </c>
      <c r="AC56" s="613"/>
      <c r="AD56" s="534"/>
      <c r="AE56" s="534"/>
      <c r="AF56" s="534"/>
      <c r="AG56" s="544"/>
      <c r="AH56" s="616"/>
      <c r="AI56" s="616"/>
      <c r="AJ56" s="616"/>
      <c r="AK56" s="607">
        <f t="shared" si="13"/>
        <v>0</v>
      </c>
      <c r="AL56" s="617"/>
      <c r="AM56" s="563"/>
      <c r="AN56" s="544"/>
      <c r="AO56" s="617"/>
      <c r="AP56" s="525"/>
      <c r="AQ56" s="533"/>
      <c r="AR56" s="533"/>
      <c r="AS56" s="533"/>
      <c r="AT56" s="533"/>
      <c r="AU56" s="533"/>
      <c r="AV56" s="533"/>
      <c r="AW56" s="533"/>
      <c r="AX56" s="528">
        <f>SUM(AL56:AW56)</f>
        <v>0</v>
      </c>
      <c r="AY56" s="614"/>
      <c r="AZ56" s="525"/>
      <c r="BA56" s="544"/>
      <c r="BB56" s="525"/>
      <c r="BC56" s="533"/>
      <c r="BD56" s="525"/>
      <c r="BE56" s="525"/>
      <c r="BF56" s="525"/>
      <c r="BG56" s="525"/>
      <c r="BH56" s="563"/>
      <c r="BI56" s="525"/>
      <c r="BJ56" s="608"/>
      <c r="BK56" s="528">
        <f t="shared" si="19"/>
        <v>0</v>
      </c>
      <c r="BL56" s="614"/>
      <c r="BM56" s="525"/>
      <c r="BN56" s="615"/>
      <c r="BO56" s="525"/>
      <c r="BP56" s="533"/>
      <c r="BQ56" s="526"/>
      <c r="BR56" s="525"/>
      <c r="BS56" s="525"/>
      <c r="BT56" s="525"/>
      <c r="BU56" s="525"/>
      <c r="BV56" s="525"/>
      <c r="BW56" s="608"/>
      <c r="BX56" s="528">
        <f t="shared" si="15"/>
        <v>0</v>
      </c>
      <c r="BY56" s="525"/>
      <c r="BZ56" s="525"/>
      <c r="CA56" s="544"/>
      <c r="CB56" s="525"/>
      <c r="CC56" s="525"/>
      <c r="CD56" s="525"/>
      <c r="CE56" s="525"/>
      <c r="CF56" s="525"/>
      <c r="CG56" s="525"/>
      <c r="CH56" s="525"/>
      <c r="CI56" s="525"/>
      <c r="CJ56" s="525"/>
      <c r="CK56" s="528">
        <f t="shared" si="12"/>
        <v>0</v>
      </c>
      <c r="CL56" s="526"/>
      <c r="CM56" s="541"/>
      <c r="CN56" s="543"/>
      <c r="CO56" s="541"/>
      <c r="CQ56" s="610"/>
      <c r="CR56" s="527"/>
      <c r="CS56" s="527"/>
      <c r="CT56" s="527"/>
      <c r="CU56" s="527"/>
      <c r="CV56" s="527"/>
      <c r="CW56" s="527"/>
      <c r="CX56" s="528">
        <f t="shared" si="16"/>
        <v>0</v>
      </c>
      <c r="CY56" s="881"/>
      <c r="CZ56" s="848"/>
      <c r="DA56" s="544">
        <f>((25460+24740+25080+25140)*1.0247*1.21)</f>
        <v>124509.45254</v>
      </c>
      <c r="DB56" s="541"/>
      <c r="DC56" s="541"/>
      <c r="DD56" s="541"/>
      <c r="DE56" s="541"/>
      <c r="DF56" s="541"/>
      <c r="DG56" s="541"/>
      <c r="DK56" s="528">
        <f t="shared" si="17"/>
        <v>124509.45254</v>
      </c>
      <c r="DX56" s="519">
        <f t="shared" si="18"/>
        <v>0</v>
      </c>
    </row>
    <row r="57" spans="1:128" ht="15">
      <c r="B57" s="480" t="s">
        <v>638</v>
      </c>
      <c r="C57" s="512"/>
      <c r="D57" s="512"/>
      <c r="E57" s="512"/>
      <c r="F57" s="512"/>
      <c r="G57" s="512"/>
      <c r="H57" s="512"/>
      <c r="I57" s="512"/>
      <c r="J57" s="512"/>
      <c r="K57" s="512"/>
      <c r="L57" s="512"/>
      <c r="M57" s="512"/>
      <c r="N57" s="512"/>
      <c r="O57" s="514">
        <f t="shared" si="9"/>
        <v>0</v>
      </c>
      <c r="P57" s="534"/>
      <c r="Q57" s="534"/>
      <c r="R57" s="534"/>
      <c r="S57" s="534"/>
      <c r="T57" s="616"/>
      <c r="U57" s="534"/>
      <c r="V57" s="534"/>
      <c r="W57" s="544"/>
      <c r="X57" s="525"/>
      <c r="Y57" s="525"/>
      <c r="Z57" s="525"/>
      <c r="AA57" s="525"/>
      <c r="AB57" s="605">
        <f t="shared" si="10"/>
        <v>0</v>
      </c>
      <c r="AC57" s="620"/>
      <c r="AD57" s="616"/>
      <c r="AE57" s="616"/>
      <c r="AF57" s="616"/>
      <c r="AG57" s="616"/>
      <c r="AH57" s="616"/>
      <c r="AI57" s="534"/>
      <c r="AJ57" s="544"/>
      <c r="AK57" s="607">
        <f t="shared" si="13"/>
        <v>0</v>
      </c>
      <c r="AL57" s="617"/>
      <c r="AM57" s="617"/>
      <c r="AN57" s="617"/>
      <c r="AO57" s="617"/>
      <c r="AP57" s="525"/>
      <c r="AQ57" s="533"/>
      <c r="AR57" s="533"/>
      <c r="AS57" s="533"/>
      <c r="AT57" s="533"/>
      <c r="AU57" s="525"/>
      <c r="AV57" s="544"/>
      <c r="AW57" s="533"/>
      <c r="AX57" s="528">
        <f>SUM(AL57:AW57)</f>
        <v>0</v>
      </c>
      <c r="AY57" s="614"/>
      <c r="AZ57" s="533"/>
      <c r="BA57" s="533"/>
      <c r="BB57" s="533"/>
      <c r="BC57" s="533"/>
      <c r="BD57" s="525"/>
      <c r="BE57" s="525"/>
      <c r="BF57" s="525"/>
      <c r="BG57" s="525"/>
      <c r="BH57" s="563"/>
      <c r="BI57" s="525"/>
      <c r="BJ57" s="563"/>
      <c r="BK57" s="528">
        <f>SUM(AY57:BJ57)</f>
        <v>0</v>
      </c>
      <c r="BL57" s="544"/>
      <c r="BM57" s="533"/>
      <c r="BN57" s="535"/>
      <c r="BO57" s="533"/>
      <c r="BP57" s="533"/>
      <c r="BQ57" s="526"/>
      <c r="BR57" s="525"/>
      <c r="BS57" s="525"/>
      <c r="BT57" s="525"/>
      <c r="BU57" s="525"/>
      <c r="BV57" s="525"/>
      <c r="BW57" s="544"/>
      <c r="BX57" s="528">
        <f>SUM(BL57:BW57)</f>
        <v>0</v>
      </c>
      <c r="BY57" s="525"/>
      <c r="BZ57" s="525"/>
      <c r="CA57" s="525"/>
      <c r="CB57" s="525"/>
      <c r="CC57" s="525"/>
      <c r="CD57" s="525"/>
      <c r="CE57" s="525"/>
      <c r="CF57" s="525"/>
      <c r="CG57" s="525"/>
      <c r="CH57" s="533"/>
      <c r="CI57" s="544"/>
      <c r="CJ57" s="525"/>
      <c r="CK57" s="528">
        <f t="shared" si="12"/>
        <v>0</v>
      </c>
      <c r="CL57" s="526"/>
      <c r="CM57" s="525"/>
      <c r="CN57" s="526"/>
      <c r="CO57" s="525"/>
      <c r="CP57" s="527"/>
      <c r="CQ57" s="527"/>
      <c r="CR57" s="527"/>
      <c r="CS57" s="527"/>
      <c r="CT57" s="527"/>
      <c r="CU57" s="527"/>
      <c r="CV57" s="610"/>
      <c r="CW57" s="527"/>
      <c r="CX57" s="528">
        <f t="shared" si="16"/>
        <v>0</v>
      </c>
      <c r="CY57" s="881"/>
      <c r="CZ57" s="541"/>
      <c r="DA57" s="544">
        <f>((25100+24880+24340+25460+25780)*1.0247*1.21)</f>
        <v>155680.21171999999</v>
      </c>
      <c r="DB57" s="541"/>
      <c r="DC57" s="541"/>
      <c r="DD57" s="541"/>
      <c r="DE57" s="541"/>
      <c r="DF57" s="541"/>
      <c r="DG57" s="541"/>
      <c r="DI57" s="612"/>
      <c r="DK57" s="528">
        <f t="shared" si="17"/>
        <v>155680.21171999999</v>
      </c>
      <c r="DX57" s="519">
        <f t="shared" si="18"/>
        <v>0</v>
      </c>
    </row>
    <row r="58" spans="1:128" ht="15">
      <c r="B58" s="480" t="s">
        <v>639</v>
      </c>
      <c r="C58" s="538"/>
      <c r="D58" s="538"/>
      <c r="E58" s="538"/>
      <c r="F58" s="538"/>
      <c r="G58" s="538"/>
      <c r="H58" s="538"/>
      <c r="I58" s="538"/>
      <c r="J58" s="538"/>
      <c r="K58" s="538"/>
      <c r="L58" s="538"/>
      <c r="M58" s="538"/>
      <c r="N58" s="538"/>
      <c r="O58" s="514">
        <f t="shared" si="9"/>
        <v>0</v>
      </c>
      <c r="P58" s="623"/>
      <c r="Q58" s="623"/>
      <c r="R58" s="623"/>
      <c r="S58" s="623"/>
      <c r="T58" s="623"/>
      <c r="U58" s="623"/>
      <c r="V58" s="534"/>
      <c r="W58" s="544"/>
      <c r="X58" s="525"/>
      <c r="Y58" s="623"/>
      <c r="Z58" s="624"/>
      <c r="AA58" s="624"/>
      <c r="AB58" s="605">
        <f t="shared" si="10"/>
        <v>0</v>
      </c>
      <c r="AC58" s="625"/>
      <c r="AD58" s="626"/>
      <c r="AE58" s="626"/>
      <c r="AF58" s="626"/>
      <c r="AG58" s="626"/>
      <c r="AH58" s="627"/>
      <c r="AI58" s="626"/>
      <c r="AJ58" s="626"/>
      <c r="AK58" s="607">
        <f t="shared" si="13"/>
        <v>0</v>
      </c>
      <c r="AL58" s="525"/>
      <c r="AM58" s="628"/>
      <c r="AN58" s="628"/>
      <c r="AO58" s="628"/>
      <c r="AP58" s="525"/>
      <c r="AQ58" s="533"/>
      <c r="AR58" s="533"/>
      <c r="AS58" s="533"/>
      <c r="AT58" s="533"/>
      <c r="AU58" s="525"/>
      <c r="AV58" s="525"/>
      <c r="AW58" s="533"/>
      <c r="AX58" s="528">
        <f t="shared" ref="AX58:AX111" si="23">SUM(AL58:AW58)</f>
        <v>0</v>
      </c>
      <c r="AY58" s="525"/>
      <c r="AZ58" s="533"/>
      <c r="BA58" s="627"/>
      <c r="BB58" s="525"/>
      <c r="BC58" s="533"/>
      <c r="BD58" s="525"/>
      <c r="BE58" s="525"/>
      <c r="BF58" s="525"/>
      <c r="BG58" s="525"/>
      <c r="BH58" s="544"/>
      <c r="BI58" s="525"/>
      <c r="BJ58" s="608"/>
      <c r="BK58" s="528">
        <f>SUM(AY58:BJ58)</f>
        <v>0</v>
      </c>
      <c r="BL58" s="614"/>
      <c r="BM58" s="533"/>
      <c r="BN58" s="535"/>
      <c r="BO58" s="533"/>
      <c r="BP58" s="533"/>
      <c r="BQ58" s="526"/>
      <c r="BR58" s="525"/>
      <c r="BS58" s="525"/>
      <c r="BT58" s="525"/>
      <c r="BU58" s="525"/>
      <c r="BV58" s="525"/>
      <c r="BW58" s="544"/>
      <c r="BX58" s="528">
        <f>SUM(BL58:BW58)</f>
        <v>0</v>
      </c>
      <c r="BY58" s="525"/>
      <c r="BZ58" s="525"/>
      <c r="CA58" s="525"/>
      <c r="CB58" s="525"/>
      <c r="CC58" s="525"/>
      <c r="CD58" s="525"/>
      <c r="CE58" s="525"/>
      <c r="CF58" s="525"/>
      <c r="CG58" s="525"/>
      <c r="CH58" s="544"/>
      <c r="CI58" s="525"/>
      <c r="CJ58" s="525"/>
      <c r="CK58" s="528">
        <f t="shared" si="12"/>
        <v>0</v>
      </c>
      <c r="CL58" s="526"/>
      <c r="CM58" s="525"/>
      <c r="CN58" s="525"/>
      <c r="CO58" s="525"/>
      <c r="CP58" s="527"/>
      <c r="CQ58" s="527"/>
      <c r="CR58" s="527"/>
      <c r="CS58" s="527"/>
      <c r="CT58" s="527"/>
      <c r="CU58" s="527"/>
      <c r="CV58" s="610"/>
      <c r="CW58" s="527"/>
      <c r="CX58" s="528">
        <f t="shared" si="16"/>
        <v>0</v>
      </c>
      <c r="CY58" s="881"/>
      <c r="CZ58" s="541"/>
      <c r="DA58" s="544">
        <f>((24340+25460+25160)*1.0247*1.21)</f>
        <v>92941.929520000005</v>
      </c>
      <c r="DB58" s="541"/>
      <c r="DC58" s="541"/>
      <c r="DD58" s="541"/>
      <c r="DE58" s="541"/>
      <c r="DF58" s="541"/>
      <c r="DG58" s="541"/>
      <c r="DI58" s="612"/>
      <c r="DK58" s="528">
        <f t="shared" si="17"/>
        <v>92941.929520000005</v>
      </c>
      <c r="DX58" s="519">
        <f t="shared" si="18"/>
        <v>0</v>
      </c>
    </row>
    <row r="59" spans="1:128" ht="15">
      <c r="B59" s="480" t="s">
        <v>640</v>
      </c>
      <c r="C59" s="538"/>
      <c r="D59" s="538"/>
      <c r="E59" s="538"/>
      <c r="F59" s="538"/>
      <c r="G59" s="538"/>
      <c r="H59" s="538"/>
      <c r="I59" s="538"/>
      <c r="J59" s="538"/>
      <c r="K59" s="538"/>
      <c r="L59" s="538"/>
      <c r="M59" s="538"/>
      <c r="N59" s="538"/>
      <c r="O59" s="514">
        <f t="shared" si="9"/>
        <v>0</v>
      </c>
      <c r="P59" s="623"/>
      <c r="Q59" s="623"/>
      <c r="R59" s="623"/>
      <c r="S59" s="623"/>
      <c r="T59" s="623"/>
      <c r="U59" s="623"/>
      <c r="V59" s="534"/>
      <c r="W59" s="544"/>
      <c r="X59" s="624"/>
      <c r="Y59" s="623"/>
      <c r="Z59" s="624"/>
      <c r="AA59" s="624"/>
      <c r="AB59" s="605">
        <f t="shared" si="10"/>
        <v>0</v>
      </c>
      <c r="AC59" s="625"/>
      <c r="AD59" s="626"/>
      <c r="AE59" s="626"/>
      <c r="AF59" s="626"/>
      <c r="AG59" s="626"/>
      <c r="AH59" s="626"/>
      <c r="AI59" s="626"/>
      <c r="AJ59" s="626"/>
      <c r="AK59" s="607">
        <f t="shared" si="13"/>
        <v>0</v>
      </c>
      <c r="AL59" s="628"/>
      <c r="AM59" s="525"/>
      <c r="AN59" s="627"/>
      <c r="AO59" s="628"/>
      <c r="AP59" s="525"/>
      <c r="AQ59" s="533"/>
      <c r="AR59" s="533"/>
      <c r="AS59" s="533"/>
      <c r="AT59" s="533"/>
      <c r="AU59" s="533"/>
      <c r="AV59" s="533"/>
      <c r="AW59" s="533"/>
      <c r="AX59" s="528">
        <f>SUM(AL59:AW59)</f>
        <v>0</v>
      </c>
      <c r="AY59" s="606"/>
      <c r="AZ59" s="525"/>
      <c r="BA59" s="544"/>
      <c r="BB59" s="525"/>
      <c r="BC59" s="525"/>
      <c r="BD59" s="525"/>
      <c r="BE59" s="525"/>
      <c r="BF59" s="525"/>
      <c r="BG59" s="525"/>
      <c r="BH59" s="563"/>
      <c r="BI59" s="525"/>
      <c r="BJ59" s="608"/>
      <c r="BK59" s="528">
        <f t="shared" si="19"/>
        <v>0</v>
      </c>
      <c r="BL59" s="614"/>
      <c r="BM59" s="533"/>
      <c r="BN59" s="615"/>
      <c r="BO59" s="533"/>
      <c r="BP59" s="533"/>
      <c r="BQ59" s="535"/>
      <c r="BR59" s="533"/>
      <c r="BS59" s="533"/>
      <c r="BT59" s="533"/>
      <c r="BU59" s="533"/>
      <c r="BV59" s="533"/>
      <c r="BW59" s="618"/>
      <c r="BX59" s="528">
        <f t="shared" si="15"/>
        <v>0</v>
      </c>
      <c r="BY59" s="525"/>
      <c r="BZ59" s="525"/>
      <c r="CA59" s="525"/>
      <c r="CB59" s="544"/>
      <c r="CC59" s="525"/>
      <c r="CD59" s="525"/>
      <c r="CE59" s="525"/>
      <c r="CF59" s="525"/>
      <c r="CG59" s="544"/>
      <c r="CH59" s="525"/>
      <c r="CI59" s="525"/>
      <c r="CJ59" s="525"/>
      <c r="CK59" s="528">
        <f t="shared" si="12"/>
        <v>0</v>
      </c>
      <c r="CL59" s="526"/>
      <c r="CM59" s="541"/>
      <c r="CN59" s="541"/>
      <c r="CO59" s="541"/>
      <c r="CP59" s="572"/>
      <c r="CQ59" s="527"/>
      <c r="CR59" s="527"/>
      <c r="CS59" s="527"/>
      <c r="CT59" s="527"/>
      <c r="CU59" s="527"/>
      <c r="CV59" s="527"/>
      <c r="CW59" s="527"/>
      <c r="CX59" s="528">
        <f t="shared" si="16"/>
        <v>0</v>
      </c>
      <c r="CY59" s="881"/>
      <c r="CZ59" s="848"/>
      <c r="DA59" s="544">
        <f>((25840+24980+25300+24640)*1.0247*1.21)</f>
        <v>124931.01411999999</v>
      </c>
      <c r="DB59" s="541"/>
      <c r="DC59" s="541"/>
      <c r="DD59" s="541"/>
      <c r="DE59" s="541"/>
      <c r="DF59" s="541"/>
      <c r="DG59" s="541"/>
      <c r="DK59" s="528">
        <f t="shared" si="17"/>
        <v>124931.01411999999</v>
      </c>
      <c r="DX59" s="519">
        <f t="shared" si="18"/>
        <v>0</v>
      </c>
    </row>
    <row r="60" spans="1:128" ht="15">
      <c r="B60" s="480" t="s">
        <v>641</v>
      </c>
      <c r="C60" s="538"/>
      <c r="D60" s="538"/>
      <c r="E60" s="538"/>
      <c r="F60" s="538"/>
      <c r="G60" s="538"/>
      <c r="H60" s="538"/>
      <c r="I60" s="538"/>
      <c r="J60" s="538"/>
      <c r="K60" s="538"/>
      <c r="L60" s="538"/>
      <c r="M60" s="538"/>
      <c r="N60" s="538"/>
      <c r="O60" s="514">
        <f t="shared" si="9"/>
        <v>0</v>
      </c>
      <c r="P60" s="623"/>
      <c r="Q60" s="623"/>
      <c r="R60" s="623"/>
      <c r="S60" s="623"/>
      <c r="T60" s="623"/>
      <c r="U60" s="623"/>
      <c r="V60" s="534"/>
      <c r="W60" s="544"/>
      <c r="X60" s="624"/>
      <c r="Y60" s="623"/>
      <c r="Z60" s="525"/>
      <c r="AA60" s="525"/>
      <c r="AB60" s="605">
        <f t="shared" si="10"/>
        <v>0</v>
      </c>
      <c r="AC60" s="613"/>
      <c r="AD60" s="623"/>
      <c r="AE60" s="626"/>
      <c r="AF60" s="626"/>
      <c r="AG60" s="626"/>
      <c r="AH60" s="626"/>
      <c r="AI60" s="626"/>
      <c r="AJ60" s="626"/>
      <c r="AK60" s="607">
        <f t="shared" si="13"/>
        <v>0</v>
      </c>
      <c r="AL60" s="525"/>
      <c r="AM60" s="525"/>
      <c r="AN60" s="525"/>
      <c r="AO60" s="627"/>
      <c r="AP60" s="533"/>
      <c r="AQ60" s="533"/>
      <c r="AR60" s="533"/>
      <c r="AS60" s="533"/>
      <c r="AT60" s="533"/>
      <c r="AU60" s="533"/>
      <c r="AV60" s="533"/>
      <c r="AW60" s="533"/>
      <c r="AX60" s="528">
        <f>SUM(AL60:AW60)</f>
        <v>0</v>
      </c>
      <c r="AY60" s="606"/>
      <c r="AZ60" s="534"/>
      <c r="BA60" s="525"/>
      <c r="BB60" s="525"/>
      <c r="BC60" s="525"/>
      <c r="BD60" s="525"/>
      <c r="BE60" s="525"/>
      <c r="BF60" s="525"/>
      <c r="BG60" s="525"/>
      <c r="BH60" s="563"/>
      <c r="BI60" s="525"/>
      <c r="BJ60" s="608"/>
      <c r="BK60" s="528">
        <f t="shared" si="19"/>
        <v>0</v>
      </c>
      <c r="BL60" s="614"/>
      <c r="BM60" s="533"/>
      <c r="BN60" s="526"/>
      <c r="BO60" s="525"/>
      <c r="BP60" s="525"/>
      <c r="BQ60" s="526"/>
      <c r="BR60" s="534"/>
      <c r="BS60" s="534"/>
      <c r="BT60" s="533"/>
      <c r="BU60" s="533"/>
      <c r="BV60" s="533"/>
      <c r="BW60" s="618"/>
      <c r="BX60" s="528">
        <f t="shared" si="15"/>
        <v>0</v>
      </c>
      <c r="BY60" s="525"/>
      <c r="BZ60" s="544"/>
      <c r="CA60" s="525"/>
      <c r="CB60" s="533"/>
      <c r="CC60" s="525"/>
      <c r="CD60" s="525"/>
      <c r="CE60" s="525"/>
      <c r="CF60" s="525"/>
      <c r="CG60" s="525"/>
      <c r="CH60" s="525"/>
      <c r="CI60" s="525"/>
      <c r="CJ60" s="525"/>
      <c r="CK60" s="528">
        <f t="shared" si="12"/>
        <v>0</v>
      </c>
      <c r="CL60" s="526"/>
      <c r="CM60" s="525"/>
      <c r="CN60" s="544"/>
      <c r="CO60" s="525"/>
      <c r="CP60" s="527"/>
      <c r="CQ60" s="527"/>
      <c r="CR60" s="527"/>
      <c r="CS60" s="527"/>
      <c r="CT60" s="527"/>
      <c r="CU60" s="527"/>
      <c r="CV60" s="527"/>
      <c r="CW60" s="527"/>
      <c r="CX60" s="528">
        <f t="shared" si="16"/>
        <v>0</v>
      </c>
      <c r="CY60" s="881"/>
      <c r="CZ60" s="541"/>
      <c r="DA60" s="544">
        <f>(24260*1.0247*1.21)</f>
        <v>30079.658619999998</v>
      </c>
      <c r="DB60" s="541"/>
      <c r="DC60" s="541"/>
      <c r="DD60" s="541"/>
      <c r="DE60" s="541"/>
      <c r="DF60" s="541"/>
      <c r="DG60" s="541"/>
      <c r="DK60" s="528">
        <f t="shared" si="17"/>
        <v>30079.658619999998</v>
      </c>
      <c r="DX60" s="519">
        <f t="shared" si="18"/>
        <v>0</v>
      </c>
    </row>
    <row r="61" spans="1:128" ht="15">
      <c r="B61" s="480" t="s">
        <v>642</v>
      </c>
      <c r="C61" s="538"/>
      <c r="D61" s="538"/>
      <c r="E61" s="538"/>
      <c r="F61" s="538"/>
      <c r="G61" s="538"/>
      <c r="H61" s="538"/>
      <c r="I61" s="538"/>
      <c r="J61" s="538"/>
      <c r="K61" s="538"/>
      <c r="L61" s="538"/>
      <c r="M61" s="538"/>
      <c r="N61" s="538"/>
      <c r="O61" s="514">
        <f t="shared" si="9"/>
        <v>0</v>
      </c>
      <c r="P61" s="623"/>
      <c r="Q61" s="623"/>
      <c r="R61" s="623"/>
      <c r="S61" s="623"/>
      <c r="T61" s="623"/>
      <c r="U61" s="623"/>
      <c r="V61" s="534"/>
      <c r="W61" s="544"/>
      <c r="X61" s="623"/>
      <c r="Y61" s="623"/>
      <c r="Z61" s="624"/>
      <c r="AA61" s="624"/>
      <c r="AB61" s="605">
        <f t="shared" si="10"/>
        <v>0</v>
      </c>
      <c r="AC61" s="625"/>
      <c r="AD61" s="626"/>
      <c r="AE61" s="626"/>
      <c r="AF61" s="626"/>
      <c r="AG61" s="626"/>
      <c r="AH61" s="626"/>
      <c r="AI61" s="626"/>
      <c r="AJ61" s="626"/>
      <c r="AK61" s="607">
        <f t="shared" si="13"/>
        <v>0</v>
      </c>
      <c r="AL61" s="628"/>
      <c r="AM61" s="627"/>
      <c r="AN61" s="628"/>
      <c r="AO61" s="628"/>
      <c r="AP61" s="533"/>
      <c r="AQ61" s="533"/>
      <c r="AR61" s="533"/>
      <c r="AS61" s="533"/>
      <c r="AT61" s="533"/>
      <c r="AU61" s="533"/>
      <c r="AV61" s="533"/>
      <c r="AW61" s="533"/>
      <c r="AX61" s="528">
        <f>SUM(AL61:AW61)</f>
        <v>0</v>
      </c>
      <c r="AY61" s="606"/>
      <c r="AZ61" s="627"/>
      <c r="BA61" s="533"/>
      <c r="BB61" s="525"/>
      <c r="BC61" s="525"/>
      <c r="BD61" s="525"/>
      <c r="BE61" s="525"/>
      <c r="BF61" s="525"/>
      <c r="BG61" s="525"/>
      <c r="BH61" s="563"/>
      <c r="BI61" s="525"/>
      <c r="BJ61" s="608"/>
      <c r="BK61" s="528">
        <f t="shared" si="19"/>
        <v>0</v>
      </c>
      <c r="BL61" s="614"/>
      <c r="BM61" s="533"/>
      <c r="BN61" s="629"/>
      <c r="BO61" s="533"/>
      <c r="BP61" s="533"/>
      <c r="BQ61" s="535"/>
      <c r="BR61" s="533"/>
      <c r="BS61" s="533"/>
      <c r="BT61" s="533"/>
      <c r="BU61" s="533"/>
      <c r="BV61" s="533"/>
      <c r="BW61" s="618"/>
      <c r="BX61" s="528">
        <f t="shared" si="15"/>
        <v>0</v>
      </c>
      <c r="BY61" s="525"/>
      <c r="BZ61" s="525"/>
      <c r="CA61" s="627"/>
      <c r="CB61" s="525"/>
      <c r="CC61" s="525"/>
      <c r="CD61" s="525"/>
      <c r="CE61" s="525"/>
      <c r="CF61" s="525"/>
      <c r="CG61" s="525"/>
      <c r="CH61" s="525"/>
      <c r="CI61" s="525"/>
      <c r="CJ61" s="525"/>
      <c r="CK61" s="528">
        <f t="shared" si="12"/>
        <v>0</v>
      </c>
      <c r="CL61" s="526"/>
      <c r="CM61" s="525"/>
      <c r="CN61" s="541"/>
      <c r="CO61" s="541"/>
      <c r="CP61" s="572"/>
      <c r="CQ61" s="527"/>
      <c r="CR61" s="527"/>
      <c r="CS61" s="527"/>
      <c r="CT61" s="527"/>
      <c r="CU61" s="527"/>
      <c r="CV61" s="527"/>
      <c r="CW61" s="527"/>
      <c r="CX61" s="528">
        <f t="shared" si="16"/>
        <v>0</v>
      </c>
      <c r="CY61" s="881"/>
      <c r="CZ61" s="541"/>
      <c r="DA61" s="848"/>
      <c r="DB61" s="544">
        <f>((25300+25780+25380)*1.0247*1.21)</f>
        <v>94801.760019999987</v>
      </c>
      <c r="DC61" s="541"/>
      <c r="DD61" s="541"/>
      <c r="DE61" s="541"/>
      <c r="DF61" s="541"/>
      <c r="DG61" s="541"/>
      <c r="DK61" s="528">
        <f t="shared" si="17"/>
        <v>94801.760019999987</v>
      </c>
      <c r="DX61" s="519">
        <f t="shared" si="18"/>
        <v>0</v>
      </c>
    </row>
    <row r="62" spans="1:128" ht="15">
      <c r="B62" s="480" t="s">
        <v>643</v>
      </c>
      <c r="C62" s="538"/>
      <c r="D62" s="538"/>
      <c r="E62" s="538"/>
      <c r="F62" s="538"/>
      <c r="G62" s="538"/>
      <c r="H62" s="538"/>
      <c r="I62" s="538"/>
      <c r="J62" s="538"/>
      <c r="K62" s="538"/>
      <c r="L62" s="538"/>
      <c r="M62" s="538"/>
      <c r="N62" s="538"/>
      <c r="O62" s="514">
        <f t="shared" si="9"/>
        <v>0</v>
      </c>
      <c r="P62" s="623"/>
      <c r="Q62" s="623"/>
      <c r="R62" s="623"/>
      <c r="S62" s="623"/>
      <c r="T62" s="623"/>
      <c r="U62" s="623"/>
      <c r="V62" s="534"/>
      <c r="W62" s="544"/>
      <c r="X62" s="623"/>
      <c r="Y62" s="623"/>
      <c r="Z62" s="525"/>
      <c r="AA62" s="534"/>
      <c r="AB62" s="605">
        <f t="shared" si="10"/>
        <v>0</v>
      </c>
      <c r="AC62" s="613"/>
      <c r="AD62" s="534"/>
      <c r="AE62" s="534"/>
      <c r="AF62" s="630"/>
      <c r="AG62" s="630"/>
      <c r="AH62" s="626"/>
      <c r="AI62" s="630"/>
      <c r="AJ62" s="626"/>
      <c r="AK62" s="607">
        <f t="shared" si="13"/>
        <v>0</v>
      </c>
      <c r="AL62" s="628"/>
      <c r="AM62" s="525"/>
      <c r="AN62" s="525"/>
      <c r="AO62" s="525"/>
      <c r="AP62" s="525"/>
      <c r="AQ62" s="525"/>
      <c r="AR62" s="525"/>
      <c r="AS62" s="525"/>
      <c r="AT62" s="630"/>
      <c r="AU62" s="533"/>
      <c r="AV62" s="525"/>
      <c r="AW62" s="630"/>
      <c r="AX62" s="528">
        <f>SUM(AL62:AW62)</f>
        <v>0</v>
      </c>
      <c r="AY62" s="606"/>
      <c r="AZ62" s="525"/>
      <c r="BA62" s="631"/>
      <c r="BB62" s="525"/>
      <c r="BC62" s="525"/>
      <c r="BD62" s="525"/>
      <c r="BE62" s="525"/>
      <c r="BF62" s="632"/>
      <c r="BG62" s="631"/>
      <c r="BH62" s="563"/>
      <c r="BI62" s="631"/>
      <c r="BJ62" s="608"/>
      <c r="BK62" s="528">
        <f t="shared" si="19"/>
        <v>0</v>
      </c>
      <c r="BL62" s="614"/>
      <c r="BM62" s="630"/>
      <c r="BN62" s="526"/>
      <c r="BO62" s="533"/>
      <c r="BP62" s="525"/>
      <c r="BQ62" s="544"/>
      <c r="BR62" s="533"/>
      <c r="BS62" s="544"/>
      <c r="BT62" s="525"/>
      <c r="BU62" s="533"/>
      <c r="BV62" s="544"/>
      <c r="BW62" s="525"/>
      <c r="BX62" s="528">
        <f>SUM(BL62:BV62)</f>
        <v>0</v>
      </c>
      <c r="BY62" s="525"/>
      <c r="BZ62" s="544"/>
      <c r="CA62" s="525"/>
      <c r="CB62" s="525"/>
      <c r="CC62" s="525"/>
      <c r="CD62" s="525"/>
      <c r="CE62" s="619"/>
      <c r="CF62" s="619"/>
      <c r="CG62" s="619"/>
      <c r="CH62" s="619"/>
      <c r="CI62" s="619"/>
      <c r="CJ62" s="525"/>
      <c r="CK62" s="528">
        <f t="shared" si="12"/>
        <v>0</v>
      </c>
      <c r="CL62" s="526"/>
      <c r="CM62" s="525"/>
      <c r="CN62" s="619"/>
      <c r="CO62" s="617"/>
      <c r="CP62" s="633"/>
      <c r="CQ62" s="633"/>
      <c r="CR62" s="610"/>
      <c r="CS62" s="633"/>
      <c r="CT62" s="610"/>
      <c r="CU62" s="633"/>
      <c r="CV62" s="633"/>
      <c r="CW62" s="610"/>
      <c r="CX62" s="528">
        <f t="shared" si="16"/>
        <v>0</v>
      </c>
      <c r="CY62" s="881"/>
      <c r="CZ62" s="541"/>
      <c r="DA62" s="848"/>
      <c r="DB62" s="544">
        <f>((25480+25160+24520+24120)*1.0247*1.21)</f>
        <v>123095.98135999999</v>
      </c>
      <c r="DC62" s="541"/>
      <c r="DD62" s="541"/>
      <c r="DE62" s="848"/>
      <c r="DF62" s="541"/>
      <c r="DG62" s="848"/>
      <c r="DJ62" s="612"/>
      <c r="DK62" s="528">
        <f t="shared" si="17"/>
        <v>123095.98135999999</v>
      </c>
      <c r="DX62" s="519">
        <f t="shared" si="18"/>
        <v>0</v>
      </c>
    </row>
    <row r="63" spans="1:128" ht="15">
      <c r="B63" s="480" t="s">
        <v>644</v>
      </c>
      <c r="C63" s="538"/>
      <c r="D63" s="538"/>
      <c r="E63" s="538"/>
      <c r="F63" s="538"/>
      <c r="G63" s="538"/>
      <c r="H63" s="538"/>
      <c r="I63" s="538"/>
      <c r="J63" s="538"/>
      <c r="K63" s="538"/>
      <c r="L63" s="538"/>
      <c r="M63" s="538"/>
      <c r="N63" s="538"/>
      <c r="O63" s="514">
        <f t="shared" si="9"/>
        <v>0</v>
      </c>
      <c r="P63" s="623"/>
      <c r="Q63" s="623"/>
      <c r="R63" s="623"/>
      <c r="S63" s="623"/>
      <c r="T63" s="623"/>
      <c r="U63" s="623"/>
      <c r="V63" s="534"/>
      <c r="W63" s="544"/>
      <c r="X63" s="623"/>
      <c r="Y63" s="623"/>
      <c r="Z63" s="525"/>
      <c r="AA63" s="534"/>
      <c r="AB63" s="605">
        <f t="shared" si="10"/>
        <v>0</v>
      </c>
      <c r="AC63" s="613"/>
      <c r="AD63" s="534"/>
      <c r="AE63" s="534"/>
      <c r="AF63" s="630"/>
      <c r="AG63" s="626"/>
      <c r="AH63" s="626"/>
      <c r="AI63" s="630"/>
      <c r="AJ63" s="626"/>
      <c r="AK63" s="607">
        <f t="shared" si="13"/>
        <v>0</v>
      </c>
      <c r="AL63" s="628"/>
      <c r="AM63" s="634"/>
      <c r="AN63" s="628"/>
      <c r="AO63" s="628"/>
      <c r="AP63" s="544"/>
      <c r="AQ63" s="525"/>
      <c r="AR63" s="533"/>
      <c r="AS63" s="533"/>
      <c r="AT63" s="533"/>
      <c r="AU63" s="533"/>
      <c r="AV63" s="533"/>
      <c r="AW63" s="533"/>
      <c r="AX63" s="528">
        <f t="shared" ref="AX63:AX64" si="24">SUM(AL63:AW63)</f>
        <v>0</v>
      </c>
      <c r="AY63" s="606"/>
      <c r="AZ63" s="525"/>
      <c r="BA63" s="525"/>
      <c r="BB63" s="525"/>
      <c r="BC63" s="525"/>
      <c r="BD63" s="544"/>
      <c r="BE63" s="525"/>
      <c r="BF63" s="525"/>
      <c r="BG63" s="525"/>
      <c r="BH63" s="563"/>
      <c r="BI63" s="525"/>
      <c r="BJ63" s="608"/>
      <c r="BK63" s="528">
        <f t="shared" si="19"/>
        <v>0</v>
      </c>
      <c r="BL63" s="614"/>
      <c r="BM63" s="533"/>
      <c r="BN63" s="535"/>
      <c r="BO63" s="533"/>
      <c r="BP63" s="525"/>
      <c r="BQ63" s="526"/>
      <c r="BR63" s="544"/>
      <c r="BS63" s="533"/>
      <c r="BT63" s="533"/>
      <c r="BU63" s="533"/>
      <c r="BV63" s="533"/>
      <c r="BW63" s="618"/>
      <c r="BX63" s="528">
        <f t="shared" si="15"/>
        <v>0</v>
      </c>
      <c r="BY63" s="525"/>
      <c r="BZ63" s="525"/>
      <c r="CA63" s="525"/>
      <c r="CB63" s="525"/>
      <c r="CC63" s="525"/>
      <c r="CD63" s="544"/>
      <c r="CE63" s="525"/>
      <c r="CF63" s="525"/>
      <c r="CG63" s="525"/>
      <c r="CH63" s="525"/>
      <c r="CI63" s="525"/>
      <c r="CJ63" s="525"/>
      <c r="CK63" s="528">
        <f t="shared" si="12"/>
        <v>0</v>
      </c>
      <c r="CL63" s="526"/>
      <c r="CM63" s="525"/>
      <c r="CN63" s="525"/>
      <c r="CO63" s="525"/>
      <c r="CP63" s="527"/>
      <c r="CQ63" s="610"/>
      <c r="CR63" s="527"/>
      <c r="CS63" s="527"/>
      <c r="CT63" s="527"/>
      <c r="CU63" s="527"/>
      <c r="CV63" s="527"/>
      <c r="CW63" s="527"/>
      <c r="CX63" s="528">
        <f t="shared" si="16"/>
        <v>0</v>
      </c>
      <c r="CY63" s="881"/>
      <c r="CZ63" s="541"/>
      <c r="DA63" s="541"/>
      <c r="DB63" s="544">
        <f>((25540+26560+25560+24340)*1.0247*1.21)</f>
        <v>126468.47399999999</v>
      </c>
      <c r="DC63" s="541"/>
      <c r="DD63" s="848"/>
      <c r="DE63" s="541"/>
      <c r="DF63" s="541"/>
      <c r="DG63" s="541"/>
      <c r="DK63" s="528">
        <f t="shared" si="17"/>
        <v>126468.47399999999</v>
      </c>
      <c r="DX63" s="519">
        <f t="shared" si="18"/>
        <v>0</v>
      </c>
    </row>
    <row r="64" spans="1:128" ht="15">
      <c r="B64" s="480" t="s">
        <v>645</v>
      </c>
      <c r="C64" s="538"/>
      <c r="D64" s="538"/>
      <c r="E64" s="538"/>
      <c r="F64" s="538"/>
      <c r="G64" s="538"/>
      <c r="H64" s="538"/>
      <c r="I64" s="538"/>
      <c r="J64" s="538"/>
      <c r="K64" s="538"/>
      <c r="L64" s="538"/>
      <c r="M64" s="538"/>
      <c r="N64" s="538"/>
      <c r="O64" s="514">
        <f t="shared" si="9"/>
        <v>0</v>
      </c>
      <c r="P64" s="623"/>
      <c r="Q64" s="623"/>
      <c r="R64" s="623"/>
      <c r="S64" s="623"/>
      <c r="T64" s="623"/>
      <c r="U64" s="623"/>
      <c r="V64" s="534"/>
      <c r="W64" s="544"/>
      <c r="X64" s="623"/>
      <c r="Y64" s="623"/>
      <c r="Z64" s="525"/>
      <c r="AA64" s="534"/>
      <c r="AB64" s="605">
        <f t="shared" si="10"/>
        <v>0</v>
      </c>
      <c r="AC64" s="613"/>
      <c r="AD64" s="534"/>
      <c r="AE64" s="630"/>
      <c r="AF64" s="534"/>
      <c r="AG64" s="534"/>
      <c r="AH64" s="635"/>
      <c r="AI64" s="630"/>
      <c r="AJ64" s="626"/>
      <c r="AK64" s="607">
        <f t="shared" si="13"/>
        <v>0</v>
      </c>
      <c r="AL64" s="628"/>
      <c r="AM64" s="634"/>
      <c r="AN64" s="628"/>
      <c r="AO64" s="628"/>
      <c r="AP64" s="533"/>
      <c r="AQ64" s="533"/>
      <c r="AR64" s="525"/>
      <c r="AS64" s="525"/>
      <c r="AT64" s="525"/>
      <c r="AU64" s="525"/>
      <c r="AV64" s="525"/>
      <c r="AW64" s="563"/>
      <c r="AX64" s="528">
        <f t="shared" si="24"/>
        <v>0</v>
      </c>
      <c r="AY64" s="525"/>
      <c r="AZ64" s="544"/>
      <c r="BA64" s="525"/>
      <c r="BB64" s="525"/>
      <c r="BC64" s="525"/>
      <c r="BD64" s="525"/>
      <c r="BE64" s="533"/>
      <c r="BF64" s="525"/>
      <c r="BG64" s="525"/>
      <c r="BH64" s="563"/>
      <c r="BI64" s="525"/>
      <c r="BJ64" s="608"/>
      <c r="BK64" s="528">
        <f>SUM(AZ64:BJ64)</f>
        <v>0</v>
      </c>
      <c r="BL64" s="614"/>
      <c r="BM64" s="533"/>
      <c r="BN64" s="535"/>
      <c r="BO64" s="533"/>
      <c r="BP64" s="533"/>
      <c r="BQ64" s="535"/>
      <c r="BR64" s="533"/>
      <c r="BS64" s="533"/>
      <c r="BT64" s="533"/>
      <c r="BU64" s="533"/>
      <c r="BV64" s="533"/>
      <c r="BW64" s="618"/>
      <c r="BX64" s="528">
        <f t="shared" si="15"/>
        <v>0</v>
      </c>
      <c r="BY64" s="525"/>
      <c r="BZ64" s="525"/>
      <c r="CA64" s="525"/>
      <c r="CB64" s="525"/>
      <c r="CC64" s="525"/>
      <c r="CD64" s="525"/>
      <c r="CE64" s="525"/>
      <c r="CF64" s="525"/>
      <c r="CG64" s="525"/>
      <c r="CH64" s="525"/>
      <c r="CI64" s="525"/>
      <c r="CJ64" s="525"/>
      <c r="CK64" s="528">
        <f t="shared" si="12"/>
        <v>0</v>
      </c>
      <c r="CL64" s="526"/>
      <c r="CM64" s="525"/>
      <c r="CN64" s="525"/>
      <c r="CO64" s="525"/>
      <c r="CP64" s="527"/>
      <c r="CQ64" s="527"/>
      <c r="CR64" s="527"/>
      <c r="CS64" s="527"/>
      <c r="CT64" s="527"/>
      <c r="CU64" s="527"/>
      <c r="CV64" s="527"/>
      <c r="CW64" s="527"/>
      <c r="CX64" s="528">
        <f t="shared" si="16"/>
        <v>0</v>
      </c>
      <c r="CY64" s="881"/>
      <c r="CZ64" s="541"/>
      <c r="DA64" s="541"/>
      <c r="DB64" s="544">
        <f>((8700+16040+25860+25860)*1.0247*1.21)</f>
        <v>94801.760019999987</v>
      </c>
      <c r="DC64" s="541"/>
      <c r="DD64" s="541"/>
      <c r="DE64" s="541"/>
      <c r="DF64" s="541"/>
      <c r="DG64" s="541"/>
      <c r="DK64" s="528">
        <f t="shared" si="17"/>
        <v>94801.760019999987</v>
      </c>
      <c r="DX64" s="519">
        <f t="shared" si="18"/>
        <v>0</v>
      </c>
    </row>
    <row r="65" spans="2:128" ht="15">
      <c r="B65" s="480" t="s">
        <v>646</v>
      </c>
      <c r="C65" s="538"/>
      <c r="D65" s="538"/>
      <c r="E65" s="538"/>
      <c r="F65" s="538"/>
      <c r="G65" s="538"/>
      <c r="H65" s="538"/>
      <c r="I65" s="538"/>
      <c r="J65" s="538"/>
      <c r="K65" s="538"/>
      <c r="L65" s="538"/>
      <c r="M65" s="538"/>
      <c r="N65" s="538"/>
      <c r="O65" s="514">
        <f t="shared" si="9"/>
        <v>0</v>
      </c>
      <c r="P65" s="623"/>
      <c r="Q65" s="623"/>
      <c r="R65" s="623"/>
      <c r="S65" s="623"/>
      <c r="T65" s="623"/>
      <c r="U65" s="623"/>
      <c r="V65" s="534"/>
      <c r="W65" s="544"/>
      <c r="X65" s="623"/>
      <c r="Y65" s="623"/>
      <c r="Z65" s="525"/>
      <c r="AA65" s="534"/>
      <c r="AB65" s="605">
        <v>0</v>
      </c>
      <c r="AC65" s="613"/>
      <c r="AD65" s="534"/>
      <c r="AE65" s="630"/>
      <c r="AF65" s="534"/>
      <c r="AG65" s="630"/>
      <c r="AH65" s="534"/>
      <c r="AI65" s="544"/>
      <c r="AJ65" s="626"/>
      <c r="AK65" s="607">
        <f t="shared" si="13"/>
        <v>0</v>
      </c>
      <c r="AL65" s="628"/>
      <c r="AM65" s="634"/>
      <c r="AN65" s="628"/>
      <c r="AO65" s="628"/>
      <c r="AP65" s="525"/>
      <c r="AQ65" s="533"/>
      <c r="AR65" s="533"/>
      <c r="AS65" s="533"/>
      <c r="AT65" s="533"/>
      <c r="AU65" s="533"/>
      <c r="AV65" s="525"/>
      <c r="AW65" s="533"/>
      <c r="AX65" s="528">
        <f t="shared" si="23"/>
        <v>0</v>
      </c>
      <c r="AY65" s="525"/>
      <c r="AZ65" s="525"/>
      <c r="BA65" s="525"/>
      <c r="BB65" s="544"/>
      <c r="BC65" s="525"/>
      <c r="BD65" s="525"/>
      <c r="BE65" s="525"/>
      <c r="BF65" s="525"/>
      <c r="BG65" s="525"/>
      <c r="BH65" s="563"/>
      <c r="BI65" s="525"/>
      <c r="BJ65" s="544"/>
      <c r="BK65" s="528">
        <f>SUM(BB65:BJ65)</f>
        <v>0</v>
      </c>
      <c r="BL65" s="614"/>
      <c r="BM65" s="533"/>
      <c r="BN65" s="535"/>
      <c r="BO65" s="533"/>
      <c r="BP65" s="533"/>
      <c r="BQ65" s="535"/>
      <c r="BR65" s="533"/>
      <c r="BS65" s="533"/>
      <c r="BT65" s="533"/>
      <c r="BU65" s="533"/>
      <c r="BV65" s="525"/>
      <c r="BW65" s="544"/>
      <c r="BX65" s="528">
        <f>SUM(BL65:BW65)</f>
        <v>0</v>
      </c>
      <c r="BY65" s="525"/>
      <c r="BZ65" s="525"/>
      <c r="CA65" s="525"/>
      <c r="CB65" s="525"/>
      <c r="CC65" s="525"/>
      <c r="CD65" s="525"/>
      <c r="CE65" s="525"/>
      <c r="CF65" s="525"/>
      <c r="CG65" s="525"/>
      <c r="CH65" s="525"/>
      <c r="CI65" s="544"/>
      <c r="CJ65" s="563"/>
      <c r="CK65" s="528">
        <f>SUM(BY65:CJ65)</f>
        <v>0</v>
      </c>
      <c r="CL65" s="526"/>
      <c r="CM65" s="525"/>
      <c r="CN65" s="525"/>
      <c r="CO65" s="525"/>
      <c r="CP65" s="527"/>
      <c r="CQ65" s="527"/>
      <c r="CR65" s="527"/>
      <c r="CS65" s="527"/>
      <c r="CT65" s="527"/>
      <c r="CU65" s="527"/>
      <c r="CV65" s="610"/>
      <c r="CW65" s="527"/>
      <c r="CX65" s="528">
        <f t="shared" si="16"/>
        <v>0</v>
      </c>
      <c r="CY65" s="881"/>
      <c r="CZ65" s="541"/>
      <c r="DA65" s="541"/>
      <c r="DB65" s="544">
        <f>((24200+26260+24920)*1.0247*1.21)</f>
        <v>93462.682059999992</v>
      </c>
      <c r="DC65" s="541"/>
      <c r="DD65" s="541"/>
      <c r="DE65" s="541"/>
      <c r="DF65" s="541"/>
      <c r="DG65" s="541"/>
      <c r="DI65" s="612"/>
      <c r="DK65" s="528">
        <f t="shared" si="17"/>
        <v>93462.682059999992</v>
      </c>
      <c r="DX65" s="519">
        <f t="shared" si="18"/>
        <v>0</v>
      </c>
    </row>
    <row r="66" spans="2:128" ht="15">
      <c r="B66" s="480" t="s">
        <v>647</v>
      </c>
      <c r="C66" s="480" t="s">
        <v>645</v>
      </c>
      <c r="D66" s="538"/>
      <c r="E66" s="538"/>
      <c r="F66" s="538"/>
      <c r="G66" s="538"/>
      <c r="H66" s="538"/>
      <c r="I66" s="538"/>
      <c r="J66" s="538"/>
      <c r="K66" s="538"/>
      <c r="L66" s="538"/>
      <c r="M66" s="538"/>
      <c r="N66" s="538"/>
      <c r="O66" s="514"/>
      <c r="P66" s="623"/>
      <c r="Q66" s="623"/>
      <c r="R66" s="623"/>
      <c r="S66" s="623"/>
      <c r="T66" s="623"/>
      <c r="U66" s="623"/>
      <c r="V66" s="534"/>
      <c r="W66" s="544"/>
      <c r="X66" s="623"/>
      <c r="Y66" s="623"/>
      <c r="Z66" s="525"/>
      <c r="AA66" s="534"/>
      <c r="AB66" s="605">
        <v>0</v>
      </c>
      <c r="AC66" s="613"/>
      <c r="AD66" s="534"/>
      <c r="AE66" s="630"/>
      <c r="AF66" s="534"/>
      <c r="AG66" s="630"/>
      <c r="AH66" s="534"/>
      <c r="AI66" s="544"/>
      <c r="AJ66" s="626"/>
      <c r="AK66" s="607">
        <f t="shared" si="13"/>
        <v>0</v>
      </c>
      <c r="AL66" s="628"/>
      <c r="AM66" s="634"/>
      <c r="AN66" s="628"/>
      <c r="AO66" s="628"/>
      <c r="AP66" s="544"/>
      <c r="AQ66" s="534"/>
      <c r="AR66" s="533"/>
      <c r="AS66" s="533"/>
      <c r="AT66" s="533"/>
      <c r="AU66" s="533"/>
      <c r="AV66" s="533"/>
      <c r="AW66" s="533"/>
      <c r="AX66" s="528">
        <f>SUM(AL66:AW66)</f>
        <v>0</v>
      </c>
      <c r="AY66" s="606"/>
      <c r="AZ66" s="525"/>
      <c r="BA66" s="525"/>
      <c r="BB66" s="525"/>
      <c r="BC66" s="544"/>
      <c r="BD66" s="525"/>
      <c r="BE66" s="525"/>
      <c r="BF66" s="525"/>
      <c r="BG66" s="525"/>
      <c r="BH66" s="563"/>
      <c r="BI66" s="525"/>
      <c r="BJ66" s="563"/>
      <c r="BK66" s="528">
        <f>SUM(AY66:BJ66)</f>
        <v>0</v>
      </c>
      <c r="BL66" s="614"/>
      <c r="BM66" s="533"/>
      <c r="BN66" s="535"/>
      <c r="BO66" s="533"/>
      <c r="BP66" s="544"/>
      <c r="BQ66" s="615"/>
      <c r="BR66" s="533"/>
      <c r="BS66" s="533"/>
      <c r="BT66" s="533"/>
      <c r="BU66" s="533"/>
      <c r="BV66" s="533"/>
      <c r="BW66" s="618"/>
      <c r="BX66" s="528">
        <f t="shared" si="15"/>
        <v>0</v>
      </c>
      <c r="BY66" s="525"/>
      <c r="BZ66" s="525"/>
      <c r="CA66" s="525"/>
      <c r="CB66" s="525"/>
      <c r="CC66" s="525"/>
      <c r="CD66" s="525"/>
      <c r="CE66" s="525"/>
      <c r="CF66" s="525"/>
      <c r="CG66" s="544"/>
      <c r="CH66" s="525"/>
      <c r="CI66" s="525"/>
      <c r="CJ66" s="525"/>
      <c r="CK66" s="528">
        <f t="shared" si="12"/>
        <v>0</v>
      </c>
      <c r="CL66" s="526"/>
      <c r="CM66" s="525"/>
      <c r="CN66" s="525"/>
      <c r="CO66" s="525"/>
      <c r="CQ66" s="572"/>
      <c r="CR66" s="527"/>
      <c r="CS66" s="527"/>
      <c r="CT66" s="527"/>
      <c r="CU66" s="527"/>
      <c r="CV66" s="527"/>
      <c r="CW66" s="527"/>
      <c r="CX66" s="528">
        <f t="shared" si="16"/>
        <v>0</v>
      </c>
      <c r="CY66" s="881"/>
      <c r="CZ66" s="541"/>
      <c r="DA66" s="541"/>
      <c r="DB66" s="544">
        <f>((25300+24980+25920+24400+25400+25640)*1.0247*1.21)</f>
        <v>188016.46468</v>
      </c>
      <c r="DC66" s="848"/>
      <c r="DD66" s="541"/>
      <c r="DE66" s="541"/>
      <c r="DF66" s="541"/>
      <c r="DG66" s="541"/>
      <c r="DK66" s="528">
        <f t="shared" si="17"/>
        <v>188016.46468</v>
      </c>
      <c r="DX66" s="519">
        <f t="shared" si="18"/>
        <v>0</v>
      </c>
    </row>
    <row r="67" spans="2:128" ht="15">
      <c r="B67" s="480" t="s">
        <v>648</v>
      </c>
      <c r="C67" s="480" t="s">
        <v>646</v>
      </c>
      <c r="D67" s="538"/>
      <c r="E67" s="538"/>
      <c r="F67" s="538"/>
      <c r="G67" s="538"/>
      <c r="H67" s="538"/>
      <c r="I67" s="538"/>
      <c r="J67" s="538"/>
      <c r="K67" s="538"/>
      <c r="L67" s="538"/>
      <c r="M67" s="538"/>
      <c r="N67" s="538"/>
      <c r="O67" s="514"/>
      <c r="P67" s="623"/>
      <c r="Q67" s="623"/>
      <c r="R67" s="623"/>
      <c r="S67" s="623"/>
      <c r="T67" s="623"/>
      <c r="U67" s="623"/>
      <c r="V67" s="534"/>
      <c r="W67" s="544"/>
      <c r="X67" s="623"/>
      <c r="Y67" s="623"/>
      <c r="Z67" s="525"/>
      <c r="AA67" s="534"/>
      <c r="AB67" s="605">
        <v>0</v>
      </c>
      <c r="AC67" s="613"/>
      <c r="AD67" s="534"/>
      <c r="AE67" s="630"/>
      <c r="AF67" s="534"/>
      <c r="AG67" s="630"/>
      <c r="AH67" s="534"/>
      <c r="AI67" s="544"/>
      <c r="AJ67" s="626"/>
      <c r="AK67" s="607">
        <f t="shared" si="13"/>
        <v>0</v>
      </c>
      <c r="AL67" s="628"/>
      <c r="AM67" s="634"/>
      <c r="AN67" s="628"/>
      <c r="AO67" s="628"/>
      <c r="AP67" s="525"/>
      <c r="AQ67" s="525"/>
      <c r="AR67" s="525"/>
      <c r="AS67" s="533"/>
      <c r="AT67" s="525"/>
      <c r="AU67" s="533"/>
      <c r="AV67" s="525"/>
      <c r="AW67" s="544"/>
      <c r="AX67" s="528">
        <f>SUM(AL67:AW67)</f>
        <v>0</v>
      </c>
      <c r="AY67" s="606"/>
      <c r="AZ67" s="525"/>
      <c r="BA67" s="525"/>
      <c r="BB67" s="525"/>
      <c r="BC67" s="525"/>
      <c r="BD67" s="533"/>
      <c r="BE67" s="525"/>
      <c r="BF67" s="525"/>
      <c r="BG67" s="525"/>
      <c r="BH67" s="563"/>
      <c r="BI67" s="525"/>
      <c r="BJ67" s="608"/>
      <c r="BK67" s="528">
        <f t="shared" si="19"/>
        <v>0</v>
      </c>
      <c r="BL67" s="614"/>
      <c r="BM67" s="533"/>
      <c r="BN67" s="535"/>
      <c r="BO67" s="533"/>
      <c r="BP67" s="525"/>
      <c r="BQ67" s="526"/>
      <c r="BR67" s="544"/>
      <c r="BS67" s="533"/>
      <c r="BT67" s="533"/>
      <c r="BU67" s="533"/>
      <c r="BV67" s="533"/>
      <c r="BW67" s="618"/>
      <c r="BX67" s="528">
        <f t="shared" si="15"/>
        <v>0</v>
      </c>
      <c r="BY67" s="525"/>
      <c r="BZ67" s="525"/>
      <c r="CA67" s="525"/>
      <c r="CB67" s="525"/>
      <c r="CC67" s="525"/>
      <c r="CD67" s="525"/>
      <c r="CE67" s="525"/>
      <c r="CF67" s="525"/>
      <c r="CG67" s="525"/>
      <c r="CH67" s="525"/>
      <c r="CI67" s="619"/>
      <c r="CJ67" s="525"/>
      <c r="CK67" s="528">
        <f t="shared" si="12"/>
        <v>0</v>
      </c>
      <c r="CL67" s="526"/>
      <c r="CM67" s="525"/>
      <c r="CN67" s="525"/>
      <c r="CO67" s="525"/>
      <c r="CP67" s="527"/>
      <c r="CR67" s="572"/>
      <c r="CS67" s="527"/>
      <c r="CT67" s="527"/>
      <c r="CU67" s="527"/>
      <c r="CV67" s="527"/>
      <c r="CW67" s="527"/>
      <c r="CX67" s="528">
        <f t="shared" si="16"/>
        <v>0</v>
      </c>
      <c r="CY67" s="881"/>
      <c r="CZ67" s="541"/>
      <c r="DA67" s="541"/>
      <c r="DB67" s="544">
        <f>((26120+25960+24340+25440+25500)*1.0247*1.21)</f>
        <v>157912.00831999999</v>
      </c>
      <c r="DC67" s="848"/>
      <c r="DD67" s="541"/>
      <c r="DE67" s="541"/>
      <c r="DF67" s="541"/>
      <c r="DG67" s="541"/>
      <c r="DK67" s="528">
        <f t="shared" si="17"/>
        <v>157912.00831999999</v>
      </c>
      <c r="DX67" s="519">
        <f t="shared" si="18"/>
        <v>0</v>
      </c>
    </row>
    <row r="68" spans="2:128" s="821" customFormat="1" ht="15.75" thickBot="1">
      <c r="B68" s="821" t="s">
        <v>649</v>
      </c>
      <c r="C68" s="822"/>
      <c r="D68" s="822"/>
      <c r="E68" s="822"/>
      <c r="F68" s="822"/>
      <c r="G68" s="822"/>
      <c r="H68" s="822"/>
      <c r="I68" s="822"/>
      <c r="J68" s="822"/>
      <c r="K68" s="822"/>
      <c r="L68" s="822"/>
      <c r="M68" s="822"/>
      <c r="N68" s="822"/>
      <c r="O68" s="823"/>
      <c r="P68" s="906"/>
      <c r="Q68" s="906"/>
      <c r="R68" s="906"/>
      <c r="S68" s="906"/>
      <c r="T68" s="906"/>
      <c r="U68" s="906"/>
      <c r="V68" s="824"/>
      <c r="W68" s="825"/>
      <c r="X68" s="906"/>
      <c r="Y68" s="906"/>
      <c r="Z68" s="826"/>
      <c r="AA68" s="824"/>
      <c r="AB68" s="827">
        <v>0</v>
      </c>
      <c r="AC68" s="907"/>
      <c r="AD68" s="824"/>
      <c r="AE68" s="908"/>
      <c r="AF68" s="824"/>
      <c r="AG68" s="908"/>
      <c r="AH68" s="824"/>
      <c r="AI68" s="825"/>
      <c r="AJ68" s="909"/>
      <c r="AK68" s="830">
        <f t="shared" si="13"/>
        <v>0</v>
      </c>
      <c r="AL68" s="910"/>
      <c r="AM68" s="911"/>
      <c r="AN68" s="910"/>
      <c r="AO68" s="910"/>
      <c r="AP68" s="826"/>
      <c r="AQ68" s="826"/>
      <c r="AR68" s="826"/>
      <c r="AS68" s="832"/>
      <c r="AT68" s="826"/>
      <c r="AU68" s="832"/>
      <c r="AV68" s="826"/>
      <c r="AW68" s="825"/>
      <c r="AX68" s="833">
        <f>SUM(AL68:AW68)</f>
        <v>0</v>
      </c>
      <c r="AY68" s="907"/>
      <c r="AZ68" s="826"/>
      <c r="BA68" s="826"/>
      <c r="BB68" s="826"/>
      <c r="BC68" s="826"/>
      <c r="BD68" s="832"/>
      <c r="BE68" s="826"/>
      <c r="BF68" s="826"/>
      <c r="BG68" s="826"/>
      <c r="BH68" s="838"/>
      <c r="BI68" s="826"/>
      <c r="BJ68" s="832"/>
      <c r="BK68" s="833">
        <f>SUM(AY68:BJ68)</f>
        <v>0</v>
      </c>
      <c r="BL68" s="826"/>
      <c r="BM68" s="826"/>
      <c r="BN68" s="840"/>
      <c r="BO68" s="832"/>
      <c r="BP68" s="832"/>
      <c r="BQ68" s="835"/>
      <c r="BR68" s="832"/>
      <c r="BS68" s="832"/>
      <c r="BT68" s="832"/>
      <c r="BU68" s="832"/>
      <c r="BV68" s="826"/>
      <c r="BW68" s="838"/>
      <c r="BX68" s="833">
        <f>SUM(BL68:BW68)</f>
        <v>0</v>
      </c>
      <c r="BY68" s="826"/>
      <c r="BZ68" s="825"/>
      <c r="CA68" s="826"/>
      <c r="CB68" s="826"/>
      <c r="CC68" s="826"/>
      <c r="CD68" s="826"/>
      <c r="CE68" s="826"/>
      <c r="CF68" s="826"/>
      <c r="CG68" s="826"/>
      <c r="CH68" s="826"/>
      <c r="CI68" s="839"/>
      <c r="CJ68" s="826"/>
      <c r="CK68" s="833">
        <f>SUM(BZ68:CJ68)</f>
        <v>0</v>
      </c>
      <c r="CL68" s="837"/>
      <c r="CM68" s="826"/>
      <c r="CN68" s="826"/>
      <c r="CO68" s="826"/>
      <c r="CP68" s="889"/>
      <c r="CQ68" s="888"/>
      <c r="CR68" s="888"/>
      <c r="CS68" s="888"/>
      <c r="CT68" s="888"/>
      <c r="CU68" s="888"/>
      <c r="CV68" s="912"/>
      <c r="CW68" s="888"/>
      <c r="CX68" s="833">
        <f t="shared" si="16"/>
        <v>0</v>
      </c>
      <c r="CY68" s="882"/>
      <c r="CZ68" s="860"/>
      <c r="DA68" s="860"/>
      <c r="DB68" s="825">
        <f>(24680*1.0247*1.21)</f>
        <v>30600.411159999996</v>
      </c>
      <c r="DC68" s="956"/>
      <c r="DD68" s="860"/>
      <c r="DE68" s="860"/>
      <c r="DF68" s="860"/>
      <c r="DG68" s="860"/>
      <c r="DK68" s="833">
        <f t="shared" si="17"/>
        <v>30600.411159999996</v>
      </c>
      <c r="DX68" s="843">
        <f t="shared" si="18"/>
        <v>0</v>
      </c>
    </row>
    <row r="69" spans="2:128" ht="15">
      <c r="B69" s="480" t="s">
        <v>681</v>
      </c>
      <c r="C69" s="538"/>
      <c r="D69" s="538"/>
      <c r="E69" s="538"/>
      <c r="F69" s="538"/>
      <c r="G69" s="538"/>
      <c r="H69" s="538"/>
      <c r="I69" s="538"/>
      <c r="J69" s="538"/>
      <c r="K69" s="538"/>
      <c r="L69" s="538"/>
      <c r="M69" s="538"/>
      <c r="N69" s="538"/>
      <c r="O69" s="580"/>
      <c r="P69" s="623"/>
      <c r="Q69" s="623"/>
      <c r="R69" s="623"/>
      <c r="S69" s="623"/>
      <c r="T69" s="623"/>
      <c r="U69" s="623"/>
      <c r="V69" s="534"/>
      <c r="W69" s="544"/>
      <c r="X69" s="623"/>
      <c r="Y69" s="623"/>
      <c r="Z69" s="525"/>
      <c r="AA69" s="534"/>
      <c r="AB69" s="645">
        <v>0</v>
      </c>
      <c r="AC69" s="534"/>
      <c r="AD69" s="534"/>
      <c r="AE69" s="630"/>
      <c r="AF69" s="534"/>
      <c r="AG69" s="630"/>
      <c r="AH69" s="534"/>
      <c r="AI69" s="544"/>
      <c r="AJ69" s="626"/>
      <c r="AK69" s="645">
        <f>SUM(AC69:AJ69)</f>
        <v>0</v>
      </c>
      <c r="AL69" s="628"/>
      <c r="AM69" s="634"/>
      <c r="AN69" s="628"/>
      <c r="AO69" s="628"/>
      <c r="AP69" s="525"/>
      <c r="AQ69" s="525"/>
      <c r="AR69" s="525"/>
      <c r="AS69" s="533"/>
      <c r="AT69" s="525"/>
      <c r="AU69" s="533"/>
      <c r="AV69" s="525"/>
      <c r="AW69" s="544"/>
      <c r="AX69" s="527">
        <f>SUM(AL69:AW69)</f>
        <v>0</v>
      </c>
      <c r="AY69" s="534"/>
      <c r="AZ69" s="525"/>
      <c r="BA69" s="525"/>
      <c r="BB69" s="525"/>
      <c r="BC69" s="525"/>
      <c r="BD69" s="544"/>
      <c r="BE69" s="525"/>
      <c r="BF69" s="525"/>
      <c r="BG69" s="525"/>
      <c r="BH69" s="563"/>
      <c r="BI69" s="525"/>
      <c r="BJ69" s="525"/>
      <c r="BK69" s="527">
        <f t="shared" ref="BK69:BK85" si="25">SUM(AY69:BJ69)</f>
        <v>0</v>
      </c>
      <c r="BL69" s="533"/>
      <c r="BM69" s="525"/>
      <c r="BN69" s="526"/>
      <c r="BO69" s="525"/>
      <c r="BP69" s="525"/>
      <c r="BQ69" s="615"/>
      <c r="BR69" s="533"/>
      <c r="BS69" s="533"/>
      <c r="BT69" s="533"/>
      <c r="BU69" s="533"/>
      <c r="BV69" s="533"/>
      <c r="BW69" s="533"/>
      <c r="BX69" s="527">
        <f t="shared" si="15"/>
        <v>0</v>
      </c>
      <c r="BY69" s="525"/>
      <c r="BZ69" s="544"/>
      <c r="CA69" s="525"/>
      <c r="CB69" s="525"/>
      <c r="CC69" s="525"/>
      <c r="CD69" s="619"/>
      <c r="CE69" s="525"/>
      <c r="CF69" s="525"/>
      <c r="CG69" s="525"/>
      <c r="CH69" s="525"/>
      <c r="CI69" s="525"/>
      <c r="CJ69" s="525"/>
      <c r="CK69" s="527">
        <f t="shared" si="12"/>
        <v>0</v>
      </c>
      <c r="CL69" s="526"/>
      <c r="CM69" s="525"/>
      <c r="CN69" s="544"/>
      <c r="CO69" s="525"/>
      <c r="CP69" s="527"/>
      <c r="CQ69" s="527"/>
      <c r="CR69" s="527"/>
      <c r="CS69" s="527"/>
      <c r="CT69" s="527"/>
      <c r="CU69" s="527"/>
      <c r="CV69" s="527"/>
      <c r="CW69" s="527"/>
      <c r="CX69" s="527">
        <f t="shared" si="16"/>
        <v>0</v>
      </c>
      <c r="CY69" s="881"/>
      <c r="CZ69" s="541"/>
      <c r="DA69" s="848"/>
      <c r="DB69" s="541"/>
      <c r="DC69" s="525"/>
      <c r="DD69" s="541"/>
      <c r="DE69" s="541"/>
      <c r="DF69" s="541"/>
      <c r="DG69" s="541"/>
      <c r="DH69" s="527">
        <f>1140.5*60*1.21</f>
        <v>82800.3</v>
      </c>
      <c r="DK69" s="959">
        <f t="shared" si="17"/>
        <v>82800.3</v>
      </c>
      <c r="DL69" s="960"/>
      <c r="DX69" s="582">
        <f t="shared" si="18"/>
        <v>0</v>
      </c>
    </row>
    <row r="70" spans="2:128" s="821" customFormat="1" ht="15.75" thickBot="1">
      <c r="B70" s="821" t="s">
        <v>663</v>
      </c>
      <c r="C70" s="822"/>
      <c r="D70" s="822"/>
      <c r="E70" s="822"/>
      <c r="F70" s="822"/>
      <c r="G70" s="822"/>
      <c r="H70" s="822"/>
      <c r="I70" s="822"/>
      <c r="J70" s="822"/>
      <c r="K70" s="822"/>
      <c r="L70" s="822"/>
      <c r="M70" s="822"/>
      <c r="N70" s="822"/>
      <c r="O70" s="823"/>
      <c r="P70" s="906"/>
      <c r="Q70" s="906"/>
      <c r="R70" s="906"/>
      <c r="S70" s="906"/>
      <c r="T70" s="906"/>
      <c r="U70" s="906"/>
      <c r="V70" s="824"/>
      <c r="W70" s="825"/>
      <c r="X70" s="906"/>
      <c r="Y70" s="906"/>
      <c r="Z70" s="826"/>
      <c r="AA70" s="824"/>
      <c r="AB70" s="827"/>
      <c r="AC70" s="907"/>
      <c r="AD70" s="824"/>
      <c r="AE70" s="908"/>
      <c r="AF70" s="824"/>
      <c r="AG70" s="908"/>
      <c r="AH70" s="824"/>
      <c r="AI70" s="825"/>
      <c r="AJ70" s="909"/>
      <c r="AK70" s="830"/>
      <c r="AL70" s="910"/>
      <c r="AM70" s="911"/>
      <c r="AN70" s="910"/>
      <c r="AO70" s="910"/>
      <c r="AP70" s="826"/>
      <c r="AQ70" s="826"/>
      <c r="AR70" s="826"/>
      <c r="AS70" s="832"/>
      <c r="AT70" s="826"/>
      <c r="AU70" s="832"/>
      <c r="AV70" s="826"/>
      <c r="AW70" s="825"/>
      <c r="AX70" s="833"/>
      <c r="AY70" s="907"/>
      <c r="AZ70" s="826"/>
      <c r="BA70" s="826"/>
      <c r="BB70" s="826"/>
      <c r="BC70" s="826"/>
      <c r="BD70" s="825"/>
      <c r="BE70" s="826"/>
      <c r="BF70" s="826"/>
      <c r="BG70" s="826"/>
      <c r="BH70" s="838"/>
      <c r="BI70" s="826"/>
      <c r="BJ70" s="836"/>
      <c r="BK70" s="833"/>
      <c r="BL70" s="834"/>
      <c r="BM70" s="826"/>
      <c r="BN70" s="837"/>
      <c r="BO70" s="826"/>
      <c r="BP70" s="826"/>
      <c r="BQ70" s="840"/>
      <c r="BR70" s="832"/>
      <c r="BS70" s="832"/>
      <c r="BT70" s="832"/>
      <c r="BU70" s="832"/>
      <c r="BV70" s="832"/>
      <c r="BW70" s="958"/>
      <c r="BX70" s="833"/>
      <c r="BY70" s="826"/>
      <c r="BZ70" s="825"/>
      <c r="CA70" s="826"/>
      <c r="CB70" s="826"/>
      <c r="CC70" s="826"/>
      <c r="CD70" s="839"/>
      <c r="CE70" s="826"/>
      <c r="CF70" s="826"/>
      <c r="CG70" s="826"/>
      <c r="CH70" s="826"/>
      <c r="CI70" s="826"/>
      <c r="CJ70" s="826"/>
      <c r="CK70" s="833"/>
      <c r="CL70" s="837"/>
      <c r="CM70" s="826"/>
      <c r="CN70" s="825"/>
      <c r="CO70" s="826"/>
      <c r="CP70" s="888"/>
      <c r="CQ70" s="888"/>
      <c r="CR70" s="888"/>
      <c r="CS70" s="888"/>
      <c r="CT70" s="888"/>
      <c r="CU70" s="888"/>
      <c r="CV70" s="888"/>
      <c r="CW70" s="888"/>
      <c r="CX70" s="833"/>
      <c r="CY70" s="882"/>
      <c r="CZ70" s="860"/>
      <c r="DA70" s="956"/>
      <c r="DB70" s="860"/>
      <c r="DC70" s="824">
        <f>1806.75*1.21</f>
        <v>2186.1675</v>
      </c>
      <c r="DD70" s="860"/>
      <c r="DE70" s="860"/>
      <c r="DF70" s="860"/>
      <c r="DG70" s="860"/>
      <c r="DH70" s="888">
        <f>-1806.75*1.21</f>
        <v>-2186.1675</v>
      </c>
      <c r="DK70" s="833">
        <f t="shared" si="17"/>
        <v>0</v>
      </c>
      <c r="DX70" s="950">
        <f t="shared" si="18"/>
        <v>0</v>
      </c>
    </row>
    <row r="71" spans="2:128" ht="15">
      <c r="B71" s="480" t="s">
        <v>659</v>
      </c>
      <c r="C71" s="538"/>
      <c r="D71" s="538"/>
      <c r="E71" s="538"/>
      <c r="F71" s="538"/>
      <c r="G71" s="538"/>
      <c r="H71" s="538"/>
      <c r="I71" s="538"/>
      <c r="J71" s="538"/>
      <c r="K71" s="538"/>
      <c r="L71" s="538"/>
      <c r="M71" s="538"/>
      <c r="N71" s="538"/>
      <c r="O71" s="514"/>
      <c r="P71" s="623"/>
      <c r="Q71" s="623"/>
      <c r="R71" s="623"/>
      <c r="S71" s="623"/>
      <c r="T71" s="623"/>
      <c r="U71" s="623"/>
      <c r="V71" s="534"/>
      <c r="W71" s="544"/>
      <c r="X71" s="623"/>
      <c r="Y71" s="623"/>
      <c r="Z71" s="525"/>
      <c r="AA71" s="534"/>
      <c r="AB71" s="605">
        <v>0</v>
      </c>
      <c r="AC71" s="613"/>
      <c r="AD71" s="534"/>
      <c r="AE71" s="630"/>
      <c r="AF71" s="534"/>
      <c r="AG71" s="630"/>
      <c r="AH71" s="534"/>
      <c r="AI71" s="544"/>
      <c r="AJ71" s="626"/>
      <c r="AK71" s="607">
        <f>SUM(AC71:AJ71)</f>
        <v>0</v>
      </c>
      <c r="AL71" s="628"/>
      <c r="AM71" s="634"/>
      <c r="AN71" s="628"/>
      <c r="AO71" s="628"/>
      <c r="AP71" s="525"/>
      <c r="AQ71" s="525"/>
      <c r="AR71" s="525"/>
      <c r="AS71" s="533"/>
      <c r="AT71" s="525"/>
      <c r="AU71" s="533"/>
      <c r="AV71" s="525"/>
      <c r="AW71" s="544"/>
      <c r="AX71" s="528">
        <f>SUM(AL71:AW71)</f>
        <v>0</v>
      </c>
      <c r="AY71" s="613"/>
      <c r="AZ71" s="525"/>
      <c r="BA71" s="525"/>
      <c r="BB71" s="525"/>
      <c r="BC71" s="525"/>
      <c r="BD71" s="544"/>
      <c r="BE71" s="525"/>
      <c r="BF71" s="525"/>
      <c r="BG71" s="525"/>
      <c r="BH71" s="563"/>
      <c r="BI71" s="525"/>
      <c r="BJ71" s="608"/>
      <c r="BK71" s="528">
        <f t="shared" si="25"/>
        <v>0</v>
      </c>
      <c r="BL71" s="614"/>
      <c r="BM71" s="533"/>
      <c r="BN71" s="535"/>
      <c r="BO71" s="533"/>
      <c r="BP71" s="525"/>
      <c r="BQ71" s="615"/>
      <c r="BR71" s="533"/>
      <c r="BS71" s="533"/>
      <c r="BT71" s="533"/>
      <c r="BU71" s="533"/>
      <c r="BV71" s="533"/>
      <c r="BW71" s="618"/>
      <c r="BX71" s="528">
        <f t="shared" si="15"/>
        <v>0</v>
      </c>
      <c r="BY71" s="525"/>
      <c r="BZ71" s="525"/>
      <c r="CA71" s="525"/>
      <c r="CB71" s="525"/>
      <c r="CC71" s="525"/>
      <c r="CD71" s="544"/>
      <c r="CE71" s="525"/>
      <c r="CF71" s="525"/>
      <c r="CG71" s="525"/>
      <c r="CH71" s="525"/>
      <c r="CI71" s="525"/>
      <c r="CJ71" s="525"/>
      <c r="CK71" s="528">
        <f t="shared" si="12"/>
        <v>0</v>
      </c>
      <c r="CL71" s="526"/>
      <c r="CM71" s="525"/>
      <c r="CN71" s="525"/>
      <c r="CO71" s="525"/>
      <c r="CP71" s="610"/>
      <c r="CQ71" s="610"/>
      <c r="CR71" s="527"/>
      <c r="CS71" s="527"/>
      <c r="CT71" s="527"/>
      <c r="CU71" s="527"/>
      <c r="CV71" s="527"/>
      <c r="CW71" s="527"/>
      <c r="CX71" s="528">
        <f t="shared" si="16"/>
        <v>0</v>
      </c>
      <c r="CY71" s="881"/>
      <c r="CZ71" s="541"/>
      <c r="DA71" s="541"/>
      <c r="DB71" s="541"/>
      <c r="DC71" s="544">
        <f>30389*0.9264</f>
        <v>28152.369600000002</v>
      </c>
      <c r="DD71" s="848"/>
      <c r="DE71" s="541"/>
      <c r="DF71" s="541"/>
      <c r="DG71" s="541"/>
      <c r="DK71" s="528">
        <f t="shared" si="17"/>
        <v>28152.369600000002</v>
      </c>
      <c r="DX71" s="519">
        <f t="shared" si="18"/>
        <v>0</v>
      </c>
    </row>
    <row r="72" spans="2:128" ht="15">
      <c r="B72" s="480" t="s">
        <v>653</v>
      </c>
      <c r="C72" s="538"/>
      <c r="D72" s="538"/>
      <c r="E72" s="538"/>
      <c r="F72" s="538"/>
      <c r="G72" s="538"/>
      <c r="H72" s="538"/>
      <c r="I72" s="538"/>
      <c r="J72" s="538"/>
      <c r="K72" s="538"/>
      <c r="L72" s="538"/>
      <c r="M72" s="538"/>
      <c r="N72" s="538"/>
      <c r="O72" s="580"/>
      <c r="P72" s="623"/>
      <c r="Q72" s="623"/>
      <c r="R72" s="623"/>
      <c r="S72" s="623"/>
      <c r="T72" s="623"/>
      <c r="U72" s="623"/>
      <c r="V72" s="534"/>
      <c r="W72" s="544"/>
      <c r="X72" s="623"/>
      <c r="Y72" s="623"/>
      <c r="Z72" s="525"/>
      <c r="AA72" s="534"/>
      <c r="AB72" s="645"/>
      <c r="AC72" s="534"/>
      <c r="AD72" s="534"/>
      <c r="AE72" s="630"/>
      <c r="AF72" s="534"/>
      <c r="AG72" s="630"/>
      <c r="AH72" s="534"/>
      <c r="AI72" s="544"/>
      <c r="AJ72" s="626"/>
      <c r="AK72" s="645"/>
      <c r="AL72" s="628"/>
      <c r="AM72" s="634"/>
      <c r="AN72" s="628"/>
      <c r="AO72" s="628"/>
      <c r="AP72" s="525"/>
      <c r="AQ72" s="525"/>
      <c r="AR72" s="525"/>
      <c r="AS72" s="533"/>
      <c r="AT72" s="525"/>
      <c r="AU72" s="533"/>
      <c r="AV72" s="525"/>
      <c r="AW72" s="544"/>
      <c r="AX72" s="527"/>
      <c r="AY72" s="534"/>
      <c r="AZ72" s="525"/>
      <c r="BA72" s="525"/>
      <c r="BB72" s="525"/>
      <c r="BC72" s="525"/>
      <c r="BD72" s="544"/>
      <c r="BE72" s="525"/>
      <c r="BF72" s="525"/>
      <c r="BG72" s="525"/>
      <c r="BH72" s="563"/>
      <c r="BI72" s="525"/>
      <c r="BJ72" s="525"/>
      <c r="BK72" s="527"/>
      <c r="BL72" s="533"/>
      <c r="BM72" s="533"/>
      <c r="BN72" s="535"/>
      <c r="BO72" s="533"/>
      <c r="BP72" s="525"/>
      <c r="BQ72" s="615"/>
      <c r="BR72" s="533"/>
      <c r="BS72" s="533"/>
      <c r="BT72" s="533"/>
      <c r="BU72" s="533"/>
      <c r="BV72" s="533"/>
      <c r="BW72" s="533"/>
      <c r="BX72" s="527"/>
      <c r="BY72" s="525"/>
      <c r="BZ72" s="525"/>
      <c r="CA72" s="525"/>
      <c r="CB72" s="525"/>
      <c r="CC72" s="525"/>
      <c r="CD72" s="544"/>
      <c r="CE72" s="525"/>
      <c r="CF72" s="525"/>
      <c r="CG72" s="525"/>
      <c r="CH72" s="525"/>
      <c r="CI72" s="525"/>
      <c r="CJ72" s="525"/>
      <c r="CK72" s="527"/>
      <c r="CL72" s="526"/>
      <c r="CM72" s="525"/>
      <c r="CN72" s="525"/>
      <c r="CO72" s="525"/>
      <c r="CP72" s="610"/>
      <c r="CQ72" s="610"/>
      <c r="CR72" s="527"/>
      <c r="CS72" s="527"/>
      <c r="CT72" s="527"/>
      <c r="CU72" s="527"/>
      <c r="CV72" s="527"/>
      <c r="CW72" s="527"/>
      <c r="CX72" s="527"/>
      <c r="CY72" s="881"/>
      <c r="CZ72" s="541"/>
      <c r="DA72" s="541"/>
      <c r="DB72" s="541"/>
      <c r="DC72" s="544">
        <f>30744*0.9264</f>
        <v>28481.241600000001</v>
      </c>
      <c r="DD72" s="848"/>
      <c r="DE72" s="541"/>
      <c r="DF72" s="541"/>
      <c r="DG72" s="541"/>
      <c r="DK72" s="528">
        <f t="shared" si="17"/>
        <v>28481.241600000001</v>
      </c>
      <c r="DX72" s="519">
        <f t="shared" si="18"/>
        <v>0</v>
      </c>
    </row>
    <row r="73" spans="2:128" ht="15">
      <c r="B73" s="480" t="s">
        <v>654</v>
      </c>
      <c r="C73" s="538"/>
      <c r="D73" s="538"/>
      <c r="E73" s="538"/>
      <c r="F73" s="538"/>
      <c r="G73" s="538"/>
      <c r="H73" s="538"/>
      <c r="I73" s="538"/>
      <c r="J73" s="538"/>
      <c r="K73" s="538"/>
      <c r="L73" s="538"/>
      <c r="M73" s="538"/>
      <c r="N73" s="538"/>
      <c r="O73" s="580"/>
      <c r="P73" s="623"/>
      <c r="Q73" s="623"/>
      <c r="R73" s="623"/>
      <c r="S73" s="623"/>
      <c r="T73" s="623"/>
      <c r="U73" s="623"/>
      <c r="V73" s="534"/>
      <c r="W73" s="544"/>
      <c r="X73" s="623"/>
      <c r="Y73" s="623"/>
      <c r="Z73" s="525"/>
      <c r="AA73" s="534"/>
      <c r="AB73" s="645"/>
      <c r="AC73" s="534"/>
      <c r="AD73" s="534"/>
      <c r="AE73" s="630"/>
      <c r="AF73" s="534"/>
      <c r="AG73" s="630"/>
      <c r="AH73" s="534"/>
      <c r="AI73" s="544"/>
      <c r="AJ73" s="626"/>
      <c r="AK73" s="645"/>
      <c r="AL73" s="628"/>
      <c r="AM73" s="634"/>
      <c r="AN73" s="628"/>
      <c r="AO73" s="628"/>
      <c r="AP73" s="525"/>
      <c r="AQ73" s="525"/>
      <c r="AR73" s="525"/>
      <c r="AS73" s="533"/>
      <c r="AT73" s="525"/>
      <c r="AU73" s="533"/>
      <c r="AV73" s="525"/>
      <c r="AW73" s="544"/>
      <c r="AX73" s="527"/>
      <c r="AY73" s="534"/>
      <c r="AZ73" s="525"/>
      <c r="BA73" s="525"/>
      <c r="BB73" s="525"/>
      <c r="BC73" s="525"/>
      <c r="BD73" s="544"/>
      <c r="BE73" s="525"/>
      <c r="BF73" s="525"/>
      <c r="BG73" s="525"/>
      <c r="BH73" s="563"/>
      <c r="BI73" s="525"/>
      <c r="BJ73" s="525"/>
      <c r="BK73" s="527"/>
      <c r="BL73" s="533"/>
      <c r="BM73" s="533"/>
      <c r="BN73" s="535"/>
      <c r="BO73" s="533"/>
      <c r="BP73" s="525"/>
      <c r="BQ73" s="615"/>
      <c r="BR73" s="533"/>
      <c r="BS73" s="533"/>
      <c r="BT73" s="533"/>
      <c r="BU73" s="533"/>
      <c r="BV73" s="533"/>
      <c r="BW73" s="533"/>
      <c r="BX73" s="527"/>
      <c r="BY73" s="525"/>
      <c r="BZ73" s="525"/>
      <c r="CA73" s="525"/>
      <c r="CB73" s="525"/>
      <c r="CC73" s="525"/>
      <c r="CD73" s="544"/>
      <c r="CE73" s="525"/>
      <c r="CF73" s="525"/>
      <c r="CG73" s="525"/>
      <c r="CH73" s="525"/>
      <c r="CI73" s="525"/>
      <c r="CJ73" s="525"/>
      <c r="CK73" s="527"/>
      <c r="CL73" s="526"/>
      <c r="CM73" s="525"/>
      <c r="CN73" s="525"/>
      <c r="CO73" s="525"/>
      <c r="CP73" s="610"/>
      <c r="CQ73" s="610"/>
      <c r="CR73" s="527"/>
      <c r="CS73" s="527"/>
      <c r="CT73" s="527"/>
      <c r="CU73" s="527"/>
      <c r="CV73" s="527"/>
      <c r="CW73" s="527"/>
      <c r="CX73" s="527"/>
      <c r="CY73" s="881"/>
      <c r="CZ73" s="541"/>
      <c r="DA73" s="541"/>
      <c r="DB73" s="541"/>
      <c r="DC73" s="541"/>
      <c r="DD73" s="848"/>
      <c r="DE73" s="541"/>
      <c r="DF73" s="541"/>
      <c r="DG73" s="545">
        <f>30643*0.9264</f>
        <v>28387.675200000001</v>
      </c>
      <c r="DK73" s="528">
        <f t="shared" si="17"/>
        <v>28387.675200000001</v>
      </c>
      <c r="DX73" s="519">
        <f t="shared" si="18"/>
        <v>0</v>
      </c>
    </row>
    <row r="74" spans="2:128" ht="15">
      <c r="B74" s="480" t="s">
        <v>655</v>
      </c>
      <c r="C74" s="538"/>
      <c r="D74" s="538"/>
      <c r="E74" s="538"/>
      <c r="F74" s="538"/>
      <c r="G74" s="538"/>
      <c r="H74" s="538"/>
      <c r="I74" s="538"/>
      <c r="J74" s="538"/>
      <c r="K74" s="538"/>
      <c r="L74" s="538"/>
      <c r="M74" s="538"/>
      <c r="N74" s="538"/>
      <c r="O74" s="580"/>
      <c r="P74" s="623"/>
      <c r="Q74" s="623"/>
      <c r="R74" s="623"/>
      <c r="S74" s="623"/>
      <c r="T74" s="623"/>
      <c r="U74" s="623"/>
      <c r="V74" s="534"/>
      <c r="W74" s="544"/>
      <c r="X74" s="623"/>
      <c r="Y74" s="623"/>
      <c r="Z74" s="525"/>
      <c r="AA74" s="534"/>
      <c r="AB74" s="645"/>
      <c r="AC74" s="534"/>
      <c r="AD74" s="534"/>
      <c r="AE74" s="630"/>
      <c r="AF74" s="534"/>
      <c r="AG74" s="630"/>
      <c r="AH74" s="534"/>
      <c r="AI74" s="544"/>
      <c r="AJ74" s="626"/>
      <c r="AK74" s="645"/>
      <c r="AL74" s="628"/>
      <c r="AM74" s="634"/>
      <c r="AN74" s="628"/>
      <c r="AO74" s="628"/>
      <c r="AP74" s="525"/>
      <c r="AQ74" s="525"/>
      <c r="AR74" s="525"/>
      <c r="AS74" s="533"/>
      <c r="AT74" s="525"/>
      <c r="AU74" s="533"/>
      <c r="AV74" s="525"/>
      <c r="AW74" s="544"/>
      <c r="AX74" s="527"/>
      <c r="AY74" s="534"/>
      <c r="AZ74" s="525"/>
      <c r="BA74" s="525"/>
      <c r="BB74" s="525"/>
      <c r="BC74" s="525"/>
      <c r="BD74" s="544"/>
      <c r="BE74" s="525"/>
      <c r="BF74" s="525"/>
      <c r="BG74" s="525"/>
      <c r="BH74" s="563"/>
      <c r="BI74" s="525"/>
      <c r="BJ74" s="525"/>
      <c r="BK74" s="527"/>
      <c r="BL74" s="533"/>
      <c r="BM74" s="533"/>
      <c r="BN74" s="535"/>
      <c r="BO74" s="533"/>
      <c r="BP74" s="525"/>
      <c r="BQ74" s="615"/>
      <c r="BR74" s="533"/>
      <c r="BS74" s="533"/>
      <c r="BT74" s="533"/>
      <c r="BU74" s="533"/>
      <c r="BV74" s="533"/>
      <c r="BW74" s="533"/>
      <c r="BX74" s="527"/>
      <c r="BY74" s="525"/>
      <c r="BZ74" s="525"/>
      <c r="CA74" s="525"/>
      <c r="CB74" s="525"/>
      <c r="CC74" s="525"/>
      <c r="CD74" s="544"/>
      <c r="CE74" s="525"/>
      <c r="CF74" s="525"/>
      <c r="CG74" s="525"/>
      <c r="CH74" s="525"/>
      <c r="CI74" s="525"/>
      <c r="CJ74" s="525"/>
      <c r="CK74" s="527"/>
      <c r="CL74" s="526"/>
      <c r="CM74" s="525"/>
      <c r="CN74" s="525"/>
      <c r="CO74" s="525"/>
      <c r="CP74" s="610"/>
      <c r="CQ74" s="610"/>
      <c r="CR74" s="527"/>
      <c r="CS74" s="527"/>
      <c r="CT74" s="527"/>
      <c r="CU74" s="527"/>
      <c r="CV74" s="527"/>
      <c r="CW74" s="527"/>
      <c r="CX74" s="527"/>
      <c r="CY74" s="881"/>
      <c r="CZ74" s="541"/>
      <c r="DA74" s="541"/>
      <c r="DB74" s="541"/>
      <c r="DC74" s="541"/>
      <c r="DD74" s="848"/>
      <c r="DE74" s="541"/>
      <c r="DF74" s="541"/>
      <c r="DG74" s="545">
        <f>(30313+31149)*0.9264</f>
        <v>56938.396800000002</v>
      </c>
      <c r="DK74" s="528">
        <f t="shared" si="17"/>
        <v>56938.396800000002</v>
      </c>
      <c r="DX74" s="519">
        <f t="shared" si="18"/>
        <v>0</v>
      </c>
    </row>
    <row r="75" spans="2:128" ht="15">
      <c r="B75" s="480" t="s">
        <v>656</v>
      </c>
      <c r="C75" s="538"/>
      <c r="D75" s="538"/>
      <c r="E75" s="538"/>
      <c r="F75" s="538"/>
      <c r="G75" s="538"/>
      <c r="H75" s="538"/>
      <c r="I75" s="538"/>
      <c r="J75" s="538"/>
      <c r="K75" s="538"/>
      <c r="L75" s="538"/>
      <c r="M75" s="538"/>
      <c r="N75" s="538"/>
      <c r="O75" s="580"/>
      <c r="P75" s="623"/>
      <c r="Q75" s="623"/>
      <c r="R75" s="623"/>
      <c r="S75" s="623"/>
      <c r="T75" s="623"/>
      <c r="U75" s="623"/>
      <c r="V75" s="534"/>
      <c r="W75" s="544"/>
      <c r="X75" s="623"/>
      <c r="Y75" s="623"/>
      <c r="Z75" s="525"/>
      <c r="AA75" s="534"/>
      <c r="AB75" s="645"/>
      <c r="AC75" s="534"/>
      <c r="AD75" s="534"/>
      <c r="AE75" s="630"/>
      <c r="AF75" s="534"/>
      <c r="AG75" s="630"/>
      <c r="AH75" s="534"/>
      <c r="AI75" s="544"/>
      <c r="AJ75" s="626"/>
      <c r="AK75" s="645"/>
      <c r="AL75" s="628"/>
      <c r="AM75" s="634"/>
      <c r="AN75" s="628"/>
      <c r="AO75" s="628"/>
      <c r="AP75" s="525"/>
      <c r="AQ75" s="525"/>
      <c r="AR75" s="525"/>
      <c r="AS75" s="533"/>
      <c r="AT75" s="525"/>
      <c r="AU75" s="533"/>
      <c r="AV75" s="525"/>
      <c r="AW75" s="544"/>
      <c r="AX75" s="527"/>
      <c r="AY75" s="534"/>
      <c r="AZ75" s="525"/>
      <c r="BA75" s="525"/>
      <c r="BB75" s="525"/>
      <c r="BC75" s="525"/>
      <c r="BD75" s="544"/>
      <c r="BE75" s="525"/>
      <c r="BF75" s="525"/>
      <c r="BG75" s="525"/>
      <c r="BH75" s="563"/>
      <c r="BI75" s="525"/>
      <c r="BJ75" s="525"/>
      <c r="BK75" s="527"/>
      <c r="BL75" s="533"/>
      <c r="BM75" s="533"/>
      <c r="BN75" s="535"/>
      <c r="BO75" s="533"/>
      <c r="BP75" s="525"/>
      <c r="BQ75" s="615"/>
      <c r="BR75" s="533"/>
      <c r="BS75" s="533"/>
      <c r="BT75" s="533"/>
      <c r="BU75" s="533"/>
      <c r="BV75" s="533"/>
      <c r="BW75" s="533"/>
      <c r="BX75" s="527"/>
      <c r="BY75" s="525"/>
      <c r="BZ75" s="525"/>
      <c r="CA75" s="525"/>
      <c r="CB75" s="525"/>
      <c r="CC75" s="525"/>
      <c r="CD75" s="544"/>
      <c r="CE75" s="525"/>
      <c r="CF75" s="525"/>
      <c r="CG75" s="525"/>
      <c r="CH75" s="525"/>
      <c r="CI75" s="525"/>
      <c r="CJ75" s="525"/>
      <c r="CK75" s="527"/>
      <c r="CL75" s="526"/>
      <c r="CM75" s="525"/>
      <c r="CN75" s="525"/>
      <c r="CO75" s="525"/>
      <c r="CP75" s="610"/>
      <c r="CQ75" s="610"/>
      <c r="CR75" s="527"/>
      <c r="CS75" s="527"/>
      <c r="CT75" s="527"/>
      <c r="CU75" s="527"/>
      <c r="CV75" s="527"/>
      <c r="CW75" s="527"/>
      <c r="CX75" s="527"/>
      <c r="CY75" s="881"/>
      <c r="CZ75" s="541"/>
      <c r="DA75" s="541"/>
      <c r="DB75" s="541"/>
      <c r="DC75" s="544">
        <f>30465*0.9264</f>
        <v>28222.776000000002</v>
      </c>
      <c r="DD75" s="848"/>
      <c r="DE75" s="541"/>
      <c r="DF75" s="541"/>
      <c r="DG75" s="541"/>
      <c r="DK75" s="528">
        <f t="shared" si="17"/>
        <v>28222.776000000002</v>
      </c>
      <c r="DX75" s="519">
        <f t="shared" si="18"/>
        <v>0</v>
      </c>
    </row>
    <row r="76" spans="2:128" ht="15">
      <c r="B76" s="480" t="s">
        <v>657</v>
      </c>
      <c r="C76" s="538"/>
      <c r="D76" s="538"/>
      <c r="E76" s="538"/>
      <c r="F76" s="538"/>
      <c r="G76" s="538"/>
      <c r="H76" s="538"/>
      <c r="I76" s="538"/>
      <c r="J76" s="538"/>
      <c r="K76" s="538"/>
      <c r="L76" s="538"/>
      <c r="M76" s="538"/>
      <c r="N76" s="538"/>
      <c r="O76" s="580"/>
      <c r="P76" s="623"/>
      <c r="Q76" s="623"/>
      <c r="R76" s="623"/>
      <c r="S76" s="623"/>
      <c r="T76" s="623"/>
      <c r="U76" s="623"/>
      <c r="V76" s="534"/>
      <c r="W76" s="544"/>
      <c r="X76" s="623"/>
      <c r="Y76" s="623"/>
      <c r="Z76" s="525"/>
      <c r="AA76" s="534"/>
      <c r="AB76" s="645"/>
      <c r="AC76" s="534"/>
      <c r="AD76" s="534"/>
      <c r="AE76" s="630"/>
      <c r="AF76" s="534"/>
      <c r="AG76" s="630"/>
      <c r="AH76" s="534"/>
      <c r="AI76" s="544"/>
      <c r="AJ76" s="626"/>
      <c r="AK76" s="645"/>
      <c r="AL76" s="628"/>
      <c r="AM76" s="634"/>
      <c r="AN76" s="628"/>
      <c r="AO76" s="628"/>
      <c r="AP76" s="525"/>
      <c r="AQ76" s="525"/>
      <c r="AR76" s="525"/>
      <c r="AS76" s="533"/>
      <c r="AT76" s="525"/>
      <c r="AU76" s="533"/>
      <c r="AV76" s="525"/>
      <c r="AW76" s="544"/>
      <c r="AX76" s="527"/>
      <c r="AY76" s="534"/>
      <c r="AZ76" s="525"/>
      <c r="BA76" s="525"/>
      <c r="BB76" s="525"/>
      <c r="BC76" s="525"/>
      <c r="BD76" s="544"/>
      <c r="BE76" s="525"/>
      <c r="BF76" s="525"/>
      <c r="BG76" s="525"/>
      <c r="BH76" s="563"/>
      <c r="BI76" s="525"/>
      <c r="BJ76" s="525"/>
      <c r="BK76" s="527"/>
      <c r="BL76" s="533"/>
      <c r="BM76" s="533"/>
      <c r="BN76" s="535"/>
      <c r="BO76" s="533"/>
      <c r="BP76" s="525"/>
      <c r="BQ76" s="615"/>
      <c r="BR76" s="533"/>
      <c r="BS76" s="533"/>
      <c r="BT76" s="533"/>
      <c r="BU76" s="533"/>
      <c r="BV76" s="533"/>
      <c r="BW76" s="533"/>
      <c r="BX76" s="527"/>
      <c r="BY76" s="525"/>
      <c r="BZ76" s="525"/>
      <c r="CA76" s="525"/>
      <c r="CB76" s="525"/>
      <c r="CC76" s="525"/>
      <c r="CD76" s="544"/>
      <c r="CE76" s="525"/>
      <c r="CF76" s="525"/>
      <c r="CG76" s="525"/>
      <c r="CH76" s="525"/>
      <c r="CI76" s="525"/>
      <c r="CJ76" s="525"/>
      <c r="CK76" s="527"/>
      <c r="CL76" s="526"/>
      <c r="CM76" s="525"/>
      <c r="CN76" s="525"/>
      <c r="CO76" s="525"/>
      <c r="CP76" s="610"/>
      <c r="CQ76" s="610"/>
      <c r="CR76" s="527"/>
      <c r="CS76" s="527"/>
      <c r="CT76" s="527"/>
      <c r="CU76" s="527"/>
      <c r="CV76" s="527"/>
      <c r="CW76" s="527"/>
      <c r="CX76" s="527"/>
      <c r="CY76" s="881"/>
      <c r="CZ76" s="541"/>
      <c r="DA76" s="541"/>
      <c r="DB76" s="541"/>
      <c r="DC76" s="544">
        <f>31073*0.9264</f>
        <v>28786.0272</v>
      </c>
      <c r="DD76" s="848"/>
      <c r="DE76" s="541"/>
      <c r="DF76" s="541"/>
      <c r="DG76" s="541"/>
      <c r="DK76" s="528">
        <f t="shared" si="17"/>
        <v>28786.0272</v>
      </c>
      <c r="DX76" s="519">
        <f t="shared" si="18"/>
        <v>0</v>
      </c>
    </row>
    <row r="77" spans="2:128" s="821" customFormat="1" ht="15.75" thickBot="1">
      <c r="B77" s="821" t="s">
        <v>658</v>
      </c>
      <c r="C77" s="822"/>
      <c r="D77" s="822"/>
      <c r="E77" s="822"/>
      <c r="F77" s="822"/>
      <c r="G77" s="822"/>
      <c r="H77" s="822"/>
      <c r="I77" s="822"/>
      <c r="J77" s="822"/>
      <c r="K77" s="822"/>
      <c r="L77" s="822"/>
      <c r="M77" s="822"/>
      <c r="N77" s="822"/>
      <c r="O77" s="948"/>
      <c r="P77" s="906"/>
      <c r="Q77" s="906"/>
      <c r="R77" s="906"/>
      <c r="S77" s="906"/>
      <c r="T77" s="906"/>
      <c r="U77" s="906"/>
      <c r="V77" s="824"/>
      <c r="W77" s="825"/>
      <c r="X77" s="906"/>
      <c r="Y77" s="906"/>
      <c r="Z77" s="826"/>
      <c r="AA77" s="824"/>
      <c r="AB77" s="949"/>
      <c r="AC77" s="824"/>
      <c r="AD77" s="824"/>
      <c r="AE77" s="908"/>
      <c r="AF77" s="824"/>
      <c r="AG77" s="908"/>
      <c r="AH77" s="824"/>
      <c r="AI77" s="825"/>
      <c r="AJ77" s="909"/>
      <c r="AK77" s="949"/>
      <c r="AL77" s="910"/>
      <c r="AM77" s="911"/>
      <c r="AN77" s="910"/>
      <c r="AO77" s="910"/>
      <c r="AP77" s="826"/>
      <c r="AQ77" s="826"/>
      <c r="AR77" s="826"/>
      <c r="AS77" s="832"/>
      <c r="AT77" s="826"/>
      <c r="AU77" s="832"/>
      <c r="AV77" s="826"/>
      <c r="AW77" s="825"/>
      <c r="AX77" s="888"/>
      <c r="AY77" s="824"/>
      <c r="AZ77" s="826"/>
      <c r="BA77" s="826"/>
      <c r="BB77" s="826"/>
      <c r="BC77" s="826"/>
      <c r="BD77" s="825"/>
      <c r="BE77" s="826"/>
      <c r="BF77" s="826"/>
      <c r="BG77" s="826"/>
      <c r="BH77" s="838"/>
      <c r="BI77" s="826"/>
      <c r="BJ77" s="826"/>
      <c r="BK77" s="888"/>
      <c r="BL77" s="832"/>
      <c r="BM77" s="832"/>
      <c r="BN77" s="835"/>
      <c r="BO77" s="832"/>
      <c r="BP77" s="826"/>
      <c r="BQ77" s="840"/>
      <c r="BR77" s="832"/>
      <c r="BS77" s="832"/>
      <c r="BT77" s="832"/>
      <c r="BU77" s="832"/>
      <c r="BV77" s="832"/>
      <c r="BW77" s="832"/>
      <c r="BX77" s="888"/>
      <c r="BY77" s="826"/>
      <c r="BZ77" s="826"/>
      <c r="CA77" s="826"/>
      <c r="CB77" s="826"/>
      <c r="CC77" s="826"/>
      <c r="CD77" s="825"/>
      <c r="CE77" s="826"/>
      <c r="CF77" s="826"/>
      <c r="CG77" s="826"/>
      <c r="CH77" s="826"/>
      <c r="CI77" s="826"/>
      <c r="CJ77" s="826"/>
      <c r="CK77" s="888"/>
      <c r="CL77" s="837"/>
      <c r="CM77" s="826"/>
      <c r="CN77" s="826"/>
      <c r="CO77" s="826"/>
      <c r="CP77" s="912"/>
      <c r="CQ77" s="912"/>
      <c r="CR77" s="888"/>
      <c r="CS77" s="888"/>
      <c r="CT77" s="888"/>
      <c r="CU77" s="888"/>
      <c r="CV77" s="888"/>
      <c r="CW77" s="888"/>
      <c r="CX77" s="888"/>
      <c r="CY77" s="882"/>
      <c r="CZ77" s="860"/>
      <c r="DA77" s="860"/>
      <c r="DB77" s="860"/>
      <c r="DC77" s="825">
        <f>30085*0.9264</f>
        <v>27870.743999999999</v>
      </c>
      <c r="DD77" s="956"/>
      <c r="DE77" s="860"/>
      <c r="DF77" s="860"/>
      <c r="DG77" s="860"/>
      <c r="DK77" s="833">
        <f t="shared" si="17"/>
        <v>27870.743999999999</v>
      </c>
      <c r="DX77" s="519">
        <f t="shared" si="18"/>
        <v>0</v>
      </c>
    </row>
    <row r="78" spans="2:128" s="913" customFormat="1" ht="15.75" thickBot="1">
      <c r="B78" s="913" t="s">
        <v>669</v>
      </c>
      <c r="C78" s="915"/>
      <c r="D78" s="915"/>
      <c r="E78" s="915"/>
      <c r="F78" s="915"/>
      <c r="G78" s="915"/>
      <c r="H78" s="915"/>
      <c r="I78" s="915"/>
      <c r="J78" s="915"/>
      <c r="K78" s="915"/>
      <c r="L78" s="915"/>
      <c r="M78" s="915"/>
      <c r="N78" s="915"/>
      <c r="O78" s="951"/>
      <c r="P78" s="943"/>
      <c r="Q78" s="943"/>
      <c r="R78" s="943"/>
      <c r="S78" s="943"/>
      <c r="T78" s="943"/>
      <c r="U78" s="943"/>
      <c r="V78" s="917"/>
      <c r="W78" s="918"/>
      <c r="X78" s="943"/>
      <c r="Y78" s="943"/>
      <c r="Z78" s="919"/>
      <c r="AA78" s="917"/>
      <c r="AB78" s="952">
        <v>0</v>
      </c>
      <c r="AC78" s="917"/>
      <c r="AD78" s="917"/>
      <c r="AE78" s="944"/>
      <c r="AF78" s="917"/>
      <c r="AG78" s="944"/>
      <c r="AH78" s="917"/>
      <c r="AI78" s="918"/>
      <c r="AJ78" s="945"/>
      <c r="AK78" s="952">
        <f t="shared" ref="AK78:AK85" si="26">SUM(AC78:AJ78)</f>
        <v>0</v>
      </c>
      <c r="AL78" s="946"/>
      <c r="AM78" s="947"/>
      <c r="AN78" s="946"/>
      <c r="AO78" s="946"/>
      <c r="AP78" s="919"/>
      <c r="AQ78" s="919"/>
      <c r="AR78" s="919"/>
      <c r="AS78" s="925"/>
      <c r="AT78" s="919"/>
      <c r="AU78" s="925"/>
      <c r="AV78" s="919"/>
      <c r="AW78" s="918"/>
      <c r="AX78" s="934">
        <f t="shared" ref="AX78:AX85" si="27">SUM(AL78:AW78)</f>
        <v>0</v>
      </c>
      <c r="AY78" s="917"/>
      <c r="AZ78" s="919"/>
      <c r="BA78" s="919"/>
      <c r="BB78" s="919"/>
      <c r="BC78" s="919"/>
      <c r="BD78" s="918"/>
      <c r="BE78" s="919"/>
      <c r="BF78" s="930"/>
      <c r="BG78" s="919"/>
      <c r="BH78" s="926"/>
      <c r="BI78" s="919"/>
      <c r="BJ78" s="919"/>
      <c r="BK78" s="934">
        <f t="shared" si="25"/>
        <v>0</v>
      </c>
      <c r="BL78" s="925"/>
      <c r="BM78" s="925"/>
      <c r="BN78" s="928"/>
      <c r="BO78" s="925"/>
      <c r="BP78" s="926"/>
      <c r="BQ78" s="933"/>
      <c r="BR78" s="919"/>
      <c r="BS78" s="918"/>
      <c r="BT78" s="919"/>
      <c r="BU78" s="925"/>
      <c r="BV78" s="925"/>
      <c r="BW78" s="925"/>
      <c r="BX78" s="934">
        <f t="shared" si="15"/>
        <v>0</v>
      </c>
      <c r="BY78" s="919"/>
      <c r="BZ78" s="919"/>
      <c r="CA78" s="919"/>
      <c r="CB78" s="919"/>
      <c r="CC78" s="926"/>
      <c r="CD78" s="919"/>
      <c r="CE78" s="919"/>
      <c r="CF78" s="919"/>
      <c r="CG78" s="918"/>
      <c r="CH78" s="919"/>
      <c r="CI78" s="919"/>
      <c r="CJ78" s="919"/>
      <c r="CK78" s="934">
        <f t="shared" si="12"/>
        <v>0</v>
      </c>
      <c r="CL78" s="933"/>
      <c r="CM78" s="919"/>
      <c r="CN78" s="919"/>
      <c r="CO78" s="919"/>
      <c r="CP78" s="934"/>
      <c r="CQ78" s="934"/>
      <c r="CR78" s="935"/>
      <c r="CS78" s="934"/>
      <c r="CT78" s="934"/>
      <c r="CU78" s="934"/>
      <c r="CV78" s="934"/>
      <c r="CW78" s="934"/>
      <c r="CX78" s="934">
        <f t="shared" si="16"/>
        <v>0</v>
      </c>
      <c r="CY78" s="942"/>
      <c r="CZ78" s="941"/>
      <c r="DA78" s="941"/>
      <c r="DB78" s="941"/>
      <c r="DC78" s="919"/>
      <c r="DD78" s="917">
        <f>30111*0.94</f>
        <v>28304.34</v>
      </c>
      <c r="DE78" s="917">
        <f>(30972+31174+30389+31174+30693)*(940/1000)-5166.36+31073*0.912</f>
        <v>168310.09600000002</v>
      </c>
      <c r="DF78" s="917">
        <f>(30592+30693)*0.912+(31225+31225)*(840+72)/1000</f>
        <v>112846.32</v>
      </c>
      <c r="DG78" s="917">
        <f>(30668)*0.912+(31225*0.912)</f>
        <v>56446.415999999997</v>
      </c>
      <c r="DH78" s="934">
        <f>(30820+30288)*0.912+(30440+31174+31402)*0.912</f>
        <v>140561.08799999999</v>
      </c>
      <c r="DI78" s="934">
        <f t="shared" ref="DI78:DP78" si="28">125*(840+72)</f>
        <v>114000</v>
      </c>
      <c r="DJ78" s="934">
        <f t="shared" si="28"/>
        <v>114000</v>
      </c>
      <c r="DK78" s="927">
        <f t="shared" si="17"/>
        <v>734468.26</v>
      </c>
      <c r="DL78" s="966">
        <f>125*(840+72)+((30769+29706)*0.912)</f>
        <v>169153.2</v>
      </c>
      <c r="DM78" s="934">
        <f t="shared" si="28"/>
        <v>114000</v>
      </c>
      <c r="DN78" s="934">
        <f t="shared" si="28"/>
        <v>114000</v>
      </c>
      <c r="DO78" s="934">
        <f t="shared" si="28"/>
        <v>114000</v>
      </c>
      <c r="DP78" s="934">
        <f t="shared" si="28"/>
        <v>114000</v>
      </c>
      <c r="DX78" s="953">
        <f t="shared" si="18"/>
        <v>625153.19999999995</v>
      </c>
    </row>
    <row r="79" spans="2:128" ht="15">
      <c r="C79" s="538"/>
      <c r="D79" s="538"/>
      <c r="E79" s="538"/>
      <c r="F79" s="538"/>
      <c r="G79" s="538"/>
      <c r="H79" s="538"/>
      <c r="I79" s="538"/>
      <c r="J79" s="538"/>
      <c r="K79" s="538"/>
      <c r="L79" s="538"/>
      <c r="M79" s="538"/>
      <c r="N79" s="538"/>
      <c r="O79" s="514"/>
      <c r="P79" s="623"/>
      <c r="Q79" s="623"/>
      <c r="R79" s="623"/>
      <c r="S79" s="623"/>
      <c r="T79" s="623"/>
      <c r="U79" s="623"/>
      <c r="V79" s="534"/>
      <c r="W79" s="544"/>
      <c r="X79" s="623"/>
      <c r="Y79" s="623"/>
      <c r="Z79" s="525"/>
      <c r="AA79" s="534"/>
      <c r="AB79" s="605">
        <v>0</v>
      </c>
      <c r="AC79" s="613"/>
      <c r="AD79" s="534"/>
      <c r="AE79" s="630"/>
      <c r="AF79" s="534"/>
      <c r="AG79" s="630"/>
      <c r="AH79" s="534"/>
      <c r="AI79" s="544"/>
      <c r="AJ79" s="626"/>
      <c r="AK79" s="607">
        <f t="shared" si="26"/>
        <v>0</v>
      </c>
      <c r="AL79" s="628"/>
      <c r="AM79" s="634"/>
      <c r="AN79" s="628"/>
      <c r="AO79" s="628"/>
      <c r="AP79" s="525"/>
      <c r="AQ79" s="525"/>
      <c r="AR79" s="525"/>
      <c r="AS79" s="533"/>
      <c r="AT79" s="525"/>
      <c r="AU79" s="533"/>
      <c r="AV79" s="525"/>
      <c r="AW79" s="544"/>
      <c r="AX79" s="528">
        <f t="shared" si="27"/>
        <v>0</v>
      </c>
      <c r="AY79" s="613"/>
      <c r="AZ79" s="525"/>
      <c r="BA79" s="525"/>
      <c r="BB79" s="525"/>
      <c r="BC79" s="525"/>
      <c r="BD79" s="544"/>
      <c r="BE79" s="525"/>
      <c r="BF79" s="525"/>
      <c r="BG79" s="544"/>
      <c r="BH79" s="563"/>
      <c r="BI79" s="525"/>
      <c r="BJ79" s="608"/>
      <c r="BK79" s="528">
        <f t="shared" si="25"/>
        <v>0</v>
      </c>
      <c r="BL79" s="614"/>
      <c r="BM79" s="533"/>
      <c r="BN79" s="535"/>
      <c r="BO79" s="533"/>
      <c r="BP79" s="563"/>
      <c r="BQ79" s="526"/>
      <c r="BR79" s="533"/>
      <c r="BS79" s="544"/>
      <c r="BT79" s="525"/>
      <c r="BU79" s="544"/>
      <c r="BV79" s="533"/>
      <c r="BW79" s="618"/>
      <c r="BX79" s="528">
        <f t="shared" si="15"/>
        <v>0</v>
      </c>
      <c r="BY79" s="525"/>
      <c r="BZ79" s="525"/>
      <c r="CA79" s="525"/>
      <c r="CB79" s="525"/>
      <c r="CC79" s="563"/>
      <c r="CD79" s="525"/>
      <c r="CE79" s="525"/>
      <c r="CF79" s="619"/>
      <c r="CG79" s="525"/>
      <c r="CH79" s="525"/>
      <c r="CI79" s="525"/>
      <c r="CJ79" s="525"/>
      <c r="CK79" s="528">
        <f t="shared" si="12"/>
        <v>0</v>
      </c>
      <c r="CL79" s="526"/>
      <c r="CM79" s="525"/>
      <c r="CN79" s="525"/>
      <c r="CO79" s="525"/>
      <c r="CP79" s="527"/>
      <c r="CQ79" s="527"/>
      <c r="CR79" s="527"/>
      <c r="CS79" s="527"/>
      <c r="CT79" s="527"/>
      <c r="CU79" s="527"/>
      <c r="CV79" s="527"/>
      <c r="CW79" s="527"/>
      <c r="CX79" s="528">
        <f t="shared" si="16"/>
        <v>0</v>
      </c>
      <c r="CY79" s="881"/>
      <c r="CZ79" s="541"/>
      <c r="DA79" s="541"/>
      <c r="DB79" s="541"/>
      <c r="DC79" s="541"/>
      <c r="DD79" s="541"/>
      <c r="DE79" s="541"/>
      <c r="DF79" s="541"/>
      <c r="DG79" s="541"/>
      <c r="DK79" s="528">
        <f t="shared" si="17"/>
        <v>0</v>
      </c>
      <c r="DX79" s="519">
        <f t="shared" si="18"/>
        <v>0</v>
      </c>
    </row>
    <row r="80" spans="2:128" ht="15">
      <c r="C80" s="538"/>
      <c r="D80" s="538"/>
      <c r="E80" s="538"/>
      <c r="F80" s="538"/>
      <c r="G80" s="538"/>
      <c r="H80" s="538"/>
      <c r="I80" s="538"/>
      <c r="J80" s="538"/>
      <c r="K80" s="538"/>
      <c r="L80" s="538"/>
      <c r="M80" s="538"/>
      <c r="N80" s="538"/>
      <c r="O80" s="514"/>
      <c r="P80" s="623"/>
      <c r="Q80" s="623"/>
      <c r="R80" s="623"/>
      <c r="S80" s="623"/>
      <c r="T80" s="623"/>
      <c r="U80" s="623"/>
      <c r="V80" s="534"/>
      <c r="W80" s="544"/>
      <c r="X80" s="623"/>
      <c r="Y80" s="623"/>
      <c r="Z80" s="525"/>
      <c r="AA80" s="534"/>
      <c r="AB80" s="605">
        <v>0</v>
      </c>
      <c r="AC80" s="613"/>
      <c r="AD80" s="534"/>
      <c r="AE80" s="630"/>
      <c r="AF80" s="534"/>
      <c r="AG80" s="630"/>
      <c r="AH80" s="534"/>
      <c r="AI80" s="544"/>
      <c r="AJ80" s="626"/>
      <c r="AK80" s="607">
        <f t="shared" si="26"/>
        <v>0</v>
      </c>
      <c r="AL80" s="628"/>
      <c r="AM80" s="634"/>
      <c r="AN80" s="628"/>
      <c r="AO80" s="628"/>
      <c r="AP80" s="525"/>
      <c r="AQ80" s="525"/>
      <c r="AR80" s="525"/>
      <c r="AS80" s="533"/>
      <c r="AT80" s="525"/>
      <c r="AU80" s="533"/>
      <c r="AV80" s="525"/>
      <c r="AW80" s="544"/>
      <c r="AX80" s="528">
        <f t="shared" si="27"/>
        <v>0</v>
      </c>
      <c r="AY80" s="613"/>
      <c r="AZ80" s="525"/>
      <c r="BA80" s="525"/>
      <c r="BB80" s="525"/>
      <c r="BC80" s="525"/>
      <c r="BD80" s="544"/>
      <c r="BE80" s="525"/>
      <c r="BF80" s="525"/>
      <c r="BG80" s="525"/>
      <c r="BH80" s="563"/>
      <c r="BI80" s="544"/>
      <c r="BJ80" s="608"/>
      <c r="BK80" s="528">
        <f t="shared" si="25"/>
        <v>0</v>
      </c>
      <c r="BL80" s="614"/>
      <c r="BM80" s="525"/>
      <c r="BN80" s="526"/>
      <c r="BO80" s="544"/>
      <c r="BP80" s="563"/>
      <c r="BQ80" s="526"/>
      <c r="BR80" s="533"/>
      <c r="BS80" s="533"/>
      <c r="BT80" s="525"/>
      <c r="BU80" s="544"/>
      <c r="BV80" s="533"/>
      <c r="BW80" s="618"/>
      <c r="BX80" s="528">
        <f t="shared" si="15"/>
        <v>0</v>
      </c>
      <c r="BY80" s="525"/>
      <c r="BZ80" s="563"/>
      <c r="CA80" s="544"/>
      <c r="CB80" s="525"/>
      <c r="CC80" s="563"/>
      <c r="CD80" s="525"/>
      <c r="CE80" s="525"/>
      <c r="CF80" s="525"/>
      <c r="CG80" s="533"/>
      <c r="CH80" s="525"/>
      <c r="CI80" s="541"/>
      <c r="CJ80" s="563"/>
      <c r="CK80" s="528">
        <f>SUM(BY80:CJ80)</f>
        <v>0</v>
      </c>
      <c r="CL80" s="615"/>
      <c r="CM80" s="541"/>
      <c r="CN80" s="619"/>
      <c r="CO80" s="525"/>
      <c r="CP80" s="527"/>
      <c r="CQ80" s="527"/>
      <c r="CR80" s="527"/>
      <c r="CS80" s="527"/>
      <c r="CT80" s="527"/>
      <c r="CU80" s="610"/>
      <c r="CV80" s="527"/>
      <c r="CW80" s="527"/>
      <c r="CX80" s="528">
        <f>SUM(CL80:CW80)</f>
        <v>0</v>
      </c>
      <c r="CY80" s="611"/>
      <c r="DA80" s="612"/>
      <c r="DH80" s="612"/>
      <c r="DK80" s="528">
        <f t="shared" si="17"/>
        <v>0</v>
      </c>
      <c r="DX80" s="519">
        <f t="shared" si="18"/>
        <v>0</v>
      </c>
    </row>
    <row r="81" spans="2:128" ht="15">
      <c r="C81" s="538"/>
      <c r="D81" s="538"/>
      <c r="E81" s="538"/>
      <c r="F81" s="538"/>
      <c r="G81" s="538"/>
      <c r="H81" s="538"/>
      <c r="I81" s="538"/>
      <c r="J81" s="538"/>
      <c r="K81" s="538"/>
      <c r="L81" s="538"/>
      <c r="M81" s="538"/>
      <c r="N81" s="538"/>
      <c r="O81" s="514"/>
      <c r="P81" s="623"/>
      <c r="Q81" s="623"/>
      <c r="R81" s="623"/>
      <c r="S81" s="623"/>
      <c r="T81" s="623"/>
      <c r="U81" s="623"/>
      <c r="V81" s="534"/>
      <c r="W81" s="544"/>
      <c r="X81" s="623"/>
      <c r="Y81" s="623"/>
      <c r="Z81" s="525"/>
      <c r="AA81" s="534"/>
      <c r="AB81" s="605">
        <v>0</v>
      </c>
      <c r="AC81" s="613"/>
      <c r="AD81" s="534"/>
      <c r="AE81" s="630"/>
      <c r="AF81" s="534"/>
      <c r="AG81" s="630"/>
      <c r="AH81" s="534"/>
      <c r="AI81" s="544"/>
      <c r="AJ81" s="626"/>
      <c r="AK81" s="607">
        <f t="shared" si="26"/>
        <v>0</v>
      </c>
      <c r="AL81" s="628"/>
      <c r="AM81" s="634"/>
      <c r="AN81" s="628"/>
      <c r="AO81" s="628"/>
      <c r="AP81" s="525"/>
      <c r="AQ81" s="525"/>
      <c r="AR81" s="525"/>
      <c r="AS81" s="533"/>
      <c r="AT81" s="525"/>
      <c r="AU81" s="533"/>
      <c r="AV81" s="525"/>
      <c r="AW81" s="544"/>
      <c r="AX81" s="528">
        <f t="shared" si="27"/>
        <v>0</v>
      </c>
      <c r="AY81" s="613"/>
      <c r="AZ81" s="525"/>
      <c r="BA81" s="525"/>
      <c r="BB81" s="525"/>
      <c r="BC81" s="525"/>
      <c r="BD81" s="544"/>
      <c r="BE81" s="525"/>
      <c r="BF81" s="525"/>
      <c r="BG81" s="525"/>
      <c r="BH81" s="563"/>
      <c r="BI81" s="544"/>
      <c r="BJ81" s="608"/>
      <c r="BK81" s="528">
        <f t="shared" si="25"/>
        <v>0</v>
      </c>
      <c r="BL81" s="614"/>
      <c r="BM81" s="563"/>
      <c r="BN81" s="535"/>
      <c r="BO81" s="533"/>
      <c r="BP81" s="563"/>
      <c r="BQ81" s="526"/>
      <c r="BR81" s="533"/>
      <c r="BS81" s="533"/>
      <c r="BT81" s="533"/>
      <c r="BU81" s="533"/>
      <c r="BV81" s="525"/>
      <c r="BW81" s="544"/>
      <c r="BX81" s="528">
        <f>SUM(BL81:BW81)</f>
        <v>0</v>
      </c>
      <c r="BY81" s="525"/>
      <c r="BZ81" s="525"/>
      <c r="CA81" s="525"/>
      <c r="CB81" s="525"/>
      <c r="CC81" s="563"/>
      <c r="CD81" s="525"/>
      <c r="CE81" s="525"/>
      <c r="CF81" s="525"/>
      <c r="CG81" s="525"/>
      <c r="CH81" s="544"/>
      <c r="CI81" s="525"/>
      <c r="CJ81" s="619"/>
      <c r="CK81" s="528">
        <f t="shared" si="12"/>
        <v>0</v>
      </c>
      <c r="CL81" s="526"/>
      <c r="CM81" s="525"/>
      <c r="CN81" s="525"/>
      <c r="CO81" s="525"/>
      <c r="CP81" s="527"/>
      <c r="CQ81" s="527"/>
      <c r="CR81" s="527"/>
      <c r="CS81" s="527"/>
      <c r="CT81" s="527"/>
      <c r="CU81" s="527"/>
      <c r="CV81" s="527"/>
      <c r="CW81" s="610"/>
      <c r="CX81" s="528">
        <f t="shared" si="16"/>
        <v>0</v>
      </c>
      <c r="CY81" s="611"/>
      <c r="DJ81" s="612"/>
      <c r="DK81" s="528">
        <f t="shared" si="17"/>
        <v>0</v>
      </c>
      <c r="DX81" s="519">
        <f t="shared" si="18"/>
        <v>0</v>
      </c>
    </row>
    <row r="82" spans="2:128" ht="15">
      <c r="C82" s="538"/>
      <c r="D82" s="538"/>
      <c r="E82" s="538"/>
      <c r="F82" s="538"/>
      <c r="G82" s="538"/>
      <c r="H82" s="538"/>
      <c r="I82" s="538"/>
      <c r="J82" s="538"/>
      <c r="K82" s="538"/>
      <c r="L82" s="538"/>
      <c r="M82" s="538"/>
      <c r="N82" s="538"/>
      <c r="O82" s="514"/>
      <c r="P82" s="623"/>
      <c r="Q82" s="623"/>
      <c r="R82" s="623"/>
      <c r="S82" s="623"/>
      <c r="T82" s="623"/>
      <c r="U82" s="623"/>
      <c r="V82" s="534"/>
      <c r="W82" s="544"/>
      <c r="X82" s="623"/>
      <c r="Y82" s="623"/>
      <c r="Z82" s="525"/>
      <c r="AA82" s="534"/>
      <c r="AB82" s="605">
        <v>0</v>
      </c>
      <c r="AC82" s="613"/>
      <c r="AD82" s="534"/>
      <c r="AE82" s="630"/>
      <c r="AF82" s="534"/>
      <c r="AG82" s="630"/>
      <c r="AH82" s="534"/>
      <c r="AI82" s="544"/>
      <c r="AJ82" s="626"/>
      <c r="AK82" s="607">
        <f t="shared" si="26"/>
        <v>0</v>
      </c>
      <c r="AL82" s="628"/>
      <c r="AM82" s="634"/>
      <c r="AN82" s="628"/>
      <c r="AO82" s="628"/>
      <c r="AP82" s="525"/>
      <c r="AQ82" s="525"/>
      <c r="AR82" s="525"/>
      <c r="AS82" s="533"/>
      <c r="AT82" s="525"/>
      <c r="AU82" s="533"/>
      <c r="AV82" s="525"/>
      <c r="AW82" s="544"/>
      <c r="AX82" s="528">
        <f t="shared" si="27"/>
        <v>0</v>
      </c>
      <c r="AY82" s="613"/>
      <c r="AZ82" s="525"/>
      <c r="BA82" s="525"/>
      <c r="BB82" s="525"/>
      <c r="BC82" s="525"/>
      <c r="BD82" s="544"/>
      <c r="BE82" s="525"/>
      <c r="BF82" s="525"/>
      <c r="BG82" s="525"/>
      <c r="BH82" s="563"/>
      <c r="BI82" s="544"/>
      <c r="BJ82" s="608"/>
      <c r="BK82" s="528">
        <f t="shared" si="25"/>
        <v>0</v>
      </c>
      <c r="BL82" s="614"/>
      <c r="BM82" s="544"/>
      <c r="BN82" s="535"/>
      <c r="BO82" s="533"/>
      <c r="BP82" s="563"/>
      <c r="BQ82" s="526"/>
      <c r="BR82" s="533"/>
      <c r="BS82" s="533"/>
      <c r="BT82" s="533"/>
      <c r="BU82" s="533"/>
      <c r="BV82" s="533"/>
      <c r="BW82" s="618"/>
      <c r="BX82" s="528">
        <f t="shared" si="15"/>
        <v>0</v>
      </c>
      <c r="BY82" s="525"/>
      <c r="BZ82" s="619"/>
      <c r="CA82" s="525"/>
      <c r="CB82" s="525"/>
      <c r="CC82" s="563"/>
      <c r="CD82" s="525"/>
      <c r="CE82" s="525"/>
      <c r="CF82" s="525"/>
      <c r="CG82" s="525"/>
      <c r="CH82" s="525"/>
      <c r="CI82" s="525"/>
      <c r="CJ82" s="525"/>
      <c r="CK82" s="528">
        <f t="shared" si="12"/>
        <v>0</v>
      </c>
      <c r="CL82" s="526"/>
      <c r="CM82" s="544"/>
      <c r="CN82" s="541"/>
      <c r="CO82" s="525"/>
      <c r="CP82" s="527"/>
      <c r="CQ82" s="527"/>
      <c r="CR82" s="527"/>
      <c r="CS82" s="527"/>
      <c r="CT82" s="527"/>
      <c r="CU82" s="527"/>
      <c r="CV82" s="527"/>
      <c r="CW82" s="527"/>
      <c r="CX82" s="528">
        <f t="shared" si="16"/>
        <v>0</v>
      </c>
      <c r="CY82" s="611"/>
      <c r="DK82" s="519">
        <f t="shared" si="17"/>
        <v>0</v>
      </c>
      <c r="DX82" s="519">
        <f t="shared" si="18"/>
        <v>0</v>
      </c>
    </row>
    <row r="83" spans="2:128" ht="15">
      <c r="C83" s="538"/>
      <c r="D83" s="538"/>
      <c r="E83" s="538"/>
      <c r="F83" s="538"/>
      <c r="G83" s="538"/>
      <c r="H83" s="538"/>
      <c r="I83" s="538"/>
      <c r="J83" s="538"/>
      <c r="K83" s="538"/>
      <c r="L83" s="538"/>
      <c r="M83" s="538"/>
      <c r="N83" s="538"/>
      <c r="O83" s="514"/>
      <c r="P83" s="623"/>
      <c r="Q83" s="623"/>
      <c r="R83" s="623"/>
      <c r="S83" s="623"/>
      <c r="T83" s="623"/>
      <c r="U83" s="623"/>
      <c r="V83" s="534"/>
      <c r="W83" s="544"/>
      <c r="X83" s="623"/>
      <c r="Y83" s="623"/>
      <c r="Z83" s="525"/>
      <c r="AA83" s="534"/>
      <c r="AB83" s="605">
        <v>0</v>
      </c>
      <c r="AC83" s="613"/>
      <c r="AD83" s="534"/>
      <c r="AE83" s="630"/>
      <c r="AF83" s="534"/>
      <c r="AG83" s="630"/>
      <c r="AH83" s="534"/>
      <c r="AI83" s="544"/>
      <c r="AJ83" s="626"/>
      <c r="AK83" s="607">
        <f t="shared" si="26"/>
        <v>0</v>
      </c>
      <c r="AL83" s="628"/>
      <c r="AM83" s="634"/>
      <c r="AN83" s="628"/>
      <c r="AO83" s="628"/>
      <c r="AP83" s="525"/>
      <c r="AQ83" s="525"/>
      <c r="AR83" s="525"/>
      <c r="AS83" s="533"/>
      <c r="AT83" s="525"/>
      <c r="AU83" s="533"/>
      <c r="AV83" s="525"/>
      <c r="AW83" s="544"/>
      <c r="AX83" s="528">
        <f t="shared" si="27"/>
        <v>0</v>
      </c>
      <c r="AY83" s="613"/>
      <c r="AZ83" s="525"/>
      <c r="BA83" s="525"/>
      <c r="BB83" s="525"/>
      <c r="BC83" s="525"/>
      <c r="BD83" s="544"/>
      <c r="BE83" s="525"/>
      <c r="BF83" s="525"/>
      <c r="BG83" s="525"/>
      <c r="BH83" s="563"/>
      <c r="BI83" s="544"/>
      <c r="BJ83" s="608"/>
      <c r="BK83" s="528">
        <f t="shared" si="25"/>
        <v>0</v>
      </c>
      <c r="BL83" s="614"/>
      <c r="BM83" s="544"/>
      <c r="BN83" s="535"/>
      <c r="BO83" s="533"/>
      <c r="BP83" s="563"/>
      <c r="BQ83" s="526"/>
      <c r="BR83" s="533"/>
      <c r="BS83" s="533"/>
      <c r="BT83" s="533"/>
      <c r="BU83" s="533"/>
      <c r="BV83" s="544"/>
      <c r="BW83" s="618"/>
      <c r="BX83" s="528">
        <f t="shared" si="15"/>
        <v>0</v>
      </c>
      <c r="BY83" s="525"/>
      <c r="BZ83" s="619"/>
      <c r="CA83" s="525"/>
      <c r="CB83" s="525"/>
      <c r="CC83" s="563"/>
      <c r="CD83" s="525"/>
      <c r="CE83" s="525"/>
      <c r="CF83" s="525"/>
      <c r="CG83" s="525"/>
      <c r="CH83" s="525"/>
      <c r="CI83" s="544"/>
      <c r="CJ83" s="525"/>
      <c r="CK83" s="528">
        <f t="shared" si="12"/>
        <v>0</v>
      </c>
      <c r="CL83" s="526"/>
      <c r="CM83" s="525"/>
      <c r="CN83" s="525"/>
      <c r="CO83" s="525"/>
      <c r="CP83" s="527"/>
      <c r="CQ83" s="527"/>
      <c r="CR83" s="527"/>
      <c r="CS83" s="527"/>
      <c r="CT83" s="527"/>
      <c r="CU83" s="610"/>
      <c r="CV83" s="527"/>
      <c r="CW83" s="527"/>
      <c r="CX83" s="528">
        <f t="shared" si="16"/>
        <v>0</v>
      </c>
      <c r="CY83" s="611"/>
      <c r="DH83" s="612"/>
      <c r="DK83" s="519">
        <f t="shared" si="17"/>
        <v>0</v>
      </c>
      <c r="DX83" s="519">
        <f t="shared" si="18"/>
        <v>0</v>
      </c>
    </row>
    <row r="84" spans="2:128" ht="15">
      <c r="C84" s="538"/>
      <c r="D84" s="538"/>
      <c r="E84" s="538"/>
      <c r="F84" s="538"/>
      <c r="G84" s="538"/>
      <c r="H84" s="538"/>
      <c r="I84" s="538"/>
      <c r="J84" s="538"/>
      <c r="K84" s="538"/>
      <c r="L84" s="538"/>
      <c r="M84" s="538"/>
      <c r="N84" s="538"/>
      <c r="O84" s="514"/>
      <c r="P84" s="623"/>
      <c r="Q84" s="623"/>
      <c r="R84" s="623"/>
      <c r="S84" s="623"/>
      <c r="T84" s="623"/>
      <c r="U84" s="623"/>
      <c r="V84" s="534"/>
      <c r="W84" s="544"/>
      <c r="X84" s="623"/>
      <c r="Y84" s="623"/>
      <c r="Z84" s="525"/>
      <c r="AA84" s="534"/>
      <c r="AB84" s="605">
        <v>0</v>
      </c>
      <c r="AC84" s="613"/>
      <c r="AD84" s="534"/>
      <c r="AE84" s="630"/>
      <c r="AF84" s="534"/>
      <c r="AG84" s="630"/>
      <c r="AH84" s="534"/>
      <c r="AI84" s="544"/>
      <c r="AJ84" s="626"/>
      <c r="AK84" s="607">
        <f t="shared" si="26"/>
        <v>0</v>
      </c>
      <c r="AL84" s="628"/>
      <c r="AM84" s="634"/>
      <c r="AN84" s="628"/>
      <c r="AO84" s="628"/>
      <c r="AP84" s="525"/>
      <c r="AQ84" s="525"/>
      <c r="AR84" s="525"/>
      <c r="AS84" s="533"/>
      <c r="AT84" s="525"/>
      <c r="AU84" s="533"/>
      <c r="AV84" s="525"/>
      <c r="AW84" s="544"/>
      <c r="AX84" s="528">
        <f t="shared" si="27"/>
        <v>0</v>
      </c>
      <c r="AY84" s="613"/>
      <c r="AZ84" s="525"/>
      <c r="BA84" s="525"/>
      <c r="BB84" s="525"/>
      <c r="BC84" s="525"/>
      <c r="BD84" s="544"/>
      <c r="BE84" s="525"/>
      <c r="BF84" s="525"/>
      <c r="BG84" s="525"/>
      <c r="BH84" s="563"/>
      <c r="BI84" s="544"/>
      <c r="BJ84" s="608"/>
      <c r="BK84" s="528">
        <f t="shared" si="25"/>
        <v>0</v>
      </c>
      <c r="BL84" s="614"/>
      <c r="BM84" s="544"/>
      <c r="BN84" s="535"/>
      <c r="BO84" s="533"/>
      <c r="BP84" s="563"/>
      <c r="BQ84" s="526"/>
      <c r="BR84" s="533"/>
      <c r="BS84" s="533"/>
      <c r="BT84" s="533"/>
      <c r="BU84" s="533"/>
      <c r="BV84" s="525"/>
      <c r="BW84" s="563"/>
      <c r="BX84" s="528">
        <f>SUM(BL84:BW84)</f>
        <v>0</v>
      </c>
      <c r="BY84" s="544"/>
      <c r="BZ84" s="544"/>
      <c r="CA84" s="525"/>
      <c r="CB84" s="525"/>
      <c r="CC84" s="544"/>
      <c r="CD84" s="544"/>
      <c r="CE84" s="544"/>
      <c r="CF84" s="544"/>
      <c r="CG84" s="525"/>
      <c r="CH84" s="544"/>
      <c r="CI84" s="544"/>
      <c r="CJ84" s="544"/>
      <c r="CK84" s="528">
        <f t="shared" si="12"/>
        <v>0</v>
      </c>
      <c r="CL84" s="544"/>
      <c r="CM84" s="544"/>
      <c r="CN84" s="541"/>
      <c r="CO84" s="544"/>
      <c r="CP84" s="572"/>
      <c r="CQ84" s="527"/>
      <c r="CR84" s="527"/>
      <c r="CS84" s="527"/>
      <c r="CT84" s="527"/>
      <c r="CU84" s="527"/>
      <c r="CV84" s="527"/>
      <c r="CW84" s="527"/>
      <c r="CX84" s="528">
        <f t="shared" si="16"/>
        <v>0</v>
      </c>
      <c r="CY84" s="527"/>
      <c r="CZ84" s="527"/>
      <c r="DA84" s="527"/>
      <c r="DB84" s="527"/>
      <c r="DC84" s="527"/>
      <c r="DK84" s="519">
        <f t="shared" si="17"/>
        <v>0</v>
      </c>
      <c r="DX84" s="519">
        <f t="shared" si="18"/>
        <v>0</v>
      </c>
    </row>
    <row r="85" spans="2:128" ht="15">
      <c r="B85" s="636"/>
      <c r="C85" s="538"/>
      <c r="D85" s="538"/>
      <c r="E85" s="538"/>
      <c r="F85" s="538"/>
      <c r="G85" s="538"/>
      <c r="H85" s="538"/>
      <c r="I85" s="538"/>
      <c r="J85" s="538"/>
      <c r="K85" s="538"/>
      <c r="L85" s="538"/>
      <c r="M85" s="538"/>
      <c r="N85" s="538"/>
      <c r="O85" s="514"/>
      <c r="P85" s="623"/>
      <c r="Q85" s="623"/>
      <c r="R85" s="623"/>
      <c r="S85" s="623"/>
      <c r="T85" s="623"/>
      <c r="U85" s="623"/>
      <c r="V85" s="534"/>
      <c r="W85" s="544"/>
      <c r="X85" s="623"/>
      <c r="Y85" s="623"/>
      <c r="Z85" s="525"/>
      <c r="AA85" s="534"/>
      <c r="AB85" s="605">
        <v>0</v>
      </c>
      <c r="AC85" s="613"/>
      <c r="AD85" s="534"/>
      <c r="AE85" s="630"/>
      <c r="AF85" s="534"/>
      <c r="AG85" s="630"/>
      <c r="AH85" s="534"/>
      <c r="AI85" s="544"/>
      <c r="AJ85" s="626"/>
      <c r="AK85" s="607">
        <f t="shared" si="26"/>
        <v>0</v>
      </c>
      <c r="AL85" s="628"/>
      <c r="AM85" s="634"/>
      <c r="AN85" s="628"/>
      <c r="AO85" s="628"/>
      <c r="AP85" s="525"/>
      <c r="AQ85" s="525"/>
      <c r="AR85" s="525"/>
      <c r="AS85" s="533"/>
      <c r="AT85" s="525"/>
      <c r="AU85" s="533"/>
      <c r="AV85" s="525"/>
      <c r="AW85" s="544"/>
      <c r="AX85" s="528">
        <f t="shared" si="27"/>
        <v>0</v>
      </c>
      <c r="AY85" s="613"/>
      <c r="AZ85" s="525"/>
      <c r="BA85" s="525"/>
      <c r="BB85" s="525"/>
      <c r="BC85" s="525"/>
      <c r="BD85" s="544"/>
      <c r="BE85" s="525"/>
      <c r="BF85" s="525"/>
      <c r="BG85" s="525"/>
      <c r="BH85" s="563"/>
      <c r="BI85" s="544"/>
      <c r="BJ85" s="608"/>
      <c r="BK85" s="528">
        <f t="shared" si="25"/>
        <v>0</v>
      </c>
      <c r="BL85" s="614"/>
      <c r="BM85" s="544"/>
      <c r="BN85" s="535"/>
      <c r="BO85" s="533"/>
      <c r="BP85" s="563"/>
      <c r="BQ85" s="526"/>
      <c r="BR85" s="533"/>
      <c r="BS85" s="533"/>
      <c r="BT85" s="533"/>
      <c r="BU85" s="533"/>
      <c r="BV85" s="525"/>
      <c r="BW85" s="563"/>
      <c r="BX85" s="528">
        <f>SUM(BL85:BW85)</f>
        <v>0</v>
      </c>
      <c r="BY85" s="544"/>
      <c r="BZ85" s="563"/>
      <c r="CA85" s="563"/>
      <c r="CB85" s="563"/>
      <c r="CC85" s="563"/>
      <c r="CD85" s="534"/>
      <c r="CE85" s="525"/>
      <c r="CF85" s="525"/>
      <c r="CG85" s="525"/>
      <c r="CH85" s="525"/>
      <c r="CI85" s="525"/>
      <c r="CJ85" s="525"/>
      <c r="CK85" s="528">
        <f t="shared" si="12"/>
        <v>0</v>
      </c>
      <c r="CL85" s="526"/>
      <c r="CM85" s="525"/>
      <c r="CN85" s="525"/>
      <c r="CO85" s="525"/>
      <c r="CQ85" s="527"/>
      <c r="CR85" s="527"/>
      <c r="CS85" s="527"/>
      <c r="CT85" s="527"/>
      <c r="CU85" s="527"/>
      <c r="CV85" s="527"/>
      <c r="CW85" s="527"/>
      <c r="CX85" s="528">
        <f t="shared" si="16"/>
        <v>0</v>
      </c>
      <c r="CY85" s="611"/>
      <c r="DC85" s="612"/>
      <c r="DK85" s="519">
        <f t="shared" si="17"/>
        <v>0</v>
      </c>
      <c r="DX85" s="519">
        <f t="shared" si="18"/>
        <v>0</v>
      </c>
    </row>
    <row r="86" spans="2:128" ht="15">
      <c r="B86" s="636"/>
      <c r="C86" s="538"/>
      <c r="D86" s="538"/>
      <c r="E86" s="538"/>
      <c r="F86" s="538"/>
      <c r="G86" s="538"/>
      <c r="H86" s="538"/>
      <c r="I86" s="538"/>
      <c r="J86" s="538"/>
      <c r="K86" s="538"/>
      <c r="L86" s="538"/>
      <c r="M86" s="538"/>
      <c r="N86" s="538"/>
      <c r="O86" s="514"/>
      <c r="P86" s="623"/>
      <c r="Q86" s="623"/>
      <c r="R86" s="623"/>
      <c r="S86" s="623"/>
      <c r="T86" s="623"/>
      <c r="U86" s="623"/>
      <c r="V86" s="534"/>
      <c r="W86" s="544"/>
      <c r="X86" s="623"/>
      <c r="Y86" s="623"/>
      <c r="Z86" s="525"/>
      <c r="AA86" s="534"/>
      <c r="AB86" s="605"/>
      <c r="AC86" s="613"/>
      <c r="AD86" s="534"/>
      <c r="AE86" s="630"/>
      <c r="AF86" s="534"/>
      <c r="AG86" s="630"/>
      <c r="AH86" s="534"/>
      <c r="AI86" s="544"/>
      <c r="AJ86" s="626"/>
      <c r="AK86" s="607"/>
      <c r="AL86" s="628"/>
      <c r="AM86" s="634"/>
      <c r="AN86" s="628"/>
      <c r="AO86" s="628"/>
      <c r="AP86" s="525"/>
      <c r="AQ86" s="525"/>
      <c r="AR86" s="525"/>
      <c r="AS86" s="533"/>
      <c r="AT86" s="525"/>
      <c r="AU86" s="533"/>
      <c r="AV86" s="525"/>
      <c r="AW86" s="544"/>
      <c r="AX86" s="528"/>
      <c r="AY86" s="613"/>
      <c r="AZ86" s="525"/>
      <c r="BA86" s="525"/>
      <c r="BB86" s="525"/>
      <c r="BC86" s="525"/>
      <c r="BD86" s="544"/>
      <c r="BE86" s="525"/>
      <c r="BF86" s="525"/>
      <c r="BG86" s="525"/>
      <c r="BH86" s="563"/>
      <c r="BI86" s="544"/>
      <c r="BJ86" s="608"/>
      <c r="BK86" s="528"/>
      <c r="BL86" s="614"/>
      <c r="BM86" s="544"/>
      <c r="BN86" s="535"/>
      <c r="BO86" s="533"/>
      <c r="BP86" s="563"/>
      <c r="BQ86" s="526"/>
      <c r="BR86" s="533"/>
      <c r="BS86" s="533"/>
      <c r="BT86" s="533"/>
      <c r="BU86" s="533"/>
      <c r="BV86" s="525"/>
      <c r="BW86" s="563"/>
      <c r="BX86" s="528"/>
      <c r="BY86" s="544"/>
      <c r="BZ86" s="563"/>
      <c r="CA86" s="563"/>
      <c r="CB86" s="563"/>
      <c r="CC86" s="563"/>
      <c r="CD86" s="534"/>
      <c r="CE86" s="525"/>
      <c r="CF86" s="525"/>
      <c r="CG86" s="525"/>
      <c r="CH86" s="525"/>
      <c r="CI86" s="525"/>
      <c r="CJ86" s="525"/>
      <c r="CK86" s="528">
        <f t="shared" si="12"/>
        <v>0</v>
      </c>
      <c r="CL86" s="543"/>
      <c r="CM86" s="541"/>
      <c r="CN86" s="544"/>
      <c r="CO86" s="544"/>
      <c r="CP86" s="527"/>
      <c r="CQ86" s="527"/>
      <c r="CR86" s="527"/>
      <c r="CS86" s="527"/>
      <c r="CT86" s="527"/>
      <c r="CU86" s="527"/>
      <c r="CV86" s="527"/>
      <c r="CW86" s="527"/>
      <c r="CX86" s="528">
        <f t="shared" si="16"/>
        <v>0</v>
      </c>
      <c r="CY86" s="611"/>
      <c r="DC86" s="612"/>
      <c r="DK86" s="519">
        <f t="shared" si="17"/>
        <v>0</v>
      </c>
      <c r="DX86" s="519"/>
    </row>
    <row r="87" spans="2:128" ht="15">
      <c r="B87" s="636"/>
      <c r="C87" s="538"/>
      <c r="D87" s="538"/>
      <c r="E87" s="538"/>
      <c r="F87" s="538"/>
      <c r="G87" s="538"/>
      <c r="H87" s="538"/>
      <c r="I87" s="538"/>
      <c r="J87" s="538"/>
      <c r="K87" s="538"/>
      <c r="L87" s="538"/>
      <c r="M87" s="538"/>
      <c r="N87" s="538"/>
      <c r="O87" s="514"/>
      <c r="P87" s="623"/>
      <c r="Q87" s="623"/>
      <c r="R87" s="623"/>
      <c r="S87" s="623"/>
      <c r="T87" s="623"/>
      <c r="U87" s="623"/>
      <c r="V87" s="534"/>
      <c r="W87" s="544"/>
      <c r="X87" s="623"/>
      <c r="Y87" s="623"/>
      <c r="Z87" s="525"/>
      <c r="AA87" s="534"/>
      <c r="AB87" s="605"/>
      <c r="AC87" s="613"/>
      <c r="AD87" s="534"/>
      <c r="AE87" s="630"/>
      <c r="AF87" s="534"/>
      <c r="AG87" s="630"/>
      <c r="AH87" s="534"/>
      <c r="AI87" s="544"/>
      <c r="AJ87" s="626"/>
      <c r="AK87" s="607"/>
      <c r="AL87" s="628"/>
      <c r="AM87" s="634"/>
      <c r="AN87" s="628"/>
      <c r="AO87" s="628"/>
      <c r="AP87" s="525"/>
      <c r="AQ87" s="525"/>
      <c r="AR87" s="525"/>
      <c r="AS87" s="533"/>
      <c r="AT87" s="525"/>
      <c r="AU87" s="533"/>
      <c r="AV87" s="525"/>
      <c r="AW87" s="544"/>
      <c r="AX87" s="528"/>
      <c r="AY87" s="613"/>
      <c r="AZ87" s="525"/>
      <c r="BA87" s="525"/>
      <c r="BB87" s="525"/>
      <c r="BC87" s="525"/>
      <c r="BD87" s="544"/>
      <c r="BE87" s="525"/>
      <c r="BF87" s="525"/>
      <c r="BG87" s="525"/>
      <c r="BH87" s="563"/>
      <c r="BI87" s="544"/>
      <c r="BJ87" s="608"/>
      <c r="BK87" s="528"/>
      <c r="BL87" s="614"/>
      <c r="BM87" s="544"/>
      <c r="BN87" s="535"/>
      <c r="BO87" s="533"/>
      <c r="BP87" s="563"/>
      <c r="BQ87" s="526"/>
      <c r="BR87" s="533"/>
      <c r="BS87" s="533"/>
      <c r="BT87" s="533"/>
      <c r="BU87" s="533"/>
      <c r="BV87" s="525"/>
      <c r="BW87" s="563"/>
      <c r="BX87" s="528"/>
      <c r="BY87" s="544"/>
      <c r="BZ87" s="563"/>
      <c r="CA87" s="563"/>
      <c r="CB87" s="563"/>
      <c r="CC87" s="563"/>
      <c r="CD87" s="534"/>
      <c r="CE87" s="525"/>
      <c r="CF87" s="525"/>
      <c r="CG87" s="525"/>
      <c r="CH87" s="525"/>
      <c r="CI87" s="525"/>
      <c r="CJ87" s="525"/>
      <c r="CK87" s="528">
        <f t="shared" si="12"/>
        <v>0</v>
      </c>
      <c r="CL87" s="543"/>
      <c r="CM87" s="541"/>
      <c r="CN87" s="563"/>
      <c r="CO87" s="541"/>
      <c r="CP87" s="527"/>
      <c r="CQ87" s="527"/>
      <c r="CR87" s="527"/>
      <c r="CS87" s="807"/>
      <c r="CT87" s="807"/>
      <c r="CU87" s="527"/>
      <c r="CV87" s="527"/>
      <c r="CW87" s="527"/>
      <c r="CX87" s="528">
        <f t="shared" si="16"/>
        <v>0</v>
      </c>
      <c r="CY87" s="611"/>
      <c r="DC87" s="612"/>
      <c r="DK87" s="519"/>
      <c r="DX87" s="519"/>
    </row>
    <row r="88" spans="2:128" ht="15">
      <c r="B88" s="560"/>
      <c r="C88" s="538"/>
      <c r="D88" s="538"/>
      <c r="E88" s="538"/>
      <c r="F88" s="538"/>
      <c r="G88" s="538"/>
      <c r="H88" s="538"/>
      <c r="I88" s="538"/>
      <c r="J88" s="538"/>
      <c r="K88" s="538"/>
      <c r="L88" s="538"/>
      <c r="M88" s="538"/>
      <c r="N88" s="538"/>
      <c r="O88" s="514">
        <f t="shared" si="9"/>
        <v>0</v>
      </c>
      <c r="P88" s="623"/>
      <c r="Q88" s="623"/>
      <c r="R88" s="623"/>
      <c r="S88" s="623"/>
      <c r="T88" s="623"/>
      <c r="U88" s="623"/>
      <c r="V88" s="534"/>
      <c r="W88" s="544"/>
      <c r="X88" s="623"/>
      <c r="Y88" s="623"/>
      <c r="Z88" s="525"/>
      <c r="AA88" s="534"/>
      <c r="AB88" s="605"/>
      <c r="AC88" s="613"/>
      <c r="AD88" s="534"/>
      <c r="AE88" s="630"/>
      <c r="AF88" s="534"/>
      <c r="AG88" s="630"/>
      <c r="AH88" s="616"/>
      <c r="AI88" s="630"/>
      <c r="AJ88" s="626"/>
      <c r="AK88" s="607"/>
      <c r="AL88" s="628"/>
      <c r="AM88" s="634"/>
      <c r="AN88" s="628"/>
      <c r="AO88" s="628"/>
      <c r="AP88" s="525"/>
      <c r="AQ88" s="533"/>
      <c r="AR88" s="533"/>
      <c r="AS88" s="533"/>
      <c r="AT88" s="533"/>
      <c r="AU88" s="533"/>
      <c r="AV88" s="533"/>
      <c r="AW88" s="533"/>
      <c r="AX88" s="528"/>
      <c r="AY88" s="606"/>
      <c r="AZ88" s="525"/>
      <c r="BA88" s="525"/>
      <c r="BB88" s="525"/>
      <c r="BC88" s="525"/>
      <c r="BD88" s="525"/>
      <c r="BE88" s="525"/>
      <c r="BF88" s="525"/>
      <c r="BG88" s="525"/>
      <c r="BH88" s="563"/>
      <c r="BI88" s="525"/>
      <c r="BJ88" s="608"/>
      <c r="BK88" s="528"/>
      <c r="BL88" s="614"/>
      <c r="BM88" s="533"/>
      <c r="BN88" s="535"/>
      <c r="BO88" s="533"/>
      <c r="BP88" s="533"/>
      <c r="BQ88" s="535"/>
      <c r="BR88" s="533"/>
      <c r="BS88" s="533"/>
      <c r="BT88" s="533"/>
      <c r="BU88" s="533"/>
      <c r="BV88" s="533"/>
      <c r="BW88" s="618"/>
      <c r="BX88" s="528">
        <f t="shared" si="15"/>
        <v>0</v>
      </c>
      <c r="BY88" s="525"/>
      <c r="BZ88" s="525"/>
      <c r="CA88" s="525"/>
      <c r="CB88" s="525"/>
      <c r="CC88" s="525"/>
      <c r="CD88" s="525"/>
      <c r="CE88" s="525"/>
      <c r="CF88" s="525"/>
      <c r="CG88" s="525"/>
      <c r="CH88" s="525"/>
      <c r="CI88" s="525"/>
      <c r="CJ88" s="525"/>
      <c r="CK88" s="528">
        <f t="shared" si="12"/>
        <v>0</v>
      </c>
      <c r="CL88" s="526"/>
      <c r="CM88" s="525"/>
      <c r="CN88" s="525"/>
      <c r="CO88" s="525"/>
      <c r="CP88" s="527"/>
      <c r="CQ88" s="527"/>
      <c r="CR88" s="527"/>
      <c r="CS88" s="527"/>
      <c r="CT88" s="527"/>
      <c r="CU88" s="527"/>
      <c r="CV88" s="527"/>
      <c r="CW88" s="527"/>
      <c r="CX88" s="528">
        <f t="shared" si="16"/>
        <v>0</v>
      </c>
      <c r="CY88" s="611"/>
      <c r="DK88" s="519">
        <f t="shared" si="17"/>
        <v>0</v>
      </c>
      <c r="DX88" s="519">
        <f t="shared" si="18"/>
        <v>0</v>
      </c>
    </row>
    <row r="89" spans="2:128" ht="15">
      <c r="C89" s="538"/>
      <c r="D89" s="538"/>
      <c r="E89" s="538"/>
      <c r="F89" s="538"/>
      <c r="G89" s="538"/>
      <c r="H89" s="538"/>
      <c r="I89" s="538"/>
      <c r="J89" s="538"/>
      <c r="K89" s="538"/>
      <c r="L89" s="538"/>
      <c r="M89" s="538"/>
      <c r="N89" s="538"/>
      <c r="O89" s="514">
        <f t="shared" si="9"/>
        <v>0</v>
      </c>
      <c r="P89" s="623"/>
      <c r="Q89" s="623"/>
      <c r="R89" s="623"/>
      <c r="S89" s="623"/>
      <c r="T89" s="623"/>
      <c r="U89" s="623"/>
      <c r="V89" s="534"/>
      <c r="W89" s="544"/>
      <c r="X89" s="623"/>
      <c r="Y89" s="623"/>
      <c r="Z89" s="525"/>
      <c r="AA89" s="534"/>
      <c r="AB89" s="605">
        <f t="shared" si="10"/>
        <v>0</v>
      </c>
      <c r="AC89" s="613"/>
      <c r="AD89" s="534"/>
      <c r="AE89" s="630"/>
      <c r="AF89" s="534"/>
      <c r="AG89" s="630"/>
      <c r="AH89" s="616"/>
      <c r="AI89" s="630"/>
      <c r="AJ89" s="534"/>
      <c r="AK89" s="607">
        <f t="shared" si="13"/>
        <v>0</v>
      </c>
      <c r="AL89" s="628"/>
      <c r="AM89" s="634"/>
      <c r="AN89" s="628"/>
      <c r="AO89" s="628"/>
      <c r="AP89" s="525"/>
      <c r="AQ89" s="525"/>
      <c r="AR89" s="525"/>
      <c r="AS89" s="525"/>
      <c r="AT89" s="525"/>
      <c r="AU89" s="525"/>
      <c r="AV89" s="525"/>
      <c r="AW89" s="525"/>
      <c r="AX89" s="528">
        <f t="shared" si="23"/>
        <v>0</v>
      </c>
      <c r="AY89" s="606"/>
      <c r="AZ89" s="525"/>
      <c r="BA89" s="525"/>
      <c r="BB89" s="525"/>
      <c r="BC89" s="525"/>
      <c r="BD89" s="525"/>
      <c r="BE89" s="525"/>
      <c r="BF89" s="525"/>
      <c r="BG89" s="525"/>
      <c r="BH89" s="563"/>
      <c r="BI89" s="525"/>
      <c r="BJ89" s="608"/>
      <c r="BK89" s="528">
        <f t="shared" si="19"/>
        <v>0</v>
      </c>
      <c r="BL89" s="614"/>
      <c r="BM89" s="533"/>
      <c r="BN89" s="535"/>
      <c r="BO89" s="533"/>
      <c r="BP89" s="533"/>
      <c r="BQ89" s="535"/>
      <c r="BR89" s="533"/>
      <c r="BS89" s="533"/>
      <c r="BT89" s="533"/>
      <c r="BU89" s="533"/>
      <c r="BV89" s="533"/>
      <c r="BW89" s="618"/>
      <c r="BX89" s="528">
        <f t="shared" si="15"/>
        <v>0</v>
      </c>
      <c r="BY89" s="525"/>
      <c r="BZ89" s="525"/>
      <c r="CA89" s="525"/>
      <c r="CB89" s="525"/>
      <c r="CC89" s="525"/>
      <c r="CD89" s="525"/>
      <c r="CE89" s="525"/>
      <c r="CF89" s="525"/>
      <c r="CG89" s="525"/>
      <c r="CH89" s="525"/>
      <c r="CI89" s="525"/>
      <c r="CJ89" s="525"/>
      <c r="CK89" s="528">
        <f t="shared" si="12"/>
        <v>0</v>
      </c>
      <c r="CL89" s="526"/>
      <c r="CM89" s="525"/>
      <c r="CN89" s="525"/>
      <c r="CO89" s="525"/>
      <c r="CP89" s="527"/>
      <c r="CQ89" s="527"/>
      <c r="CR89" s="527"/>
      <c r="CS89" s="527"/>
      <c r="CT89" s="527"/>
      <c r="CU89" s="527"/>
      <c r="CV89" s="527"/>
      <c r="CW89" s="527"/>
      <c r="CX89" s="528">
        <f t="shared" si="16"/>
        <v>0</v>
      </c>
      <c r="CY89" s="611"/>
      <c r="DK89" s="519">
        <f t="shared" si="17"/>
        <v>0</v>
      </c>
      <c r="DX89" s="519">
        <f t="shared" si="18"/>
        <v>0</v>
      </c>
    </row>
    <row r="90" spans="2:128" ht="15">
      <c r="C90" s="538"/>
      <c r="D90" s="538"/>
      <c r="E90" s="538"/>
      <c r="F90" s="538"/>
      <c r="G90" s="538"/>
      <c r="H90" s="538"/>
      <c r="I90" s="538"/>
      <c r="J90" s="538"/>
      <c r="K90" s="538"/>
      <c r="L90" s="538"/>
      <c r="M90" s="538"/>
      <c r="N90" s="538"/>
      <c r="O90" s="514">
        <f t="shared" si="9"/>
        <v>0</v>
      </c>
      <c r="P90" s="623"/>
      <c r="Q90" s="623"/>
      <c r="R90" s="534"/>
      <c r="S90" s="623"/>
      <c r="T90" s="623"/>
      <c r="U90" s="623"/>
      <c r="V90" s="534"/>
      <c r="W90" s="544"/>
      <c r="X90" s="623"/>
      <c r="Y90" s="623"/>
      <c r="Z90" s="525"/>
      <c r="AA90" s="534"/>
      <c r="AB90" s="605">
        <f t="shared" si="10"/>
        <v>0</v>
      </c>
      <c r="AC90" s="613"/>
      <c r="AD90" s="534"/>
      <c r="AE90" s="630"/>
      <c r="AF90" s="534"/>
      <c r="AG90" s="630"/>
      <c r="AH90" s="616"/>
      <c r="AI90" s="534"/>
      <c r="AJ90" s="534"/>
      <c r="AK90" s="607">
        <f t="shared" si="13"/>
        <v>0</v>
      </c>
      <c r="AL90" s="525"/>
      <c r="AM90" s="525"/>
      <c r="AN90" s="525"/>
      <c r="AO90" s="525"/>
      <c r="AP90" s="525"/>
      <c r="AQ90" s="525"/>
      <c r="AR90" s="525"/>
      <c r="AS90" s="525"/>
      <c r="AT90" s="525"/>
      <c r="AU90" s="525"/>
      <c r="AV90" s="525"/>
      <c r="AW90" s="525"/>
      <c r="AX90" s="528">
        <f t="shared" si="23"/>
        <v>0</v>
      </c>
      <c r="AY90" s="525"/>
      <c r="AZ90" s="525"/>
      <c r="BA90" s="525"/>
      <c r="BB90" s="525"/>
      <c r="BC90" s="525"/>
      <c r="BD90" s="525"/>
      <c r="BE90" s="525"/>
      <c r="BF90" s="525"/>
      <c r="BG90" s="525"/>
      <c r="BH90" s="563"/>
      <c r="BI90" s="525"/>
      <c r="BJ90" s="563"/>
      <c r="BK90" s="528">
        <f>SUM(AY90:BJ90)</f>
        <v>0</v>
      </c>
      <c r="BL90" s="614"/>
      <c r="BM90" s="533"/>
      <c r="BN90" s="535"/>
      <c r="BO90" s="533"/>
      <c r="BP90" s="533"/>
      <c r="BQ90" s="535"/>
      <c r="BR90" s="533"/>
      <c r="BS90" s="533"/>
      <c r="BT90" s="533"/>
      <c r="BU90" s="533"/>
      <c r="BV90" s="533"/>
      <c r="BW90" s="618"/>
      <c r="BX90" s="528">
        <f t="shared" si="15"/>
        <v>0</v>
      </c>
      <c r="BY90" s="525"/>
      <c r="BZ90" s="525"/>
      <c r="CA90" s="525"/>
      <c r="CB90" s="525"/>
      <c r="CC90" s="525"/>
      <c r="CD90" s="525"/>
      <c r="CE90" s="525"/>
      <c r="CF90" s="525"/>
      <c r="CG90" s="525"/>
      <c r="CH90" s="525"/>
      <c r="CI90" s="525"/>
      <c r="CJ90" s="525"/>
      <c r="CK90" s="528">
        <f t="shared" si="12"/>
        <v>0</v>
      </c>
      <c r="CL90" s="526"/>
      <c r="CM90" s="525"/>
      <c r="CN90" s="525"/>
      <c r="CO90" s="525"/>
      <c r="CP90" s="527"/>
      <c r="CQ90" s="527"/>
      <c r="CR90" s="527"/>
      <c r="CS90" s="527"/>
      <c r="CT90" s="527"/>
      <c r="CU90" s="527"/>
      <c r="CV90" s="527"/>
      <c r="CW90" s="527"/>
      <c r="CX90" s="528">
        <f t="shared" si="16"/>
        <v>0</v>
      </c>
      <c r="CY90" s="611"/>
      <c r="DK90" s="519">
        <f t="shared" si="17"/>
        <v>0</v>
      </c>
      <c r="DX90" s="519">
        <f t="shared" si="18"/>
        <v>0</v>
      </c>
    </row>
    <row r="91" spans="2:128" ht="15">
      <c r="C91" s="538"/>
      <c r="D91" s="538"/>
      <c r="E91" s="538"/>
      <c r="F91" s="538"/>
      <c r="G91" s="512">
        <f>4000*1.21</f>
        <v>4840</v>
      </c>
      <c r="H91" s="538"/>
      <c r="I91" s="538"/>
      <c r="J91" s="538"/>
      <c r="K91" s="538"/>
      <c r="L91" s="538"/>
      <c r="M91" s="538"/>
      <c r="N91" s="538"/>
      <c r="O91" s="514">
        <f t="shared" si="9"/>
        <v>4840</v>
      </c>
      <c r="P91" s="623"/>
      <c r="Q91" s="534"/>
      <c r="R91" s="623"/>
      <c r="S91" s="623"/>
      <c r="T91" s="623"/>
      <c r="U91" s="623"/>
      <c r="V91" s="534"/>
      <c r="W91" s="544"/>
      <c r="X91" s="623"/>
      <c r="Y91" s="623"/>
      <c r="Z91" s="525"/>
      <c r="AA91" s="534"/>
      <c r="AB91" s="605">
        <f t="shared" si="10"/>
        <v>0</v>
      </c>
      <c r="AC91" s="613"/>
      <c r="AD91" s="544"/>
      <c r="AE91" s="630"/>
      <c r="AF91" s="534"/>
      <c r="AG91" s="630"/>
      <c r="AH91" s="616"/>
      <c r="AI91" s="630"/>
      <c r="AJ91" s="626"/>
      <c r="AK91" s="607">
        <f t="shared" si="13"/>
        <v>0</v>
      </c>
      <c r="AL91" s="628"/>
      <c r="AM91" s="634"/>
      <c r="AN91" s="628"/>
      <c r="AO91" s="628"/>
      <c r="AP91" s="525"/>
      <c r="AQ91" s="525"/>
      <c r="AR91" s="525"/>
      <c r="AS91" s="525"/>
      <c r="AT91" s="525"/>
      <c r="AU91" s="525"/>
      <c r="AV91" s="525"/>
      <c r="AW91" s="525"/>
      <c r="AX91" s="528">
        <f t="shared" si="23"/>
        <v>0</v>
      </c>
      <c r="AY91" s="606"/>
      <c r="AZ91" s="525"/>
      <c r="BA91" s="525"/>
      <c r="BB91" s="525"/>
      <c r="BC91" s="525"/>
      <c r="BD91" s="525"/>
      <c r="BE91" s="525"/>
      <c r="BF91" s="525"/>
      <c r="BG91" s="525"/>
      <c r="BH91" s="563"/>
      <c r="BI91" s="525"/>
      <c r="BJ91" s="608"/>
      <c r="BK91" s="528">
        <f t="shared" si="19"/>
        <v>0</v>
      </c>
      <c r="BL91" s="614"/>
      <c r="BM91" s="533"/>
      <c r="BN91" s="535"/>
      <c r="BO91" s="533"/>
      <c r="BP91" s="533"/>
      <c r="BQ91" s="535"/>
      <c r="BR91" s="533"/>
      <c r="BS91" s="533"/>
      <c r="BT91" s="533"/>
      <c r="BU91" s="533"/>
      <c r="BV91" s="533"/>
      <c r="BW91" s="618"/>
      <c r="BX91" s="528">
        <f t="shared" si="15"/>
        <v>0</v>
      </c>
      <c r="BY91" s="525"/>
      <c r="BZ91" s="525"/>
      <c r="CA91" s="525"/>
      <c r="CB91" s="525"/>
      <c r="CC91" s="525"/>
      <c r="CD91" s="525"/>
      <c r="CE91" s="525"/>
      <c r="CF91" s="525"/>
      <c r="CG91" s="525"/>
      <c r="CH91" s="525"/>
      <c r="CI91" s="525"/>
      <c r="CJ91" s="525"/>
      <c r="CK91" s="528">
        <f t="shared" si="12"/>
        <v>0</v>
      </c>
      <c r="CL91" s="526"/>
      <c r="CM91" s="525"/>
      <c r="CN91" s="525"/>
      <c r="CO91" s="525"/>
      <c r="CP91" s="527"/>
      <c r="CQ91" s="527"/>
      <c r="CR91" s="527"/>
      <c r="CS91" s="527"/>
      <c r="CT91" s="527"/>
      <c r="CU91" s="527"/>
      <c r="CV91" s="527"/>
      <c r="CW91" s="527"/>
      <c r="CX91" s="528">
        <f t="shared" si="16"/>
        <v>0</v>
      </c>
      <c r="CY91" s="611"/>
      <c r="DK91" s="519">
        <f t="shared" si="17"/>
        <v>0</v>
      </c>
      <c r="DX91" s="519">
        <f t="shared" si="18"/>
        <v>0</v>
      </c>
    </row>
    <row r="92" spans="2:128" ht="15">
      <c r="C92" s="538"/>
      <c r="D92" s="538"/>
      <c r="E92" s="538"/>
      <c r="F92" s="538"/>
      <c r="G92" s="538"/>
      <c r="H92" s="538"/>
      <c r="I92" s="538"/>
      <c r="J92" s="538"/>
      <c r="K92" s="538"/>
      <c r="L92" s="538"/>
      <c r="M92" s="538"/>
      <c r="N92" s="538"/>
      <c r="O92" s="514">
        <f t="shared" si="9"/>
        <v>0</v>
      </c>
      <c r="P92" s="623"/>
      <c r="Q92" s="623"/>
      <c r="R92" s="623"/>
      <c r="S92" s="623"/>
      <c r="T92" s="623"/>
      <c r="U92" s="534"/>
      <c r="V92" s="534"/>
      <c r="W92" s="544"/>
      <c r="X92" s="623"/>
      <c r="Y92" s="623"/>
      <c r="Z92" s="525"/>
      <c r="AA92" s="534"/>
      <c r="AB92" s="605">
        <f t="shared" si="10"/>
        <v>0</v>
      </c>
      <c r="AC92" s="613"/>
      <c r="AD92" s="534"/>
      <c r="AE92" s="630"/>
      <c r="AF92" s="534"/>
      <c r="AG92" s="630"/>
      <c r="AH92" s="616"/>
      <c r="AI92" s="630"/>
      <c r="AJ92" s="626"/>
      <c r="AK92" s="607">
        <f t="shared" si="13"/>
        <v>0</v>
      </c>
      <c r="AL92" s="628"/>
      <c r="AM92" s="634"/>
      <c r="AN92" s="628"/>
      <c r="AO92" s="628"/>
      <c r="AP92" s="525"/>
      <c r="AQ92" s="525"/>
      <c r="AR92" s="525"/>
      <c r="AS92" s="525"/>
      <c r="AT92" s="525"/>
      <c r="AU92" s="525"/>
      <c r="AV92" s="525"/>
      <c r="AW92" s="525"/>
      <c r="AX92" s="528">
        <f t="shared" si="23"/>
        <v>0</v>
      </c>
      <c r="AY92" s="606"/>
      <c r="AZ92" s="525"/>
      <c r="BA92" s="525"/>
      <c r="BB92" s="525"/>
      <c r="BC92" s="525"/>
      <c r="BD92" s="525"/>
      <c r="BE92" s="525"/>
      <c r="BF92" s="525"/>
      <c r="BG92" s="525"/>
      <c r="BH92" s="563"/>
      <c r="BI92" s="525"/>
      <c r="BJ92" s="608"/>
      <c r="BK92" s="528">
        <f t="shared" si="19"/>
        <v>0</v>
      </c>
      <c r="BL92" s="614"/>
      <c r="BM92" s="533"/>
      <c r="BN92" s="535"/>
      <c r="BO92" s="533"/>
      <c r="BP92" s="533"/>
      <c r="BQ92" s="535"/>
      <c r="BR92" s="533"/>
      <c r="BS92" s="533"/>
      <c r="BT92" s="533"/>
      <c r="BU92" s="533"/>
      <c r="BV92" s="533"/>
      <c r="BW92" s="618"/>
      <c r="BX92" s="528">
        <f t="shared" si="15"/>
        <v>0</v>
      </c>
      <c r="BY92" s="525"/>
      <c r="BZ92" s="525"/>
      <c r="CA92" s="525"/>
      <c r="CB92" s="525"/>
      <c r="CC92" s="525"/>
      <c r="CD92" s="525"/>
      <c r="CE92" s="525"/>
      <c r="CF92" s="525"/>
      <c r="CG92" s="525"/>
      <c r="CH92" s="525"/>
      <c r="CI92" s="525"/>
      <c r="CJ92" s="525"/>
      <c r="CK92" s="528">
        <f t="shared" si="12"/>
        <v>0</v>
      </c>
      <c r="CL92" s="526"/>
      <c r="CM92" s="525"/>
      <c r="CN92" s="525"/>
      <c r="CO92" s="525"/>
      <c r="CP92" s="527"/>
      <c r="CQ92" s="527"/>
      <c r="CR92" s="527"/>
      <c r="CS92" s="527"/>
      <c r="CT92" s="527"/>
      <c r="CU92" s="527"/>
      <c r="CV92" s="527"/>
      <c r="CW92" s="527"/>
      <c r="CX92" s="528">
        <f t="shared" si="16"/>
        <v>0</v>
      </c>
      <c r="CY92" s="611"/>
      <c r="DK92" s="519">
        <f t="shared" si="17"/>
        <v>0</v>
      </c>
      <c r="DX92" s="519">
        <f t="shared" si="18"/>
        <v>0</v>
      </c>
    </row>
    <row r="93" spans="2:128" ht="15">
      <c r="C93" s="538"/>
      <c r="D93" s="538"/>
      <c r="E93" s="538"/>
      <c r="F93" s="538"/>
      <c r="G93" s="538"/>
      <c r="H93" s="538"/>
      <c r="I93" s="538"/>
      <c r="J93" s="538"/>
      <c r="K93" s="538"/>
      <c r="L93" s="538"/>
      <c r="M93" s="538"/>
      <c r="N93" s="538"/>
      <c r="O93" s="514">
        <f t="shared" si="9"/>
        <v>0</v>
      </c>
      <c r="P93" s="623"/>
      <c r="Q93" s="623"/>
      <c r="R93" s="623"/>
      <c r="S93" s="623"/>
      <c r="T93" s="623"/>
      <c r="U93" s="534"/>
      <c r="V93" s="534"/>
      <c r="W93" s="544"/>
      <c r="X93" s="623"/>
      <c r="Y93" s="623"/>
      <c r="Z93" s="525"/>
      <c r="AA93" s="534"/>
      <c r="AB93" s="605">
        <f t="shared" si="10"/>
        <v>0</v>
      </c>
      <c r="AC93" s="609"/>
      <c r="AD93" s="534"/>
      <c r="AE93" s="630"/>
      <c r="AF93" s="534"/>
      <c r="AG93" s="544"/>
      <c r="AH93" s="616"/>
      <c r="AI93" s="630"/>
      <c r="AJ93" s="626"/>
      <c r="AK93" s="607">
        <f t="shared" si="13"/>
        <v>0</v>
      </c>
      <c r="AL93" s="628"/>
      <c r="AM93" s="634"/>
      <c r="AN93" s="628"/>
      <c r="AO93" s="628"/>
      <c r="AP93" s="525"/>
      <c r="AQ93" s="525"/>
      <c r="AR93" s="525"/>
      <c r="AS93" s="525"/>
      <c r="AT93" s="525"/>
      <c r="AU93" s="525"/>
      <c r="AV93" s="525"/>
      <c r="AW93" s="525"/>
      <c r="AX93" s="528">
        <f t="shared" si="23"/>
        <v>0</v>
      </c>
      <c r="AY93" s="606"/>
      <c r="AZ93" s="525"/>
      <c r="BA93" s="525"/>
      <c r="BB93" s="525"/>
      <c r="BC93" s="525"/>
      <c r="BD93" s="525"/>
      <c r="BE93" s="544"/>
      <c r="BF93" s="525"/>
      <c r="BG93" s="525"/>
      <c r="BH93" s="563"/>
      <c r="BI93" s="525"/>
      <c r="BJ93" s="608"/>
      <c r="BK93" s="528">
        <f t="shared" si="19"/>
        <v>0</v>
      </c>
      <c r="BL93" s="614"/>
      <c r="BM93" s="533"/>
      <c r="BN93" s="535"/>
      <c r="BO93" s="533"/>
      <c r="BP93" s="533"/>
      <c r="BQ93" s="535"/>
      <c r="BR93" s="533"/>
      <c r="BS93" s="533"/>
      <c r="BT93" s="533"/>
      <c r="BU93" s="533"/>
      <c r="BV93" s="533"/>
      <c r="BW93" s="544"/>
      <c r="BX93" s="528">
        <f t="shared" si="15"/>
        <v>0</v>
      </c>
      <c r="BY93" s="525"/>
      <c r="BZ93" s="525"/>
      <c r="CA93" s="525"/>
      <c r="CB93" s="525"/>
      <c r="CC93" s="525"/>
      <c r="CD93" s="525"/>
      <c r="CE93" s="525"/>
      <c r="CF93" s="525"/>
      <c r="CG93" s="525"/>
      <c r="CH93" s="525"/>
      <c r="CI93" s="525"/>
      <c r="CJ93" s="525"/>
      <c r="CK93" s="528">
        <f t="shared" si="12"/>
        <v>0</v>
      </c>
      <c r="CL93" s="526"/>
      <c r="CM93" s="525"/>
      <c r="CN93" s="525"/>
      <c r="CO93" s="525"/>
      <c r="CP93" s="527"/>
      <c r="CQ93" s="527"/>
      <c r="CR93" s="527"/>
      <c r="CS93" s="527"/>
      <c r="CT93" s="527"/>
      <c r="CU93" s="527"/>
      <c r="CV93" s="527"/>
      <c r="CW93" s="527"/>
      <c r="CX93" s="528">
        <f t="shared" si="16"/>
        <v>0</v>
      </c>
      <c r="CY93" s="611"/>
      <c r="DK93" s="519">
        <f t="shared" si="17"/>
        <v>0</v>
      </c>
      <c r="DX93" s="519">
        <f t="shared" si="18"/>
        <v>0</v>
      </c>
    </row>
    <row r="94" spans="2:128" ht="15">
      <c r="C94" s="538"/>
      <c r="D94" s="538"/>
      <c r="E94" s="538"/>
      <c r="F94" s="538"/>
      <c r="G94" s="538"/>
      <c r="H94" s="538"/>
      <c r="I94" s="538"/>
      <c r="J94" s="538"/>
      <c r="K94" s="538"/>
      <c r="L94" s="538"/>
      <c r="M94" s="538"/>
      <c r="N94" s="538"/>
      <c r="O94" s="514">
        <f>SUM(C94:N94)</f>
        <v>0</v>
      </c>
      <c r="P94" s="623"/>
      <c r="Q94" s="623"/>
      <c r="R94" s="623"/>
      <c r="S94" s="623"/>
      <c r="T94" s="623"/>
      <c r="U94" s="623"/>
      <c r="V94" s="534"/>
      <c r="W94" s="544"/>
      <c r="X94" s="623"/>
      <c r="Y94" s="623"/>
      <c r="Z94" s="525"/>
      <c r="AA94" s="534"/>
      <c r="AB94" s="605">
        <f>SUM(P94:AA94)</f>
        <v>0</v>
      </c>
      <c r="AC94" s="613"/>
      <c r="AD94" s="534"/>
      <c r="AE94" s="630"/>
      <c r="AF94" s="534"/>
      <c r="AG94" s="630"/>
      <c r="AH94" s="534"/>
      <c r="AI94" s="534"/>
      <c r="AJ94" s="534"/>
      <c r="AK94" s="607">
        <f t="shared" si="13"/>
        <v>0</v>
      </c>
      <c r="AL94" s="544"/>
      <c r="AM94" s="544"/>
      <c r="AN94" s="628"/>
      <c r="AO94" s="628"/>
      <c r="AP94" s="525"/>
      <c r="AQ94" s="525"/>
      <c r="AR94" s="525"/>
      <c r="AS94" s="525"/>
      <c r="AT94" s="525"/>
      <c r="AU94" s="525"/>
      <c r="AV94" s="525"/>
      <c r="AW94" s="525"/>
      <c r="AX94" s="528">
        <f>SUM(AL94:AW94)</f>
        <v>0</v>
      </c>
      <c r="AY94" s="606"/>
      <c r="AZ94" s="525"/>
      <c r="BA94" s="525"/>
      <c r="BB94" s="525"/>
      <c r="BC94" s="525"/>
      <c r="BD94" s="525"/>
      <c r="BE94" s="525"/>
      <c r="BF94" s="525"/>
      <c r="BG94" s="525"/>
      <c r="BH94" s="563"/>
      <c r="BI94" s="525"/>
      <c r="BJ94" s="608"/>
      <c r="BK94" s="528">
        <f t="shared" si="19"/>
        <v>0</v>
      </c>
      <c r="BL94" s="614"/>
      <c r="BM94" s="533"/>
      <c r="BN94" s="535"/>
      <c r="BO94" s="533"/>
      <c r="BP94" s="533"/>
      <c r="BQ94" s="535"/>
      <c r="BR94" s="533"/>
      <c r="BS94" s="533"/>
      <c r="BT94" s="533"/>
      <c r="BU94" s="533"/>
      <c r="BV94" s="533"/>
      <c r="BW94" s="618"/>
      <c r="BX94" s="528">
        <f t="shared" si="15"/>
        <v>0</v>
      </c>
      <c r="BY94" s="525"/>
      <c r="BZ94" s="525"/>
      <c r="CA94" s="525"/>
      <c r="CB94" s="525"/>
      <c r="CC94" s="525"/>
      <c r="CD94" s="525"/>
      <c r="CE94" s="525"/>
      <c r="CF94" s="525"/>
      <c r="CG94" s="525"/>
      <c r="CH94" s="525"/>
      <c r="CI94" s="525"/>
      <c r="CJ94" s="525"/>
      <c r="CK94" s="528">
        <f t="shared" si="12"/>
        <v>0</v>
      </c>
      <c r="CL94" s="526"/>
      <c r="CM94" s="525"/>
      <c r="CN94" s="525"/>
      <c r="CO94" s="525"/>
      <c r="CP94" s="527"/>
      <c r="CQ94" s="527"/>
      <c r="CR94" s="527"/>
      <c r="CS94" s="527"/>
      <c r="CT94" s="527"/>
      <c r="CU94" s="527"/>
      <c r="CV94" s="527"/>
      <c r="CW94" s="527"/>
      <c r="CX94" s="528">
        <f t="shared" si="16"/>
        <v>0</v>
      </c>
      <c r="CY94" s="611"/>
      <c r="DK94" s="519">
        <f t="shared" si="17"/>
        <v>0</v>
      </c>
      <c r="DX94" s="519">
        <f t="shared" si="18"/>
        <v>0</v>
      </c>
    </row>
    <row r="95" spans="2:128" ht="15">
      <c r="C95" s="538"/>
      <c r="D95" s="538"/>
      <c r="E95" s="538"/>
      <c r="F95" s="538"/>
      <c r="G95" s="538"/>
      <c r="H95" s="538"/>
      <c r="I95" s="538"/>
      <c r="J95" s="538"/>
      <c r="K95" s="538"/>
      <c r="L95" s="538"/>
      <c r="M95" s="538"/>
      <c r="N95" s="538"/>
      <c r="O95" s="514"/>
      <c r="P95" s="623"/>
      <c r="Q95" s="623"/>
      <c r="R95" s="623"/>
      <c r="S95" s="623"/>
      <c r="T95" s="623"/>
      <c r="U95" s="623"/>
      <c r="V95" s="534"/>
      <c r="W95" s="544"/>
      <c r="X95" s="623"/>
      <c r="Y95" s="623"/>
      <c r="Z95" s="525"/>
      <c r="AA95" s="534"/>
      <c r="AB95" s="605">
        <f>SUM(P95:AA95)</f>
        <v>0</v>
      </c>
      <c r="AC95" s="613"/>
      <c r="AD95" s="534"/>
      <c r="AE95" s="630"/>
      <c r="AF95" s="534"/>
      <c r="AG95" s="630"/>
      <c r="AH95" s="534"/>
      <c r="AI95" s="534"/>
      <c r="AJ95" s="534"/>
      <c r="AK95" s="607">
        <f t="shared" si="13"/>
        <v>0</v>
      </c>
      <c r="AL95" s="544"/>
      <c r="AM95" s="544"/>
      <c r="AN95" s="628"/>
      <c r="AO95" s="627"/>
      <c r="AP95" s="525"/>
      <c r="AQ95" s="525"/>
      <c r="AR95" s="525"/>
      <c r="AS95" s="525"/>
      <c r="AT95" s="525"/>
      <c r="AU95" s="525"/>
      <c r="AV95" s="525"/>
      <c r="AW95" s="525"/>
      <c r="AX95" s="528">
        <f>SUM(AL95:AW95)</f>
        <v>0</v>
      </c>
      <c r="AY95" s="606"/>
      <c r="AZ95" s="525"/>
      <c r="BA95" s="525"/>
      <c r="BB95" s="525"/>
      <c r="BC95" s="525"/>
      <c r="BD95" s="525"/>
      <c r="BE95" s="525"/>
      <c r="BF95" s="525"/>
      <c r="BG95" s="525"/>
      <c r="BH95" s="563"/>
      <c r="BI95" s="525"/>
      <c r="BJ95" s="608"/>
      <c r="BK95" s="528">
        <f t="shared" si="19"/>
        <v>0</v>
      </c>
      <c r="BL95" s="614"/>
      <c r="BM95" s="533"/>
      <c r="BN95" s="535"/>
      <c r="BO95" s="533"/>
      <c r="BP95" s="533"/>
      <c r="BQ95" s="535"/>
      <c r="BR95" s="533"/>
      <c r="BS95" s="533"/>
      <c r="BT95" s="533"/>
      <c r="BU95" s="533"/>
      <c r="BV95" s="533"/>
      <c r="BW95" s="618"/>
      <c r="BX95" s="528">
        <f t="shared" si="15"/>
        <v>0</v>
      </c>
      <c r="BY95" s="525"/>
      <c r="BZ95" s="525"/>
      <c r="CA95" s="525"/>
      <c r="CB95" s="525"/>
      <c r="CC95" s="525"/>
      <c r="CD95" s="525"/>
      <c r="CE95" s="525"/>
      <c r="CF95" s="525"/>
      <c r="CG95" s="525"/>
      <c r="CH95" s="525"/>
      <c r="CI95" s="525"/>
      <c r="CJ95" s="525"/>
      <c r="CK95" s="528">
        <f t="shared" si="12"/>
        <v>0</v>
      </c>
      <c r="CL95" s="526"/>
      <c r="CM95" s="525"/>
      <c r="CN95" s="525"/>
      <c r="CO95" s="525"/>
      <c r="CP95" s="527"/>
      <c r="CQ95" s="527"/>
      <c r="CR95" s="527"/>
      <c r="CS95" s="527"/>
      <c r="CT95" s="527"/>
      <c r="CU95" s="527"/>
      <c r="CV95" s="527"/>
      <c r="CW95" s="527"/>
      <c r="CX95" s="528">
        <f t="shared" si="16"/>
        <v>0</v>
      </c>
      <c r="CY95" s="611"/>
      <c r="DK95" s="519">
        <f t="shared" si="17"/>
        <v>0</v>
      </c>
      <c r="DX95" s="519">
        <f t="shared" si="18"/>
        <v>0</v>
      </c>
    </row>
    <row r="96" spans="2:128" ht="15">
      <c r="B96" s="560"/>
      <c r="C96" s="538"/>
      <c r="D96" s="538"/>
      <c r="E96" s="538"/>
      <c r="F96" s="538"/>
      <c r="G96" s="538"/>
      <c r="H96" s="538"/>
      <c r="I96" s="538"/>
      <c r="J96" s="538"/>
      <c r="K96" s="538"/>
      <c r="L96" s="538"/>
      <c r="M96" s="538"/>
      <c r="N96" s="538"/>
      <c r="O96" s="514">
        <f t="shared" si="9"/>
        <v>0</v>
      </c>
      <c r="P96" s="623"/>
      <c r="Q96" s="623"/>
      <c r="R96" s="623"/>
      <c r="S96" s="623"/>
      <c r="T96" s="623"/>
      <c r="U96" s="623"/>
      <c r="V96" s="534"/>
      <c r="W96" s="544"/>
      <c r="X96" s="623"/>
      <c r="Y96" s="623"/>
      <c r="Z96" s="525"/>
      <c r="AA96" s="534"/>
      <c r="AB96" s="605"/>
      <c r="AC96" s="613"/>
      <c r="AD96" s="534"/>
      <c r="AE96" s="630"/>
      <c r="AF96" s="534"/>
      <c r="AG96" s="630"/>
      <c r="AH96" s="616"/>
      <c r="AI96" s="630"/>
      <c r="AJ96" s="626"/>
      <c r="AK96" s="607"/>
      <c r="AL96" s="628"/>
      <c r="AM96" s="634"/>
      <c r="AN96" s="628"/>
      <c r="AO96" s="628"/>
      <c r="AP96" s="525"/>
      <c r="AQ96" s="525"/>
      <c r="AR96" s="525"/>
      <c r="AS96" s="525"/>
      <c r="AT96" s="525"/>
      <c r="AU96" s="525"/>
      <c r="AV96" s="525"/>
      <c r="AW96" s="525"/>
      <c r="AX96" s="528"/>
      <c r="AY96" s="606"/>
      <c r="AZ96" s="525"/>
      <c r="BA96" s="525"/>
      <c r="BB96" s="525"/>
      <c r="BC96" s="525"/>
      <c r="BD96" s="525"/>
      <c r="BE96" s="525"/>
      <c r="BF96" s="525"/>
      <c r="BG96" s="525"/>
      <c r="BH96" s="563"/>
      <c r="BI96" s="525"/>
      <c r="BJ96" s="608"/>
      <c r="BK96" s="528"/>
      <c r="BL96" s="614"/>
      <c r="BM96" s="533"/>
      <c r="BN96" s="535"/>
      <c r="BO96" s="533"/>
      <c r="BP96" s="533"/>
      <c r="BQ96" s="535"/>
      <c r="BR96" s="533"/>
      <c r="BS96" s="533"/>
      <c r="BT96" s="533"/>
      <c r="BU96" s="533"/>
      <c r="BV96" s="533"/>
      <c r="BW96" s="618"/>
      <c r="BX96" s="528">
        <f t="shared" si="15"/>
        <v>0</v>
      </c>
      <c r="BY96" s="525"/>
      <c r="BZ96" s="525"/>
      <c r="CA96" s="525"/>
      <c r="CB96" s="525"/>
      <c r="CC96" s="525"/>
      <c r="CD96" s="525"/>
      <c r="CE96" s="525"/>
      <c r="CF96" s="525"/>
      <c r="CG96" s="525"/>
      <c r="CH96" s="525"/>
      <c r="CI96" s="525"/>
      <c r="CJ96" s="525"/>
      <c r="CK96" s="528">
        <f t="shared" si="12"/>
        <v>0</v>
      </c>
      <c r="CL96" s="526"/>
      <c r="CM96" s="525"/>
      <c r="CN96" s="525"/>
      <c r="CO96" s="525"/>
      <c r="CP96" s="527"/>
      <c r="CQ96" s="527"/>
      <c r="CR96" s="527"/>
      <c r="CS96" s="527"/>
      <c r="CT96" s="527"/>
      <c r="CU96" s="527"/>
      <c r="CV96" s="527"/>
      <c r="CW96" s="527"/>
      <c r="CX96" s="528">
        <f t="shared" si="16"/>
        <v>0</v>
      </c>
      <c r="CY96" s="611"/>
      <c r="DK96" s="519">
        <f t="shared" si="17"/>
        <v>0</v>
      </c>
      <c r="DX96" s="519">
        <f t="shared" si="18"/>
        <v>0</v>
      </c>
    </row>
    <row r="97" spans="2:128" ht="15">
      <c r="B97" s="589"/>
      <c r="C97" s="538"/>
      <c r="D97" s="538"/>
      <c r="E97" s="538"/>
      <c r="F97" s="538"/>
      <c r="G97" s="538"/>
      <c r="H97" s="538"/>
      <c r="I97" s="538"/>
      <c r="J97" s="538"/>
      <c r="K97" s="538"/>
      <c r="L97" s="538"/>
      <c r="M97" s="538"/>
      <c r="N97" s="538"/>
      <c r="O97" s="514">
        <f t="shared" si="9"/>
        <v>0</v>
      </c>
      <c r="P97" s="623"/>
      <c r="Q97" s="623"/>
      <c r="R97" s="623"/>
      <c r="S97" s="623"/>
      <c r="T97" s="623"/>
      <c r="U97" s="623"/>
      <c r="V97" s="534"/>
      <c r="W97" s="544"/>
      <c r="X97" s="623"/>
      <c r="Y97" s="623"/>
      <c r="Z97" s="525"/>
      <c r="AA97" s="534"/>
      <c r="AB97" s="605">
        <f t="shared" si="10"/>
        <v>0</v>
      </c>
      <c r="AC97" s="606"/>
      <c r="AD97" s="525"/>
      <c r="AE97" s="630"/>
      <c r="AF97" s="525"/>
      <c r="AG97" s="634"/>
      <c r="AH97" s="617"/>
      <c r="AI97" s="634"/>
      <c r="AJ97" s="628"/>
      <c r="AK97" s="607">
        <f t="shared" si="13"/>
        <v>0</v>
      </c>
      <c r="AL97" s="628"/>
      <c r="AM97" s="634"/>
      <c r="AN97" s="628"/>
      <c r="AO97" s="628"/>
      <c r="AP97" s="525"/>
      <c r="AQ97" s="525"/>
      <c r="AR97" s="525"/>
      <c r="AS97" s="525"/>
      <c r="AT97" s="525"/>
      <c r="AU97" s="525"/>
      <c r="AV97" s="525"/>
      <c r="AW97" s="525"/>
      <c r="AX97" s="528">
        <f t="shared" si="23"/>
        <v>0</v>
      </c>
      <c r="AY97" s="606"/>
      <c r="AZ97" s="525"/>
      <c r="BA97" s="525"/>
      <c r="BB97" s="525"/>
      <c r="BC97" s="525"/>
      <c r="BD97" s="525"/>
      <c r="BE97" s="525"/>
      <c r="BF97" s="525"/>
      <c r="BG97" s="525"/>
      <c r="BH97" s="563"/>
      <c r="BI97" s="525"/>
      <c r="BJ97" s="608"/>
      <c r="BK97" s="528">
        <f t="shared" si="19"/>
        <v>0</v>
      </c>
      <c r="BL97" s="614"/>
      <c r="BM97" s="533"/>
      <c r="BN97" s="535"/>
      <c r="BO97" s="533"/>
      <c r="BP97" s="533"/>
      <c r="BQ97" s="535"/>
      <c r="BR97" s="533"/>
      <c r="BS97" s="533"/>
      <c r="BT97" s="533"/>
      <c r="BU97" s="533"/>
      <c r="BV97" s="533"/>
      <c r="BW97" s="618"/>
      <c r="BX97" s="528">
        <f t="shared" si="15"/>
        <v>0</v>
      </c>
      <c r="BY97" s="525"/>
      <c r="BZ97" s="525"/>
      <c r="CA97" s="525"/>
      <c r="CB97" s="525"/>
      <c r="CC97" s="525"/>
      <c r="CD97" s="525"/>
      <c r="CE97" s="525"/>
      <c r="CF97" s="525"/>
      <c r="CG97" s="525"/>
      <c r="CH97" s="525"/>
      <c r="CI97" s="525"/>
      <c r="CJ97" s="525"/>
      <c r="CK97" s="528">
        <f t="shared" si="12"/>
        <v>0</v>
      </c>
      <c r="CL97" s="526"/>
      <c r="CM97" s="525"/>
      <c r="CN97" s="525"/>
      <c r="CO97" s="525"/>
      <c r="CP97" s="527"/>
      <c r="CQ97" s="527"/>
      <c r="CR97" s="527"/>
      <c r="CS97" s="527"/>
      <c r="CT97" s="527"/>
      <c r="CU97" s="527"/>
      <c r="CV97" s="527"/>
      <c r="CW97" s="527"/>
      <c r="CX97" s="528">
        <f t="shared" si="16"/>
        <v>0</v>
      </c>
      <c r="CY97" s="611"/>
      <c r="DK97" s="519">
        <f t="shared" si="17"/>
        <v>0</v>
      </c>
      <c r="DX97" s="519">
        <f t="shared" si="18"/>
        <v>0</v>
      </c>
    </row>
    <row r="98" spans="2:128" ht="15">
      <c r="C98" s="538"/>
      <c r="D98" s="538"/>
      <c r="E98" s="538"/>
      <c r="F98" s="538"/>
      <c r="G98" s="538"/>
      <c r="H98" s="538"/>
      <c r="I98" s="538"/>
      <c r="J98" s="538"/>
      <c r="K98" s="538"/>
      <c r="L98" s="538"/>
      <c r="M98" s="538"/>
      <c r="N98" s="538"/>
      <c r="O98" s="514">
        <f t="shared" si="9"/>
        <v>0</v>
      </c>
      <c r="P98" s="623"/>
      <c r="Q98" s="623"/>
      <c r="R98" s="623"/>
      <c r="S98" s="623"/>
      <c r="T98" s="623"/>
      <c r="U98" s="623"/>
      <c r="V98" s="534"/>
      <c r="W98" s="544"/>
      <c r="X98" s="623"/>
      <c r="Y98" s="623"/>
      <c r="Z98" s="525"/>
      <c r="AA98" s="534"/>
      <c r="AB98" s="605">
        <f t="shared" si="10"/>
        <v>0</v>
      </c>
      <c r="AC98" s="606"/>
      <c r="AD98" s="525"/>
      <c r="AE98" s="630"/>
      <c r="AF98" s="525"/>
      <c r="AG98" s="634"/>
      <c r="AH98" s="617"/>
      <c r="AI98" s="634"/>
      <c r="AJ98" s="628"/>
      <c r="AK98" s="607">
        <f t="shared" si="13"/>
        <v>0</v>
      </c>
      <c r="AL98" s="628"/>
      <c r="AM98" s="634"/>
      <c r="AN98" s="628"/>
      <c r="AO98" s="628"/>
      <c r="AP98" s="525"/>
      <c r="AQ98" s="525"/>
      <c r="AR98" s="525"/>
      <c r="AS98" s="525"/>
      <c r="AT98" s="525"/>
      <c r="AU98" s="525"/>
      <c r="AV98" s="525"/>
      <c r="AW98" s="525"/>
      <c r="AX98" s="528">
        <f t="shared" si="23"/>
        <v>0</v>
      </c>
      <c r="AY98" s="606"/>
      <c r="AZ98" s="525"/>
      <c r="BA98" s="525"/>
      <c r="BB98" s="525"/>
      <c r="BC98" s="525"/>
      <c r="BD98" s="525"/>
      <c r="BE98" s="525"/>
      <c r="BF98" s="525"/>
      <c r="BG98" s="525"/>
      <c r="BH98" s="563"/>
      <c r="BI98" s="525"/>
      <c r="BJ98" s="608"/>
      <c r="BK98" s="528">
        <f t="shared" si="19"/>
        <v>0</v>
      </c>
      <c r="BL98" s="614"/>
      <c r="BM98" s="533"/>
      <c r="BN98" s="535"/>
      <c r="BO98" s="533"/>
      <c r="BP98" s="533"/>
      <c r="BQ98" s="535"/>
      <c r="BR98" s="533"/>
      <c r="BS98" s="533"/>
      <c r="BT98" s="533"/>
      <c r="BU98" s="533"/>
      <c r="BV98" s="533"/>
      <c r="BW98" s="618"/>
      <c r="BX98" s="528">
        <f t="shared" si="15"/>
        <v>0</v>
      </c>
      <c r="BY98" s="525"/>
      <c r="BZ98" s="525"/>
      <c r="CA98" s="525"/>
      <c r="CB98" s="525"/>
      <c r="CC98" s="525"/>
      <c r="CD98" s="525"/>
      <c r="CE98" s="525"/>
      <c r="CF98" s="525"/>
      <c r="CG98" s="525"/>
      <c r="CH98" s="525"/>
      <c r="CI98" s="525"/>
      <c r="CJ98" s="525"/>
      <c r="CK98" s="528">
        <f t="shared" si="12"/>
        <v>0</v>
      </c>
      <c r="CL98" s="526"/>
      <c r="CM98" s="525"/>
      <c r="CN98" s="525"/>
      <c r="CO98" s="525"/>
      <c r="CP98" s="527"/>
      <c r="CQ98" s="527"/>
      <c r="CR98" s="527"/>
      <c r="CS98" s="527"/>
      <c r="CT98" s="527"/>
      <c r="CU98" s="527"/>
      <c r="CV98" s="527"/>
      <c r="CW98" s="527"/>
      <c r="CX98" s="528">
        <f t="shared" si="16"/>
        <v>0</v>
      </c>
      <c r="CY98" s="611"/>
      <c r="DK98" s="519">
        <f t="shared" si="17"/>
        <v>0</v>
      </c>
      <c r="DX98" s="519">
        <f t="shared" si="18"/>
        <v>0</v>
      </c>
    </row>
    <row r="99" spans="2:128" ht="15">
      <c r="C99" s="538"/>
      <c r="D99" s="538"/>
      <c r="E99" s="538"/>
      <c r="F99" s="538"/>
      <c r="G99" s="538"/>
      <c r="H99" s="538"/>
      <c r="I99" s="538"/>
      <c r="J99" s="538"/>
      <c r="K99" s="538"/>
      <c r="L99" s="538"/>
      <c r="M99" s="538"/>
      <c r="N99" s="538"/>
      <c r="O99" s="514">
        <f t="shared" si="9"/>
        <v>0</v>
      </c>
      <c r="P99" s="623"/>
      <c r="Q99" s="623"/>
      <c r="R99" s="623"/>
      <c r="S99" s="623"/>
      <c r="T99" s="544"/>
      <c r="U99" s="544"/>
      <c r="V99" s="534"/>
      <c r="W99" s="544"/>
      <c r="X99" s="623"/>
      <c r="Y99" s="623"/>
      <c r="Z99" s="525"/>
      <c r="AA99" s="534"/>
      <c r="AB99" s="605">
        <f t="shared" si="10"/>
        <v>0</v>
      </c>
      <c r="AC99" s="606"/>
      <c r="AD99" s="525"/>
      <c r="AE99" s="630"/>
      <c r="AF99" s="525"/>
      <c r="AG99" s="634"/>
      <c r="AH99" s="617"/>
      <c r="AI99" s="634"/>
      <c r="AJ99" s="628"/>
      <c r="AK99" s="607">
        <f t="shared" si="13"/>
        <v>0</v>
      </c>
      <c r="AL99" s="628"/>
      <c r="AM99" s="634"/>
      <c r="AN99" s="628"/>
      <c r="AO99" s="628"/>
      <c r="AP99" s="525"/>
      <c r="AQ99" s="525"/>
      <c r="AR99" s="525"/>
      <c r="AS99" s="525"/>
      <c r="AT99" s="525"/>
      <c r="AU99" s="525"/>
      <c r="AV99" s="525"/>
      <c r="AW99" s="525"/>
      <c r="AX99" s="528">
        <f t="shared" si="23"/>
        <v>0</v>
      </c>
      <c r="AY99" s="606"/>
      <c r="AZ99" s="525"/>
      <c r="BA99" s="525"/>
      <c r="BB99" s="525"/>
      <c r="BC99" s="525"/>
      <c r="BD99" s="525"/>
      <c r="BE99" s="525"/>
      <c r="BF99" s="525"/>
      <c r="BG99" s="525"/>
      <c r="BH99" s="563"/>
      <c r="BI99" s="525"/>
      <c r="BJ99" s="608"/>
      <c r="BK99" s="528">
        <f t="shared" si="19"/>
        <v>0</v>
      </c>
      <c r="BL99" s="614"/>
      <c r="BM99" s="533"/>
      <c r="BN99" s="535"/>
      <c r="BO99" s="533"/>
      <c r="BP99" s="533"/>
      <c r="BQ99" s="535"/>
      <c r="BR99" s="533"/>
      <c r="BS99" s="533"/>
      <c r="BT99" s="533"/>
      <c r="BU99" s="533"/>
      <c r="BV99" s="533"/>
      <c r="BW99" s="618"/>
      <c r="BX99" s="528">
        <f t="shared" si="15"/>
        <v>0</v>
      </c>
      <c r="BY99" s="525"/>
      <c r="BZ99" s="525"/>
      <c r="CA99" s="525"/>
      <c r="CB99" s="525"/>
      <c r="CC99" s="525"/>
      <c r="CD99" s="525"/>
      <c r="CE99" s="525"/>
      <c r="CF99" s="525"/>
      <c r="CG99" s="525"/>
      <c r="CH99" s="525"/>
      <c r="CI99" s="525"/>
      <c r="CJ99" s="525"/>
      <c r="CK99" s="528">
        <f t="shared" si="12"/>
        <v>0</v>
      </c>
      <c r="CL99" s="526"/>
      <c r="CM99" s="525"/>
      <c r="CN99" s="525"/>
      <c r="CO99" s="525"/>
      <c r="CP99" s="527"/>
      <c r="CQ99" s="527"/>
      <c r="CR99" s="527"/>
      <c r="CS99" s="527"/>
      <c r="CT99" s="527"/>
      <c r="CU99" s="527"/>
      <c r="CV99" s="527"/>
      <c r="CW99" s="527"/>
      <c r="CX99" s="528">
        <f t="shared" si="16"/>
        <v>0</v>
      </c>
      <c r="CY99" s="611"/>
      <c r="DK99" s="519">
        <f t="shared" si="17"/>
        <v>0</v>
      </c>
      <c r="DX99" s="519">
        <f t="shared" si="18"/>
        <v>0</v>
      </c>
    </row>
    <row r="100" spans="2:128" ht="15">
      <c r="C100" s="538"/>
      <c r="D100" s="538"/>
      <c r="E100" s="538"/>
      <c r="F100" s="538"/>
      <c r="G100" s="538"/>
      <c r="H100" s="538"/>
      <c r="I100" s="538"/>
      <c r="J100" s="538"/>
      <c r="K100" s="538"/>
      <c r="L100" s="538"/>
      <c r="M100" s="538"/>
      <c r="N100" s="538"/>
      <c r="O100" s="514">
        <f t="shared" si="9"/>
        <v>0</v>
      </c>
      <c r="P100" s="623"/>
      <c r="Q100" s="623"/>
      <c r="R100" s="623"/>
      <c r="S100" s="623"/>
      <c r="T100" s="623"/>
      <c r="U100" s="623"/>
      <c r="V100" s="534"/>
      <c r="W100" s="544"/>
      <c r="X100" s="623"/>
      <c r="Y100" s="623"/>
      <c r="Z100" s="525"/>
      <c r="AA100" s="534"/>
      <c r="AB100" s="605">
        <f t="shared" si="10"/>
        <v>0</v>
      </c>
      <c r="AC100" s="606"/>
      <c r="AD100" s="525"/>
      <c r="AE100" s="630"/>
      <c r="AF100" s="525"/>
      <c r="AG100" s="634"/>
      <c r="AH100" s="628"/>
      <c r="AI100" s="628"/>
      <c r="AJ100" s="628"/>
      <c r="AK100" s="607">
        <f t="shared" si="13"/>
        <v>0</v>
      </c>
      <c r="AL100" s="628"/>
      <c r="AM100" s="634"/>
      <c r="AN100" s="525"/>
      <c r="AO100" s="628"/>
      <c r="AP100" s="525"/>
      <c r="AQ100" s="525"/>
      <c r="AR100" s="637"/>
      <c r="AS100" s="627"/>
      <c r="AT100" s="525"/>
      <c r="AU100" s="525"/>
      <c r="AV100" s="525"/>
      <c r="AW100" s="525"/>
      <c r="AX100" s="528">
        <f t="shared" ref="AX100:AX106" si="29">SUM(AL100:AW100)</f>
        <v>0</v>
      </c>
      <c r="AY100" s="638"/>
      <c r="AZ100" s="525"/>
      <c r="BA100" s="639"/>
      <c r="BB100" s="525"/>
      <c r="BC100" s="525"/>
      <c r="BD100" s="525"/>
      <c r="BE100" s="525"/>
      <c r="BF100" s="525"/>
      <c r="BG100" s="525"/>
      <c r="BH100" s="563"/>
      <c r="BI100" s="525"/>
      <c r="BJ100" s="608"/>
      <c r="BK100" s="528">
        <f t="shared" si="19"/>
        <v>0</v>
      </c>
      <c r="BL100" s="614"/>
      <c r="BM100" s="533"/>
      <c r="BN100" s="535"/>
      <c r="BO100" s="533"/>
      <c r="BP100" s="533"/>
      <c r="BQ100" s="535"/>
      <c r="BR100" s="533"/>
      <c r="BS100" s="533"/>
      <c r="BT100" s="533"/>
      <c r="BU100" s="533"/>
      <c r="BV100" s="533"/>
      <c r="BW100" s="618"/>
      <c r="BX100" s="528">
        <f t="shared" si="15"/>
        <v>0</v>
      </c>
      <c r="BY100" s="525"/>
      <c r="BZ100" s="525"/>
      <c r="CA100" s="525"/>
      <c r="CB100" s="525"/>
      <c r="CC100" s="525"/>
      <c r="CD100" s="525"/>
      <c r="CE100" s="525"/>
      <c r="CF100" s="525"/>
      <c r="CG100" s="525"/>
      <c r="CH100" s="525"/>
      <c r="CI100" s="525"/>
      <c r="CJ100" s="525"/>
      <c r="CK100" s="528">
        <f t="shared" si="12"/>
        <v>0</v>
      </c>
      <c r="CL100" s="526"/>
      <c r="CM100" s="525"/>
      <c r="CN100" s="525"/>
      <c r="CO100" s="525"/>
      <c r="CP100" s="527"/>
      <c r="CQ100" s="527"/>
      <c r="CR100" s="527"/>
      <c r="CS100" s="527"/>
      <c r="CT100" s="527"/>
      <c r="CU100" s="527"/>
      <c r="CV100" s="527"/>
      <c r="CW100" s="527"/>
      <c r="CX100" s="528">
        <f t="shared" si="16"/>
        <v>0</v>
      </c>
      <c r="CY100" s="611"/>
      <c r="DK100" s="519">
        <f t="shared" si="17"/>
        <v>0</v>
      </c>
      <c r="DX100" s="519">
        <f t="shared" si="18"/>
        <v>0</v>
      </c>
    </row>
    <row r="101" spans="2:128" ht="15">
      <c r="C101" s="538"/>
      <c r="D101" s="538"/>
      <c r="E101" s="538"/>
      <c r="F101" s="538"/>
      <c r="G101" s="538"/>
      <c r="H101" s="538"/>
      <c r="I101" s="538"/>
      <c r="J101" s="538"/>
      <c r="K101" s="538"/>
      <c r="L101" s="538"/>
      <c r="M101" s="538"/>
      <c r="N101" s="538"/>
      <c r="O101" s="514">
        <f t="shared" si="9"/>
        <v>0</v>
      </c>
      <c r="P101" s="623"/>
      <c r="Q101" s="623"/>
      <c r="R101" s="623"/>
      <c r="S101" s="623"/>
      <c r="T101" s="623"/>
      <c r="U101" s="623"/>
      <c r="V101" s="534"/>
      <c r="W101" s="544"/>
      <c r="X101" s="544"/>
      <c r="Y101" s="623"/>
      <c r="Z101" s="534"/>
      <c r="AA101" s="534"/>
      <c r="AB101" s="605">
        <f t="shared" si="10"/>
        <v>0</v>
      </c>
      <c r="AC101" s="606"/>
      <c r="AD101" s="525"/>
      <c r="AE101" s="630"/>
      <c r="AF101" s="525"/>
      <c r="AG101" s="634"/>
      <c r="AH101" s="628"/>
      <c r="AI101" s="628"/>
      <c r="AJ101" s="628"/>
      <c r="AK101" s="607">
        <f t="shared" si="13"/>
        <v>0</v>
      </c>
      <c r="AL101" s="525"/>
      <c r="AM101" s="640"/>
      <c r="AN101" s="628"/>
      <c r="AO101" s="628"/>
      <c r="AP101" s="525"/>
      <c r="AQ101" s="525"/>
      <c r="AR101" s="525"/>
      <c r="AS101" s="525"/>
      <c r="AT101" s="525"/>
      <c r="AU101" s="525"/>
      <c r="AV101" s="525"/>
      <c r="AW101" s="525"/>
      <c r="AX101" s="528">
        <f t="shared" si="29"/>
        <v>0</v>
      </c>
      <c r="AY101" s="606"/>
      <c r="AZ101" s="534"/>
      <c r="BA101" s="525"/>
      <c r="BB101" s="627"/>
      <c r="BC101" s="525"/>
      <c r="BD101" s="525"/>
      <c r="BE101" s="525"/>
      <c r="BF101" s="525"/>
      <c r="BG101" s="525"/>
      <c r="BH101" s="563"/>
      <c r="BI101" s="525"/>
      <c r="BJ101" s="608"/>
      <c r="BK101" s="528">
        <f t="shared" si="19"/>
        <v>0</v>
      </c>
      <c r="BL101" s="614"/>
      <c r="BM101" s="533"/>
      <c r="BN101" s="535"/>
      <c r="BO101" s="533"/>
      <c r="BP101" s="533"/>
      <c r="BQ101" s="535"/>
      <c r="BR101" s="533"/>
      <c r="BS101" s="533"/>
      <c r="BT101" s="533"/>
      <c r="BU101" s="533"/>
      <c r="BV101" s="533"/>
      <c r="BW101" s="618"/>
      <c r="BX101" s="528">
        <f t="shared" si="15"/>
        <v>0</v>
      </c>
      <c r="BY101" s="525"/>
      <c r="BZ101" s="525"/>
      <c r="CA101" s="525"/>
      <c r="CB101" s="525"/>
      <c r="CC101" s="525"/>
      <c r="CD101" s="525"/>
      <c r="CE101" s="525"/>
      <c r="CF101" s="525"/>
      <c r="CG101" s="525"/>
      <c r="CH101" s="525"/>
      <c r="CI101" s="525"/>
      <c r="CJ101" s="525"/>
      <c r="CK101" s="528">
        <f t="shared" si="12"/>
        <v>0</v>
      </c>
      <c r="CL101" s="526"/>
      <c r="CM101" s="541"/>
      <c r="CN101" s="525"/>
      <c r="CO101" s="525"/>
      <c r="CP101" s="527"/>
      <c r="CQ101" s="527"/>
      <c r="CR101" s="527"/>
      <c r="CS101" s="527"/>
      <c r="CT101" s="527"/>
      <c r="CU101" s="527"/>
      <c r="CV101" s="527"/>
      <c r="CW101" s="527"/>
      <c r="CX101" s="528">
        <f t="shared" si="16"/>
        <v>0</v>
      </c>
      <c r="CY101" s="611"/>
      <c r="DK101" s="519">
        <f t="shared" si="17"/>
        <v>0</v>
      </c>
      <c r="DX101" s="519">
        <f t="shared" si="18"/>
        <v>0</v>
      </c>
    </row>
    <row r="102" spans="2:128" ht="15">
      <c r="C102" s="538"/>
      <c r="D102" s="538"/>
      <c r="E102" s="538"/>
      <c r="F102" s="538"/>
      <c r="G102" s="538"/>
      <c r="H102" s="538"/>
      <c r="I102" s="538"/>
      <c r="J102" s="538"/>
      <c r="K102" s="538"/>
      <c r="L102" s="538"/>
      <c r="M102" s="538"/>
      <c r="N102" s="538"/>
      <c r="O102" s="514">
        <f t="shared" si="9"/>
        <v>0</v>
      </c>
      <c r="P102" s="623"/>
      <c r="Q102" s="623"/>
      <c r="R102" s="623"/>
      <c r="S102" s="623"/>
      <c r="T102" s="623"/>
      <c r="U102" s="623"/>
      <c r="V102" s="534"/>
      <c r="W102" s="544"/>
      <c r="X102" s="544"/>
      <c r="Y102" s="623"/>
      <c r="Z102" s="534"/>
      <c r="AA102" s="534"/>
      <c r="AB102" s="605">
        <v>0</v>
      </c>
      <c r="AC102" s="606"/>
      <c r="AD102" s="525"/>
      <c r="AE102" s="630"/>
      <c r="AF102" s="525"/>
      <c r="AG102" s="634"/>
      <c r="AH102" s="628"/>
      <c r="AI102" s="525"/>
      <c r="AJ102" s="525"/>
      <c r="AK102" s="607">
        <f t="shared" si="13"/>
        <v>0</v>
      </c>
      <c r="AL102" s="641"/>
      <c r="AM102" s="525"/>
      <c r="AN102" s="525"/>
      <c r="AO102" s="627"/>
      <c r="AP102" s="525"/>
      <c r="AQ102" s="525"/>
      <c r="AR102" s="525"/>
      <c r="AS102" s="525"/>
      <c r="AT102" s="627"/>
      <c r="AU102" s="525"/>
      <c r="AV102" s="525"/>
      <c r="AW102" s="525"/>
      <c r="AX102" s="528">
        <f t="shared" si="29"/>
        <v>0</v>
      </c>
      <c r="AY102" s="606"/>
      <c r="AZ102" s="525"/>
      <c r="BA102" s="525"/>
      <c r="BB102" s="534"/>
      <c r="BC102" s="525"/>
      <c r="BD102" s="525"/>
      <c r="BE102" s="642"/>
      <c r="BF102" s="637"/>
      <c r="BG102" s="525"/>
      <c r="BH102" s="563"/>
      <c r="BI102" s="525"/>
      <c r="BJ102" s="608"/>
      <c r="BK102" s="528">
        <f t="shared" si="19"/>
        <v>0</v>
      </c>
      <c r="BL102" s="614"/>
      <c r="BM102" s="533"/>
      <c r="BN102" s="535"/>
      <c r="BO102" s="525"/>
      <c r="BP102" s="525"/>
      <c r="BQ102" s="526"/>
      <c r="BR102" s="627"/>
      <c r="BS102" s="563"/>
      <c r="BT102" s="534"/>
      <c r="BU102" s="525"/>
      <c r="BV102" s="533"/>
      <c r="BW102" s="618"/>
      <c r="BX102" s="528">
        <f t="shared" si="15"/>
        <v>0</v>
      </c>
      <c r="BY102" s="525"/>
      <c r="BZ102" s="525"/>
      <c r="CA102" s="525"/>
      <c r="CB102" s="525"/>
      <c r="CC102" s="525"/>
      <c r="CD102" s="525"/>
      <c r="CE102" s="525"/>
      <c r="CF102" s="525"/>
      <c r="CG102" s="525"/>
      <c r="CH102" s="525"/>
      <c r="CI102" s="627"/>
      <c r="CJ102" s="637"/>
      <c r="CK102" s="528">
        <f>SUM(BY102:CJ102)</f>
        <v>0</v>
      </c>
      <c r="CL102" s="534"/>
      <c r="CM102" s="642"/>
      <c r="CN102" s="637"/>
      <c r="CO102" s="525"/>
      <c r="CP102" s="527"/>
      <c r="CQ102" s="527"/>
      <c r="CR102" s="527"/>
      <c r="CS102" s="527"/>
      <c r="CT102" s="527"/>
      <c r="CU102" s="610"/>
      <c r="CV102" s="527"/>
      <c r="CW102" s="527"/>
      <c r="CX102" s="528">
        <f>SUM(CL102:CW102)</f>
        <v>0</v>
      </c>
      <c r="CY102" s="611"/>
      <c r="DK102" s="519">
        <f t="shared" si="17"/>
        <v>0</v>
      </c>
      <c r="DX102" s="519">
        <f t="shared" si="18"/>
        <v>0</v>
      </c>
    </row>
    <row r="103" spans="2:128" ht="15">
      <c r="C103" s="538"/>
      <c r="D103" s="538"/>
      <c r="E103" s="538"/>
      <c r="F103" s="538"/>
      <c r="G103" s="538"/>
      <c r="H103" s="538"/>
      <c r="I103" s="538"/>
      <c r="J103" s="538"/>
      <c r="K103" s="538"/>
      <c r="L103" s="538"/>
      <c r="M103" s="538"/>
      <c r="N103" s="538"/>
      <c r="O103" s="514">
        <f t="shared" si="9"/>
        <v>0</v>
      </c>
      <c r="P103" s="623"/>
      <c r="Q103" s="623"/>
      <c r="R103" s="623"/>
      <c r="S103" s="623"/>
      <c r="T103" s="623"/>
      <c r="U103" s="623"/>
      <c r="V103" s="534"/>
      <c r="W103" s="544"/>
      <c r="X103" s="544"/>
      <c r="Y103" s="623"/>
      <c r="Z103" s="534"/>
      <c r="AA103" s="534"/>
      <c r="AB103" s="605">
        <v>0</v>
      </c>
      <c r="AC103" s="606"/>
      <c r="AD103" s="525"/>
      <c r="AE103" s="630"/>
      <c r="AF103" s="525"/>
      <c r="AG103" s="634"/>
      <c r="AH103" s="628"/>
      <c r="AI103" s="628"/>
      <c r="AJ103" s="525"/>
      <c r="AK103" s="607">
        <f t="shared" si="13"/>
        <v>0</v>
      </c>
      <c r="AL103" s="525"/>
      <c r="AM103" s="640"/>
      <c r="AN103" s="628"/>
      <c r="AO103" s="628"/>
      <c r="AP103" s="525"/>
      <c r="AQ103" s="525"/>
      <c r="AR103" s="525"/>
      <c r="AS103" s="525"/>
      <c r="AT103" s="525"/>
      <c r="AU103" s="525"/>
      <c r="AV103" s="525"/>
      <c r="AW103" s="525"/>
      <c r="AX103" s="528">
        <f t="shared" si="29"/>
        <v>0</v>
      </c>
      <c r="AY103" s="606"/>
      <c r="AZ103" s="525"/>
      <c r="BA103" s="525"/>
      <c r="BB103" s="525"/>
      <c r="BC103" s="525"/>
      <c r="BD103" s="525"/>
      <c r="BE103" s="525"/>
      <c r="BF103" s="525"/>
      <c r="BG103" s="525"/>
      <c r="BH103" s="563"/>
      <c r="BI103" s="525"/>
      <c r="BJ103" s="608"/>
      <c r="BK103" s="528">
        <f t="shared" si="19"/>
        <v>0</v>
      </c>
      <c r="BL103" s="614"/>
      <c r="BM103" s="533"/>
      <c r="BN103" s="535"/>
      <c r="BO103" s="533"/>
      <c r="BP103" s="533"/>
      <c r="BQ103" s="535"/>
      <c r="BR103" s="533"/>
      <c r="BS103" s="533"/>
      <c r="BT103" s="533"/>
      <c r="BU103" s="533"/>
      <c r="BV103" s="533"/>
      <c r="BW103" s="618"/>
      <c r="BX103" s="528">
        <f t="shared" si="15"/>
        <v>0</v>
      </c>
      <c r="BY103" s="525"/>
      <c r="BZ103" s="525"/>
      <c r="CA103" s="525"/>
      <c r="CB103" s="525"/>
      <c r="CC103" s="525"/>
      <c r="CD103" s="525"/>
      <c r="CE103" s="525"/>
      <c r="CF103" s="525"/>
      <c r="CG103" s="525"/>
      <c r="CH103" s="525"/>
      <c r="CI103" s="525"/>
      <c r="CJ103" s="525"/>
      <c r="CK103" s="528">
        <f t="shared" si="12"/>
        <v>0</v>
      </c>
      <c r="CL103" s="526"/>
      <c r="CM103" s="525"/>
      <c r="CN103" s="525"/>
      <c r="CO103" s="525"/>
      <c r="CP103" s="527"/>
      <c r="CQ103" s="527"/>
      <c r="CR103" s="527"/>
      <c r="CS103" s="527"/>
      <c r="CT103" s="527"/>
      <c r="CU103" s="527"/>
      <c r="CV103" s="527"/>
      <c r="CW103" s="527"/>
      <c r="CX103" s="528">
        <f t="shared" si="16"/>
        <v>0</v>
      </c>
      <c r="CY103" s="611"/>
      <c r="DK103" s="519">
        <f t="shared" si="17"/>
        <v>0</v>
      </c>
      <c r="DX103" s="519">
        <f t="shared" si="18"/>
        <v>0</v>
      </c>
    </row>
    <row r="104" spans="2:128" ht="15">
      <c r="C104" s="538"/>
      <c r="D104" s="538"/>
      <c r="E104" s="538"/>
      <c r="F104" s="538"/>
      <c r="G104" s="538"/>
      <c r="H104" s="538"/>
      <c r="I104" s="538"/>
      <c r="J104" s="538"/>
      <c r="K104" s="538"/>
      <c r="L104" s="538"/>
      <c r="M104" s="538"/>
      <c r="N104" s="538"/>
      <c r="O104" s="514">
        <f t="shared" si="9"/>
        <v>0</v>
      </c>
      <c r="P104" s="623"/>
      <c r="Q104" s="623"/>
      <c r="R104" s="623"/>
      <c r="S104" s="623"/>
      <c r="T104" s="623"/>
      <c r="U104" s="623"/>
      <c r="V104" s="534"/>
      <c r="W104" s="544"/>
      <c r="X104" s="544"/>
      <c r="Y104" s="623"/>
      <c r="Z104" s="534"/>
      <c r="AA104" s="534"/>
      <c r="AB104" s="605">
        <v>0</v>
      </c>
      <c r="AC104" s="606"/>
      <c r="AD104" s="525"/>
      <c r="AE104" s="630"/>
      <c r="AF104" s="525"/>
      <c r="AG104" s="634"/>
      <c r="AH104" s="628"/>
      <c r="AI104" s="628"/>
      <c r="AJ104" s="525"/>
      <c r="AK104" s="607">
        <f t="shared" si="13"/>
        <v>0</v>
      </c>
      <c r="AL104" s="525"/>
      <c r="AM104" s="627"/>
      <c r="AN104" s="628"/>
      <c r="AO104" s="628"/>
      <c r="AP104" s="525"/>
      <c r="AQ104" s="525"/>
      <c r="AR104" s="525"/>
      <c r="AS104" s="525"/>
      <c r="AT104" s="525"/>
      <c r="AU104" s="525"/>
      <c r="AV104" s="525"/>
      <c r="AW104" s="525"/>
      <c r="AX104" s="528">
        <f t="shared" si="29"/>
        <v>0</v>
      </c>
      <c r="AY104" s="606"/>
      <c r="AZ104" s="525"/>
      <c r="BA104" s="525"/>
      <c r="BB104" s="525"/>
      <c r="BC104" s="525"/>
      <c r="BD104" s="525"/>
      <c r="BE104" s="525"/>
      <c r="BF104" s="525"/>
      <c r="BG104" s="534"/>
      <c r="BH104" s="544"/>
      <c r="BI104" s="525"/>
      <c r="BJ104" s="643"/>
      <c r="BK104" s="528">
        <f>SUM(AY104:BJ104)</f>
        <v>0</v>
      </c>
      <c r="BL104" s="614"/>
      <c r="BM104" s="533"/>
      <c r="BN104" s="535"/>
      <c r="BO104" s="533"/>
      <c r="BP104" s="533"/>
      <c r="BQ104" s="535"/>
      <c r="BR104" s="533"/>
      <c r="BS104" s="533"/>
      <c r="BT104" s="533"/>
      <c r="BU104" s="533"/>
      <c r="BV104" s="533"/>
      <c r="BW104" s="618"/>
      <c r="BX104" s="528">
        <f t="shared" si="15"/>
        <v>0</v>
      </c>
      <c r="BY104" s="525"/>
      <c r="BZ104" s="525"/>
      <c r="CA104" s="525"/>
      <c r="CB104" s="525"/>
      <c r="CC104" s="525"/>
      <c r="CD104" s="525"/>
      <c r="CE104" s="525"/>
      <c r="CF104" s="525"/>
      <c r="CG104" s="525"/>
      <c r="CH104" s="525"/>
      <c r="CI104" s="525"/>
      <c r="CJ104" s="525"/>
      <c r="CK104" s="528">
        <f t="shared" si="12"/>
        <v>0</v>
      </c>
      <c r="CL104" s="526"/>
      <c r="CM104" s="525"/>
      <c r="CN104" s="525"/>
      <c r="CO104" s="525"/>
      <c r="CP104" s="527"/>
      <c r="CQ104" s="527"/>
      <c r="CR104" s="527"/>
      <c r="CS104" s="527"/>
      <c r="CT104" s="527"/>
      <c r="CU104" s="527"/>
      <c r="CV104" s="527"/>
      <c r="CW104" s="527"/>
      <c r="CX104" s="528">
        <f t="shared" si="16"/>
        <v>0</v>
      </c>
      <c r="CY104" s="611"/>
      <c r="DK104" s="519">
        <f t="shared" si="17"/>
        <v>0</v>
      </c>
      <c r="DX104" s="519">
        <f t="shared" si="18"/>
        <v>0</v>
      </c>
    </row>
    <row r="105" spans="2:128" ht="15">
      <c r="C105" s="538"/>
      <c r="D105" s="538"/>
      <c r="E105" s="538"/>
      <c r="F105" s="538"/>
      <c r="G105" s="538"/>
      <c r="H105" s="538"/>
      <c r="I105" s="538"/>
      <c r="J105" s="538"/>
      <c r="K105" s="538"/>
      <c r="L105" s="538"/>
      <c r="M105" s="538"/>
      <c r="N105" s="538"/>
      <c r="O105" s="514"/>
      <c r="P105" s="623"/>
      <c r="Q105" s="623"/>
      <c r="R105" s="623"/>
      <c r="S105" s="623"/>
      <c r="T105" s="623"/>
      <c r="U105" s="623"/>
      <c r="V105" s="534"/>
      <c r="W105" s="544"/>
      <c r="X105" s="544"/>
      <c r="Y105" s="623"/>
      <c r="Z105" s="534"/>
      <c r="AA105" s="534"/>
      <c r="AB105" s="605">
        <f t="shared" si="10"/>
        <v>0</v>
      </c>
      <c r="AC105" s="606"/>
      <c r="AD105" s="525"/>
      <c r="AE105" s="630"/>
      <c r="AF105" s="525"/>
      <c r="AG105" s="634"/>
      <c r="AH105" s="628"/>
      <c r="AI105" s="628"/>
      <c r="AJ105" s="525"/>
      <c r="AK105" s="607">
        <f t="shared" si="13"/>
        <v>0</v>
      </c>
      <c r="AL105" s="525"/>
      <c r="AM105" s="525"/>
      <c r="AN105" s="525"/>
      <c r="AO105" s="525"/>
      <c r="AP105" s="525"/>
      <c r="AQ105" s="642"/>
      <c r="AR105" s="525"/>
      <c r="AS105" s="525"/>
      <c r="AT105" s="525"/>
      <c r="AU105" s="525"/>
      <c r="AV105" s="525"/>
      <c r="AW105" s="525"/>
      <c r="AX105" s="528">
        <f t="shared" si="29"/>
        <v>0</v>
      </c>
      <c r="AY105" s="606"/>
      <c r="AZ105" s="525"/>
      <c r="BA105" s="525"/>
      <c r="BB105" s="525"/>
      <c r="BC105" s="525"/>
      <c r="BD105" s="525"/>
      <c r="BE105" s="525"/>
      <c r="BF105" s="525"/>
      <c r="BG105" s="525"/>
      <c r="BH105" s="525"/>
      <c r="BI105" s="525"/>
      <c r="BJ105" s="608"/>
      <c r="BK105" s="528">
        <f t="shared" si="19"/>
        <v>0</v>
      </c>
      <c r="BL105" s="614"/>
      <c r="BM105" s="533"/>
      <c r="BN105" s="535"/>
      <c r="BO105" s="533"/>
      <c r="BP105" s="533"/>
      <c r="BQ105" s="535"/>
      <c r="BR105" s="533"/>
      <c r="BS105" s="533"/>
      <c r="BT105" s="533"/>
      <c r="BU105" s="533"/>
      <c r="BV105" s="533"/>
      <c r="BW105" s="618"/>
      <c r="BX105" s="528">
        <f t="shared" si="15"/>
        <v>0</v>
      </c>
      <c r="BY105" s="525"/>
      <c r="BZ105" s="525"/>
      <c r="CA105" s="525"/>
      <c r="CB105" s="525"/>
      <c r="CC105" s="525"/>
      <c r="CD105" s="525"/>
      <c r="CE105" s="525"/>
      <c r="CF105" s="525"/>
      <c r="CG105" s="525"/>
      <c r="CH105" s="525"/>
      <c r="CI105" s="525"/>
      <c r="CJ105" s="525"/>
      <c r="CK105" s="528">
        <f t="shared" si="12"/>
        <v>0</v>
      </c>
      <c r="CL105" s="526"/>
      <c r="CM105" s="525"/>
      <c r="CN105" s="525"/>
      <c r="CO105" s="525"/>
      <c r="CP105" s="527"/>
      <c r="CQ105" s="527"/>
      <c r="CR105" s="527"/>
      <c r="CS105" s="527"/>
      <c r="CT105" s="527"/>
      <c r="CU105" s="527"/>
      <c r="CV105" s="527"/>
      <c r="CW105" s="527"/>
      <c r="CX105" s="528">
        <f t="shared" si="16"/>
        <v>0</v>
      </c>
      <c r="CY105" s="611"/>
      <c r="DK105" s="519">
        <f t="shared" si="17"/>
        <v>0</v>
      </c>
      <c r="DX105" s="519">
        <f t="shared" si="18"/>
        <v>0</v>
      </c>
    </row>
    <row r="106" spans="2:128" ht="15">
      <c r="C106" s="538"/>
      <c r="D106" s="538"/>
      <c r="E106" s="538"/>
      <c r="F106" s="538"/>
      <c r="G106" s="538"/>
      <c r="H106" s="538"/>
      <c r="I106" s="538"/>
      <c r="J106" s="538"/>
      <c r="K106" s="538"/>
      <c r="L106" s="538"/>
      <c r="M106" s="538"/>
      <c r="N106" s="538"/>
      <c r="O106" s="514"/>
      <c r="P106" s="623"/>
      <c r="Q106" s="623"/>
      <c r="R106" s="623"/>
      <c r="S106" s="623"/>
      <c r="T106" s="623"/>
      <c r="U106" s="623"/>
      <c r="V106" s="534"/>
      <c r="W106" s="544"/>
      <c r="X106" s="544"/>
      <c r="Y106" s="623"/>
      <c r="Z106" s="534"/>
      <c r="AA106" s="534"/>
      <c r="AB106" s="605"/>
      <c r="AC106" s="606"/>
      <c r="AD106" s="525"/>
      <c r="AE106" s="630"/>
      <c r="AF106" s="525"/>
      <c r="AG106" s="634"/>
      <c r="AH106" s="628"/>
      <c r="AI106" s="628"/>
      <c r="AJ106" s="525"/>
      <c r="AK106" s="607"/>
      <c r="AL106" s="525"/>
      <c r="AM106" s="525"/>
      <c r="AN106" s="525"/>
      <c r="AO106" s="525"/>
      <c r="AP106" s="525"/>
      <c r="AQ106" s="642"/>
      <c r="AR106" s="525"/>
      <c r="AS106" s="525"/>
      <c r="AT106" s="525"/>
      <c r="AU106" s="525"/>
      <c r="AV106" s="525"/>
      <c r="AW106" s="525"/>
      <c r="AX106" s="528">
        <f t="shared" si="29"/>
        <v>0</v>
      </c>
      <c r="AY106" s="606"/>
      <c r="AZ106" s="525"/>
      <c r="BA106" s="525"/>
      <c r="BB106" s="525"/>
      <c r="BC106" s="525"/>
      <c r="BD106" s="525"/>
      <c r="BE106" s="525"/>
      <c r="BF106" s="525"/>
      <c r="BG106" s="525"/>
      <c r="BH106" s="544"/>
      <c r="BI106" s="525"/>
      <c r="BJ106" s="608"/>
      <c r="BK106" s="528">
        <f>SUM(AY106:BJ106)</f>
        <v>0</v>
      </c>
      <c r="BL106" s="533"/>
      <c r="BM106" s="533"/>
      <c r="BN106" s="535"/>
      <c r="BO106" s="525"/>
      <c r="BP106" s="544"/>
      <c r="BQ106" s="526"/>
      <c r="BR106" s="533"/>
      <c r="BS106" s="533"/>
      <c r="BT106" s="533"/>
      <c r="BU106" s="533"/>
      <c r="BV106" s="533"/>
      <c r="BW106" s="618"/>
      <c r="BX106" s="528">
        <f t="shared" si="15"/>
        <v>0</v>
      </c>
      <c r="BY106" s="533"/>
      <c r="BZ106" s="533"/>
      <c r="CA106" s="525"/>
      <c r="CB106" s="525"/>
      <c r="CC106" s="525"/>
      <c r="CD106" s="525"/>
      <c r="CE106" s="525"/>
      <c r="CF106" s="525"/>
      <c r="CG106" s="525"/>
      <c r="CH106" s="525"/>
      <c r="CI106" s="525"/>
      <c r="CJ106" s="525"/>
      <c r="CK106" s="528">
        <f t="shared" si="12"/>
        <v>0</v>
      </c>
      <c r="CL106" s="526"/>
      <c r="CM106" s="525"/>
      <c r="CN106" s="525"/>
      <c r="CO106" s="525"/>
      <c r="CP106" s="527"/>
      <c r="CQ106" s="527"/>
      <c r="CR106" s="527"/>
      <c r="CS106" s="527"/>
      <c r="CT106" s="527"/>
      <c r="CU106" s="527"/>
      <c r="CV106" s="527"/>
      <c r="CW106" s="527"/>
      <c r="CX106" s="528">
        <f t="shared" si="16"/>
        <v>0</v>
      </c>
      <c r="CY106" s="611"/>
      <c r="DK106" s="519">
        <f t="shared" si="17"/>
        <v>0</v>
      </c>
      <c r="DX106" s="519">
        <f t="shared" si="18"/>
        <v>0</v>
      </c>
    </row>
    <row r="107" spans="2:128" ht="15">
      <c r="C107" s="538"/>
      <c r="D107" s="538"/>
      <c r="E107" s="538"/>
      <c r="F107" s="538"/>
      <c r="G107" s="538"/>
      <c r="H107" s="538"/>
      <c r="I107" s="538"/>
      <c r="J107" s="538"/>
      <c r="K107" s="538"/>
      <c r="L107" s="538"/>
      <c r="M107" s="538"/>
      <c r="N107" s="538"/>
      <c r="O107" s="514"/>
      <c r="P107" s="623"/>
      <c r="Q107" s="623"/>
      <c r="R107" s="623"/>
      <c r="S107" s="623"/>
      <c r="T107" s="623"/>
      <c r="U107" s="623"/>
      <c r="V107" s="534"/>
      <c r="W107" s="544"/>
      <c r="X107" s="544"/>
      <c r="Y107" s="623"/>
      <c r="Z107" s="534"/>
      <c r="AA107" s="534"/>
      <c r="AB107" s="605"/>
      <c r="AC107" s="606"/>
      <c r="AD107" s="525"/>
      <c r="AE107" s="630"/>
      <c r="AF107" s="525"/>
      <c r="AG107" s="634"/>
      <c r="AH107" s="628"/>
      <c r="AI107" s="628"/>
      <c r="AJ107" s="525"/>
      <c r="AK107" s="607"/>
      <c r="AL107" s="525"/>
      <c r="AM107" s="525"/>
      <c r="AN107" s="525"/>
      <c r="AO107" s="525"/>
      <c r="AP107" s="525"/>
      <c r="AQ107" s="642"/>
      <c r="AR107" s="525"/>
      <c r="AS107" s="525"/>
      <c r="AT107" s="525"/>
      <c r="AU107" s="525"/>
      <c r="AV107" s="525"/>
      <c r="AW107" s="525"/>
      <c r="AX107" s="528"/>
      <c r="AY107" s="606"/>
      <c r="AZ107" s="525"/>
      <c r="BA107" s="525"/>
      <c r="BB107" s="525"/>
      <c r="BC107" s="525"/>
      <c r="BD107" s="525"/>
      <c r="BE107" s="525"/>
      <c r="BF107" s="525"/>
      <c r="BG107" s="525"/>
      <c r="BH107" s="544"/>
      <c r="BI107" s="525"/>
      <c r="BJ107" s="608"/>
      <c r="BK107" s="528">
        <f>SUM(AY107:BJ107)</f>
        <v>0</v>
      </c>
      <c r="BL107" s="533"/>
      <c r="BM107" s="533"/>
      <c r="BN107" s="535"/>
      <c r="BO107" s="525"/>
      <c r="BP107" s="525"/>
      <c r="BQ107" s="526"/>
      <c r="BR107" s="525"/>
      <c r="BS107" s="544"/>
      <c r="BT107" s="525"/>
      <c r="BU107" s="533"/>
      <c r="BV107" s="533"/>
      <c r="BW107" s="618"/>
      <c r="BX107" s="528">
        <f t="shared" si="15"/>
        <v>0</v>
      </c>
      <c r="BY107" s="525"/>
      <c r="BZ107" s="525"/>
      <c r="CA107" s="525"/>
      <c r="CB107" s="525"/>
      <c r="CC107" s="525"/>
      <c r="CD107" s="525"/>
      <c r="CE107" s="525"/>
      <c r="CF107" s="525"/>
      <c r="CG107" s="525"/>
      <c r="CH107" s="525"/>
      <c r="CI107" s="525"/>
      <c r="CJ107" s="525"/>
      <c r="CK107" s="528">
        <f t="shared" si="12"/>
        <v>0</v>
      </c>
      <c r="CL107" s="526"/>
      <c r="CM107" s="525"/>
      <c r="CN107" s="526"/>
      <c r="CO107" s="525"/>
      <c r="CP107" s="527"/>
      <c r="CQ107" s="527"/>
      <c r="CR107" s="527"/>
      <c r="CS107" s="527"/>
      <c r="CT107" s="527"/>
      <c r="CU107" s="527"/>
      <c r="CV107" s="527"/>
      <c r="CW107" s="527"/>
      <c r="CX107" s="528">
        <f t="shared" si="16"/>
        <v>0</v>
      </c>
      <c r="CY107" s="611"/>
      <c r="DK107" s="519">
        <f t="shared" si="17"/>
        <v>0</v>
      </c>
      <c r="DX107" s="519">
        <f t="shared" si="18"/>
        <v>0</v>
      </c>
    </row>
    <row r="108" spans="2:128" ht="15">
      <c r="C108" s="538"/>
      <c r="D108" s="538"/>
      <c r="E108" s="538"/>
      <c r="F108" s="538"/>
      <c r="G108" s="538"/>
      <c r="H108" s="538"/>
      <c r="I108" s="538"/>
      <c r="J108" s="538"/>
      <c r="K108" s="538"/>
      <c r="L108" s="538"/>
      <c r="M108" s="538"/>
      <c r="N108" s="538"/>
      <c r="O108" s="514"/>
      <c r="P108" s="623"/>
      <c r="Q108" s="623"/>
      <c r="R108" s="623"/>
      <c r="S108" s="623"/>
      <c r="T108" s="623"/>
      <c r="U108" s="623"/>
      <c r="V108" s="534"/>
      <c r="W108" s="544"/>
      <c r="X108" s="544"/>
      <c r="Y108" s="623"/>
      <c r="Z108" s="534"/>
      <c r="AA108" s="534"/>
      <c r="AB108" s="605"/>
      <c r="AC108" s="606"/>
      <c r="AD108" s="525"/>
      <c r="AE108" s="630"/>
      <c r="AF108" s="525"/>
      <c r="AG108" s="634"/>
      <c r="AH108" s="628"/>
      <c r="AI108" s="628"/>
      <c r="AJ108" s="525"/>
      <c r="AK108" s="607"/>
      <c r="AL108" s="525"/>
      <c r="AM108" s="525"/>
      <c r="AN108" s="525"/>
      <c r="AO108" s="525"/>
      <c r="AP108" s="525"/>
      <c r="AQ108" s="642"/>
      <c r="AR108" s="525"/>
      <c r="AS108" s="525"/>
      <c r="AT108" s="525"/>
      <c r="AU108" s="525"/>
      <c r="AV108" s="525"/>
      <c r="AW108" s="525"/>
      <c r="AX108" s="528"/>
      <c r="AY108" s="606"/>
      <c r="AZ108" s="525"/>
      <c r="BA108" s="525"/>
      <c r="BB108" s="525"/>
      <c r="BC108" s="525"/>
      <c r="BD108" s="525"/>
      <c r="BE108" s="525"/>
      <c r="BF108" s="525"/>
      <c r="BG108" s="525"/>
      <c r="BH108" s="544"/>
      <c r="BI108" s="525"/>
      <c r="BJ108" s="608"/>
      <c r="BK108" s="528"/>
      <c r="BL108" s="533"/>
      <c r="BM108" s="533"/>
      <c r="BN108" s="535"/>
      <c r="BO108" s="525"/>
      <c r="BP108" s="525"/>
      <c r="BQ108" s="526"/>
      <c r="BR108" s="525"/>
      <c r="BS108" s="544"/>
      <c r="BT108" s="525"/>
      <c r="BU108" s="533"/>
      <c r="BV108" s="533"/>
      <c r="BW108" s="618"/>
      <c r="BX108" s="528"/>
      <c r="BY108" s="525"/>
      <c r="BZ108" s="525"/>
      <c r="CA108" s="525"/>
      <c r="CB108" s="525"/>
      <c r="CC108" s="525"/>
      <c r="CD108" s="525"/>
      <c r="CE108" s="525"/>
      <c r="CF108" s="525"/>
      <c r="CG108" s="525"/>
      <c r="CH108" s="525"/>
      <c r="CI108" s="525"/>
      <c r="CJ108" s="525"/>
      <c r="CK108" s="528"/>
      <c r="CL108" s="526"/>
      <c r="CM108" s="525"/>
      <c r="CN108" s="526"/>
      <c r="CO108" s="525"/>
      <c r="CP108" s="782"/>
      <c r="CQ108" s="527"/>
      <c r="CR108" s="527"/>
      <c r="CS108" s="527"/>
      <c r="CT108" s="527"/>
      <c r="CU108" s="527"/>
      <c r="CV108" s="527"/>
      <c r="CW108" s="527"/>
      <c r="CX108" s="528">
        <f t="shared" si="16"/>
        <v>0</v>
      </c>
      <c r="CY108" s="611"/>
      <c r="DK108" s="519"/>
      <c r="DX108" s="519"/>
    </row>
    <row r="109" spans="2:128" ht="15">
      <c r="B109" s="560"/>
      <c r="C109" s="538"/>
      <c r="D109" s="538"/>
      <c r="E109" s="538"/>
      <c r="F109" s="538"/>
      <c r="G109" s="538"/>
      <c r="H109" s="538"/>
      <c r="I109" s="538"/>
      <c r="J109" s="538"/>
      <c r="K109" s="538"/>
      <c r="L109" s="538"/>
      <c r="M109" s="538"/>
      <c r="N109" s="538"/>
      <c r="O109" s="514">
        <f t="shared" si="9"/>
        <v>0</v>
      </c>
      <c r="P109" s="623"/>
      <c r="Q109" s="623"/>
      <c r="R109" s="623"/>
      <c r="S109" s="623"/>
      <c r="T109" s="623"/>
      <c r="U109" s="623"/>
      <c r="V109" s="534"/>
      <c r="W109" s="544"/>
      <c r="X109" s="623"/>
      <c r="Y109" s="623"/>
      <c r="Z109" s="525"/>
      <c r="AA109" s="534"/>
      <c r="AB109" s="605"/>
      <c r="AC109" s="606"/>
      <c r="AD109" s="525"/>
      <c r="AE109" s="630"/>
      <c r="AF109" s="525"/>
      <c r="AG109" s="634"/>
      <c r="AH109" s="617"/>
      <c r="AI109" s="634"/>
      <c r="AJ109" s="628"/>
      <c r="AK109" s="607"/>
      <c r="AL109" s="628"/>
      <c r="AM109" s="628"/>
      <c r="AN109" s="628"/>
      <c r="AO109" s="628"/>
      <c r="AP109" s="525"/>
      <c r="AQ109" s="525"/>
      <c r="AR109" s="525"/>
      <c r="AS109" s="525"/>
      <c r="AT109" s="525"/>
      <c r="AU109" s="525"/>
      <c r="AV109" s="525"/>
      <c r="AW109" s="525"/>
      <c r="AX109" s="528"/>
      <c r="AY109" s="606"/>
      <c r="AZ109" s="525"/>
      <c r="BA109" s="525"/>
      <c r="BB109" s="525"/>
      <c r="BC109" s="525"/>
      <c r="BD109" s="525"/>
      <c r="BE109" s="525"/>
      <c r="BF109" s="525"/>
      <c r="BG109" s="525"/>
      <c r="BH109" s="525"/>
      <c r="BI109" s="525"/>
      <c r="BJ109" s="608"/>
      <c r="BK109" s="528"/>
      <c r="BL109" s="614"/>
      <c r="BM109" s="533"/>
      <c r="BN109" s="535"/>
      <c r="BO109" s="533"/>
      <c r="BP109" s="533"/>
      <c r="BQ109" s="535"/>
      <c r="BR109" s="533"/>
      <c r="BS109" s="533"/>
      <c r="BT109" s="533"/>
      <c r="BU109" s="533"/>
      <c r="BV109" s="533"/>
      <c r="BW109" s="618"/>
      <c r="BX109" s="528">
        <f t="shared" si="15"/>
        <v>0</v>
      </c>
      <c r="BY109" s="525"/>
      <c r="BZ109" s="525"/>
      <c r="CA109" s="525"/>
      <c r="CB109" s="525"/>
      <c r="CC109" s="525"/>
      <c r="CD109" s="525"/>
      <c r="CE109" s="525"/>
      <c r="CF109" s="525"/>
      <c r="CG109" s="525"/>
      <c r="CH109" s="525"/>
      <c r="CI109" s="525"/>
      <c r="CJ109" s="525"/>
      <c r="CK109" s="528">
        <f t="shared" ref="CK109" si="30">SUM(BY109:CJ109)</f>
        <v>0</v>
      </c>
      <c r="CL109" s="526"/>
      <c r="CM109" s="525"/>
      <c r="CN109" s="526"/>
      <c r="CO109" s="525"/>
      <c r="CP109" s="527"/>
      <c r="CQ109" s="527"/>
      <c r="CR109" s="527"/>
      <c r="CS109" s="527"/>
      <c r="CT109" s="527"/>
      <c r="CU109" s="527"/>
      <c r="CV109" s="527"/>
      <c r="CW109" s="527"/>
      <c r="CX109" s="528">
        <f t="shared" si="16"/>
        <v>0</v>
      </c>
      <c r="CY109" s="611"/>
      <c r="DK109" s="519">
        <f t="shared" si="17"/>
        <v>0</v>
      </c>
      <c r="DX109" s="519">
        <f t="shared" si="18"/>
        <v>0</v>
      </c>
    </row>
    <row r="110" spans="2:128" ht="15">
      <c r="C110" s="538"/>
      <c r="D110" s="538"/>
      <c r="E110" s="538"/>
      <c r="F110" s="538"/>
      <c r="G110" s="538"/>
      <c r="H110" s="538"/>
      <c r="I110" s="538"/>
      <c r="J110" s="538"/>
      <c r="K110" s="538"/>
      <c r="L110" s="538"/>
      <c r="M110" s="538"/>
      <c r="N110" s="538"/>
      <c r="O110" s="514">
        <f t="shared" si="9"/>
        <v>0</v>
      </c>
      <c r="P110" s="623"/>
      <c r="Q110" s="623"/>
      <c r="R110" s="623"/>
      <c r="S110" s="623"/>
      <c r="T110" s="623"/>
      <c r="U110" s="623"/>
      <c r="V110" s="534"/>
      <c r="W110" s="544"/>
      <c r="X110" s="623"/>
      <c r="Y110" s="623"/>
      <c r="Z110" s="525"/>
      <c r="AA110" s="534"/>
      <c r="AB110" s="605">
        <f t="shared" si="10"/>
        <v>0</v>
      </c>
      <c r="AC110" s="606"/>
      <c r="AD110" s="525"/>
      <c r="AE110" s="630"/>
      <c r="AF110" s="525"/>
      <c r="AG110" s="630"/>
      <c r="AH110" s="544"/>
      <c r="AI110" s="634"/>
      <c r="AJ110" s="628"/>
      <c r="AK110" s="607">
        <f t="shared" si="13"/>
        <v>0</v>
      </c>
      <c r="AL110" s="628"/>
      <c r="AM110" s="634"/>
      <c r="AN110" s="628"/>
      <c r="AO110" s="628"/>
      <c r="AP110" s="525"/>
      <c r="AQ110" s="525"/>
      <c r="AR110" s="525"/>
      <c r="AS110" s="525"/>
      <c r="AT110" s="534"/>
      <c r="AU110" s="534"/>
      <c r="AV110" s="534"/>
      <c r="AW110" s="534"/>
      <c r="AX110" s="528">
        <f>SUM(AL110:AW110)</f>
        <v>0</v>
      </c>
      <c r="AY110" s="613"/>
      <c r="AZ110" s="533"/>
      <c r="BA110" s="525"/>
      <c r="BB110" s="534"/>
      <c r="BC110" s="525"/>
      <c r="BD110" s="525"/>
      <c r="BE110" s="525"/>
      <c r="BF110" s="525"/>
      <c r="BG110" s="534"/>
      <c r="BH110" s="525"/>
      <c r="BI110" s="525"/>
      <c r="BJ110" s="534"/>
      <c r="BK110" s="528">
        <f>SUM(AY110:BJ110)</f>
        <v>0</v>
      </c>
      <c r="BL110" s="614"/>
      <c r="BM110" s="534"/>
      <c r="BN110" s="644"/>
      <c r="BO110" s="534"/>
      <c r="BP110" s="533"/>
      <c r="BQ110" s="535"/>
      <c r="BR110" s="644"/>
      <c r="BS110" s="533"/>
      <c r="BT110" s="533"/>
      <c r="BU110" s="533"/>
      <c r="BV110" s="644"/>
      <c r="BW110" s="618"/>
      <c r="BX110" s="528">
        <f t="shared" si="15"/>
        <v>0</v>
      </c>
      <c r="BY110" s="525"/>
      <c r="BZ110" s="525"/>
      <c r="CA110" s="534"/>
      <c r="CB110" s="525"/>
      <c r="CC110" s="534"/>
      <c r="CD110" s="525"/>
      <c r="CE110" s="525"/>
      <c r="CF110" s="525"/>
      <c r="CG110" s="644"/>
      <c r="CH110" s="534"/>
      <c r="CI110" s="534"/>
      <c r="CJ110" s="534"/>
      <c r="CK110" s="528">
        <f t="shared" ref="CK110:CK112" si="31">SUM(BY110:CJ110)</f>
        <v>0</v>
      </c>
      <c r="CL110" s="526"/>
      <c r="CM110" s="525"/>
      <c r="CN110" s="615"/>
      <c r="CO110" s="525"/>
      <c r="CP110" s="536"/>
      <c r="CQ110" s="527"/>
      <c r="CR110" s="527"/>
      <c r="CS110" s="527"/>
      <c r="CT110" s="610"/>
      <c r="CU110" s="527"/>
      <c r="CV110" s="527"/>
      <c r="CW110" s="527"/>
      <c r="CX110" s="528">
        <f t="shared" ref="CX110" si="32">SUM(CL110:CW110)</f>
        <v>0</v>
      </c>
      <c r="CY110" s="611"/>
      <c r="DK110" s="519">
        <f t="shared" ref="DK110:DK112" si="33">SUM(CY110:DJ110)</f>
        <v>0</v>
      </c>
      <c r="DX110" s="519">
        <f t="shared" ref="DX110:DX112" si="34">SUM(DL110:DW110)</f>
        <v>0</v>
      </c>
    </row>
    <row r="111" spans="2:128" ht="15">
      <c r="C111" s="512"/>
      <c r="D111" s="538"/>
      <c r="E111" s="538"/>
      <c r="F111" s="538"/>
      <c r="G111" s="538"/>
      <c r="H111" s="538"/>
      <c r="I111" s="538"/>
      <c r="J111" s="538"/>
      <c r="K111" s="538"/>
      <c r="L111" s="538"/>
      <c r="M111" s="538"/>
      <c r="N111" s="538"/>
      <c r="O111" s="514">
        <f t="shared" si="9"/>
        <v>0</v>
      </c>
      <c r="P111" s="623"/>
      <c r="Q111" s="623"/>
      <c r="R111" s="623"/>
      <c r="S111" s="623"/>
      <c r="T111" s="623"/>
      <c r="U111" s="623"/>
      <c r="V111" s="534"/>
      <c r="W111" s="544"/>
      <c r="X111" s="623"/>
      <c r="Y111" s="623"/>
      <c r="Z111" s="525"/>
      <c r="AA111" s="534"/>
      <c r="AB111" s="605">
        <f t="shared" si="10"/>
        <v>0</v>
      </c>
      <c r="AC111" s="606"/>
      <c r="AD111" s="525"/>
      <c r="AE111" s="630"/>
      <c r="AF111" s="544"/>
      <c r="AG111" s="634"/>
      <c r="AH111" s="617"/>
      <c r="AI111" s="634"/>
      <c r="AJ111" s="628"/>
      <c r="AK111" s="607">
        <f t="shared" si="13"/>
        <v>0</v>
      </c>
      <c r="AL111" s="628"/>
      <c r="AM111" s="634"/>
      <c r="AN111" s="628"/>
      <c r="AO111" s="628"/>
      <c r="AP111" s="525"/>
      <c r="AQ111" s="525"/>
      <c r="AR111" s="525"/>
      <c r="AS111" s="525"/>
      <c r="AT111" s="525"/>
      <c r="AU111" s="525"/>
      <c r="AV111" s="525"/>
      <c r="AW111" s="525"/>
      <c r="AX111" s="528">
        <f t="shared" si="23"/>
        <v>0</v>
      </c>
      <c r="AY111" s="606"/>
      <c r="AZ111" s="525"/>
      <c r="BA111" s="525"/>
      <c r="BB111" s="525"/>
      <c r="BC111" s="525"/>
      <c r="BD111" s="525"/>
      <c r="BE111" s="525"/>
      <c r="BF111" s="525"/>
      <c r="BG111" s="525"/>
      <c r="BH111" s="525"/>
      <c r="BI111" s="525"/>
      <c r="BJ111" s="608"/>
      <c r="BK111" s="528">
        <f t="shared" si="19"/>
        <v>0</v>
      </c>
      <c r="BL111" s="606"/>
      <c r="BM111" s="525"/>
      <c r="BN111" s="526"/>
      <c r="BO111" s="525"/>
      <c r="BP111" s="525"/>
      <c r="BQ111" s="526"/>
      <c r="BR111" s="525"/>
      <c r="BS111" s="525"/>
      <c r="BT111" s="525"/>
      <c r="BU111" s="525"/>
      <c r="BV111" s="525"/>
      <c r="BW111" s="608"/>
      <c r="BX111" s="528">
        <f t="shared" si="15"/>
        <v>0</v>
      </c>
      <c r="BY111" s="525"/>
      <c r="BZ111" s="525"/>
      <c r="CA111" s="525"/>
      <c r="CB111" s="525"/>
      <c r="CC111" s="525"/>
      <c r="CD111" s="525"/>
      <c r="CE111" s="525"/>
      <c r="CF111" s="525"/>
      <c r="CG111" s="525"/>
      <c r="CH111" s="525"/>
      <c r="CI111" s="525"/>
      <c r="CJ111" s="525"/>
      <c r="CK111" s="528">
        <f t="shared" si="31"/>
        <v>0</v>
      </c>
      <c r="CL111" s="526"/>
      <c r="CM111" s="525"/>
      <c r="CN111" s="526"/>
      <c r="CO111" s="525"/>
      <c r="CP111" s="527"/>
      <c r="CQ111" s="527"/>
      <c r="CR111" s="527"/>
      <c r="CS111" s="527"/>
      <c r="CT111" s="527"/>
      <c r="CU111" s="527"/>
      <c r="CV111" s="527"/>
      <c r="CW111" s="527"/>
      <c r="CX111" s="528">
        <f t="shared" ref="CX111:CX112" si="35">SUM(CL111:CW111)</f>
        <v>0</v>
      </c>
      <c r="CY111" s="611"/>
      <c r="DK111" s="519">
        <f t="shared" si="33"/>
        <v>0</v>
      </c>
      <c r="DX111" s="519">
        <f t="shared" si="34"/>
        <v>0</v>
      </c>
    </row>
    <row r="112" spans="2:128" ht="15">
      <c r="B112" s="560"/>
      <c r="C112" s="538">
        <v>1000</v>
      </c>
      <c r="D112" s="538"/>
      <c r="E112" s="538"/>
      <c r="F112" s="538"/>
      <c r="G112" s="538"/>
      <c r="H112" s="538"/>
      <c r="I112" s="538"/>
      <c r="J112" s="538"/>
      <c r="K112" s="538"/>
      <c r="L112" s="538"/>
      <c r="M112" s="538"/>
      <c r="N112" s="538"/>
      <c r="O112" s="580"/>
      <c r="P112" s="623"/>
      <c r="Q112" s="623"/>
      <c r="R112" s="623"/>
      <c r="S112" s="623"/>
      <c r="T112" s="623"/>
      <c r="U112" s="623"/>
      <c r="V112" s="534"/>
      <c r="W112" s="525"/>
      <c r="X112" s="624"/>
      <c r="Y112" s="624"/>
      <c r="Z112" s="624"/>
      <c r="AA112" s="624"/>
      <c r="AB112" s="645">
        <f t="shared" si="10"/>
        <v>0</v>
      </c>
      <c r="AC112" s="525"/>
      <c r="AD112" s="628"/>
      <c r="AE112" s="628"/>
      <c r="AF112" s="544"/>
      <c r="AG112" s="525"/>
      <c r="AH112" s="628"/>
      <c r="AI112" s="628"/>
      <c r="AJ112" s="628"/>
      <c r="AK112" s="645">
        <f t="shared" si="13"/>
        <v>0</v>
      </c>
      <c r="AL112" s="628"/>
      <c r="AM112" s="628"/>
      <c r="AN112" s="628"/>
      <c r="AO112" s="628"/>
      <c r="AP112" s="525"/>
      <c r="AQ112" s="525"/>
      <c r="AR112" s="525"/>
      <c r="AS112" s="525"/>
      <c r="AT112" s="525"/>
      <c r="AU112" s="525"/>
      <c r="AV112" s="525"/>
      <c r="AW112" s="525"/>
      <c r="AX112" s="527"/>
      <c r="AY112" s="525"/>
      <c r="AZ112" s="525"/>
      <c r="BA112" s="525"/>
      <c r="BB112" s="525"/>
      <c r="BC112" s="525"/>
      <c r="BD112" s="525"/>
      <c r="BE112" s="525"/>
      <c r="BF112" s="525"/>
      <c r="BG112" s="525"/>
      <c r="BH112" s="525"/>
      <c r="BI112" s="525"/>
      <c r="BJ112" s="525"/>
      <c r="BK112" s="527">
        <f>SUM(AY112:BJ112)</f>
        <v>0</v>
      </c>
      <c r="BL112" s="525"/>
      <c r="BM112" s="525"/>
      <c r="BN112" s="526"/>
      <c r="BO112" s="525"/>
      <c r="BP112" s="525"/>
      <c r="BQ112" s="526"/>
      <c r="BR112" s="525"/>
      <c r="BS112" s="525"/>
      <c r="BT112" s="525"/>
      <c r="BU112" s="525"/>
      <c r="BV112" s="525"/>
      <c r="BW112" s="525"/>
      <c r="BX112" s="527">
        <f t="shared" si="15"/>
        <v>0</v>
      </c>
      <c r="BY112" s="525"/>
      <c r="BZ112" s="525"/>
      <c r="CA112" s="525"/>
      <c r="CB112" s="525"/>
      <c r="CC112" s="525"/>
      <c r="CD112" s="525"/>
      <c r="CE112" s="525"/>
      <c r="CF112" s="525"/>
      <c r="CG112" s="525"/>
      <c r="CH112" s="525"/>
      <c r="CI112" s="525"/>
      <c r="CJ112" s="525"/>
      <c r="CK112" s="527">
        <f t="shared" si="31"/>
        <v>0</v>
      </c>
      <c r="CL112" s="526"/>
      <c r="CM112" s="525"/>
      <c r="CN112" s="526"/>
      <c r="CO112" s="525"/>
      <c r="CP112" s="527"/>
      <c r="CQ112" s="527"/>
      <c r="CR112" s="527"/>
      <c r="CS112" s="527"/>
      <c r="CT112" s="527"/>
      <c r="CU112" s="527"/>
      <c r="CV112" s="527"/>
      <c r="CW112" s="527"/>
      <c r="CX112" s="528">
        <f t="shared" si="35"/>
        <v>0</v>
      </c>
      <c r="CY112" s="611"/>
      <c r="DK112" s="582">
        <f t="shared" si="33"/>
        <v>0</v>
      </c>
      <c r="DX112" s="582">
        <f t="shared" si="34"/>
        <v>0</v>
      </c>
    </row>
    <row r="113" spans="1:140" s="481" customFormat="1">
      <c r="A113" s="480"/>
      <c r="B113" s="480"/>
      <c r="C113" s="480"/>
      <c r="D113" s="480"/>
      <c r="E113" s="480"/>
      <c r="F113" s="480"/>
      <c r="G113" s="480"/>
      <c r="H113" s="480"/>
      <c r="I113" s="480"/>
      <c r="J113" s="480"/>
      <c r="K113" s="480"/>
      <c r="L113" s="480"/>
      <c r="M113" s="480"/>
      <c r="N113" s="480"/>
      <c r="O113" s="480"/>
      <c r="P113" s="480"/>
      <c r="Q113" s="480"/>
      <c r="R113" s="480"/>
      <c r="S113" s="480"/>
      <c r="T113" s="480"/>
      <c r="U113" s="480"/>
      <c r="V113" s="480"/>
      <c r="W113" s="480"/>
      <c r="X113" s="480"/>
      <c r="Y113" s="480"/>
      <c r="Z113" s="480"/>
      <c r="AA113" s="480"/>
      <c r="AD113" s="480"/>
      <c r="AE113" s="480"/>
      <c r="AF113" s="480"/>
      <c r="AG113" s="480"/>
      <c r="AH113" s="480"/>
      <c r="AI113" s="480"/>
      <c r="AJ113" s="480"/>
      <c r="AK113" s="480"/>
      <c r="AL113" s="480"/>
      <c r="AM113" s="480"/>
      <c r="AN113" s="480"/>
      <c r="AO113" s="480"/>
      <c r="AP113" s="480"/>
      <c r="AQ113" s="480"/>
      <c r="AR113" s="480"/>
      <c r="AS113" s="480"/>
      <c r="AT113" s="480"/>
      <c r="AU113" s="480"/>
      <c r="AV113" s="480"/>
      <c r="AW113" s="480"/>
      <c r="AX113" s="480"/>
      <c r="AY113" s="480"/>
      <c r="AZ113" s="480"/>
      <c r="BA113" s="480"/>
      <c r="BB113" s="480"/>
      <c r="BC113" s="480"/>
      <c r="BD113" s="480"/>
      <c r="BE113" s="480"/>
      <c r="BF113" s="480"/>
      <c r="BG113" s="480"/>
      <c r="BH113" s="480"/>
      <c r="BI113" s="480"/>
      <c r="BJ113" s="480"/>
      <c r="BK113" s="480"/>
      <c r="BL113" s="480"/>
      <c r="BM113" s="480"/>
      <c r="BN113" s="480"/>
      <c r="BO113" s="480"/>
      <c r="BP113" s="480"/>
      <c r="BQ113" s="480"/>
      <c r="BR113" s="480"/>
      <c r="BS113" s="480"/>
      <c r="BT113" s="480"/>
      <c r="BU113" s="480"/>
      <c r="BV113" s="480"/>
      <c r="BW113" s="480"/>
      <c r="BX113" s="480"/>
      <c r="BY113" s="480"/>
      <c r="BZ113" s="480"/>
      <c r="CA113" s="480"/>
      <c r="CB113" s="480"/>
      <c r="CC113" s="480"/>
      <c r="CD113" s="480"/>
      <c r="CE113" s="480"/>
      <c r="CF113" s="480"/>
      <c r="CG113" s="480"/>
      <c r="CH113" s="480"/>
      <c r="CI113" s="480"/>
      <c r="CJ113" s="480"/>
      <c r="CK113" s="482"/>
      <c r="CL113" s="480"/>
      <c r="CM113" s="480"/>
      <c r="CN113" s="480"/>
      <c r="CO113" s="480"/>
      <c r="CP113" s="480"/>
      <c r="CQ113" s="480"/>
      <c r="CR113" s="480"/>
      <c r="CS113" s="480"/>
      <c r="CT113" s="480"/>
      <c r="CU113" s="480"/>
      <c r="CV113" s="480"/>
      <c r="CW113" s="480"/>
      <c r="CX113" s="482"/>
      <c r="CY113" s="480"/>
      <c r="CZ113" s="480"/>
      <c r="DA113" s="480"/>
      <c r="DB113" s="480"/>
      <c r="DC113" s="480"/>
      <c r="DD113" s="480"/>
      <c r="DE113" s="480"/>
      <c r="DF113" s="480"/>
      <c r="DG113" s="480"/>
      <c r="DH113" s="480"/>
      <c r="DI113" s="480"/>
      <c r="DJ113" s="480"/>
      <c r="DK113" s="482"/>
      <c r="DL113" s="480"/>
      <c r="DM113" s="480"/>
      <c r="DN113" s="480"/>
      <c r="DO113" s="480"/>
      <c r="DP113" s="480"/>
      <c r="DQ113" s="480"/>
      <c r="DR113" s="480"/>
      <c r="DS113" s="480"/>
      <c r="DT113" s="480"/>
      <c r="DU113" s="480"/>
      <c r="DV113" s="480"/>
      <c r="DW113" s="480"/>
      <c r="DX113" s="482"/>
      <c r="DY113" s="480"/>
      <c r="DZ113" s="480"/>
      <c r="EA113" s="480"/>
      <c r="EB113" s="480"/>
      <c r="EC113" s="480"/>
      <c r="ED113" s="480"/>
      <c r="EE113" s="480"/>
      <c r="EF113" s="480"/>
      <c r="EG113" s="480"/>
      <c r="EH113" s="480"/>
      <c r="EI113" s="480"/>
      <c r="EJ113" s="480"/>
    </row>
    <row r="114" spans="1:140" s="481" customFormat="1">
      <c r="A114" s="480"/>
      <c r="B114" s="480"/>
      <c r="C114" s="480"/>
      <c r="D114" s="480"/>
      <c r="E114" s="480"/>
      <c r="F114" s="480"/>
      <c r="G114" s="480"/>
      <c r="H114" s="480"/>
      <c r="I114" s="480"/>
      <c r="J114" s="480"/>
      <c r="K114" s="480"/>
      <c r="L114" s="480"/>
      <c r="M114" s="480"/>
      <c r="N114" s="480"/>
      <c r="O114" s="480"/>
      <c r="P114" s="480"/>
      <c r="Q114" s="480"/>
      <c r="R114" s="480"/>
      <c r="S114" s="480"/>
      <c r="T114" s="480"/>
      <c r="U114" s="480"/>
      <c r="V114" s="480"/>
      <c r="W114" s="480"/>
      <c r="X114" s="480"/>
      <c r="Y114" s="480"/>
      <c r="Z114" s="480"/>
      <c r="AA114" s="480"/>
      <c r="AD114" s="480"/>
      <c r="AE114" s="480"/>
      <c r="AF114" s="480"/>
      <c r="AG114" s="480"/>
      <c r="AH114" s="480"/>
      <c r="AI114" s="480"/>
      <c r="AJ114" s="480"/>
      <c r="AK114" s="480"/>
      <c r="AL114" s="480"/>
      <c r="AM114" s="480"/>
      <c r="AN114" s="480"/>
      <c r="AO114" s="480"/>
      <c r="AP114" s="480"/>
      <c r="AQ114" s="480"/>
      <c r="AR114" s="480"/>
      <c r="AS114" s="480"/>
      <c r="AT114" s="480"/>
      <c r="AU114" s="480"/>
      <c r="AV114" s="480"/>
      <c r="AW114" s="480"/>
      <c r="AX114" s="480"/>
      <c r="AY114" s="480"/>
      <c r="AZ114" s="480"/>
      <c r="BA114" s="480"/>
      <c r="BB114" s="480"/>
      <c r="BC114" s="480"/>
      <c r="BD114" s="480"/>
      <c r="BE114" s="480"/>
      <c r="BF114" s="480"/>
      <c r="BG114" s="480"/>
      <c r="BH114" s="480"/>
      <c r="BI114" s="480"/>
      <c r="BJ114" s="480"/>
      <c r="BK114" s="480"/>
      <c r="BL114" s="480"/>
      <c r="BM114" s="480"/>
      <c r="BN114" s="480"/>
      <c r="BO114" s="480"/>
      <c r="BP114" s="480"/>
      <c r="BQ114" s="480"/>
      <c r="BR114" s="480"/>
      <c r="BS114" s="480"/>
      <c r="BT114" s="480"/>
      <c r="BU114" s="480"/>
      <c r="BV114" s="480"/>
      <c r="BW114" s="480"/>
      <c r="BX114" s="480"/>
      <c r="BY114" s="480"/>
      <c r="BZ114" s="480"/>
      <c r="CA114" s="480"/>
      <c r="CB114" s="480"/>
      <c r="CC114" s="480"/>
      <c r="CD114" s="480"/>
      <c r="CE114" s="480"/>
      <c r="CF114" s="480"/>
      <c r="CG114" s="480"/>
      <c r="CH114" s="480"/>
      <c r="CI114" s="480"/>
      <c r="CJ114" s="480"/>
      <c r="CK114" s="482"/>
      <c r="CL114" s="480"/>
      <c r="CM114" s="480"/>
      <c r="CN114" s="480"/>
      <c r="CO114" s="480"/>
      <c r="CP114" s="480"/>
      <c r="CQ114" s="480"/>
      <c r="CR114" s="480"/>
      <c r="CS114" s="480"/>
      <c r="CT114" s="480"/>
      <c r="CU114" s="480"/>
      <c r="CV114" s="480"/>
      <c r="CW114" s="480"/>
      <c r="CX114" s="482"/>
      <c r="CY114" s="480"/>
      <c r="CZ114" s="480"/>
      <c r="DA114" s="480"/>
      <c r="DB114" s="480"/>
      <c r="DC114" s="480"/>
      <c r="DD114" s="480"/>
      <c r="DE114" s="480"/>
      <c r="DF114" s="480"/>
      <c r="DG114" s="480"/>
      <c r="DH114" s="480"/>
      <c r="DI114" s="480"/>
      <c r="DJ114" s="480"/>
      <c r="DK114" s="482"/>
      <c r="DL114" s="480"/>
      <c r="DM114" s="480"/>
      <c r="DN114" s="480"/>
      <c r="DO114" s="480"/>
      <c r="DP114" s="480"/>
      <c r="DQ114" s="480"/>
      <c r="DR114" s="480"/>
      <c r="DS114" s="480"/>
      <c r="DT114" s="480"/>
      <c r="DU114" s="480"/>
      <c r="DV114" s="480"/>
      <c r="DW114" s="480"/>
      <c r="DX114" s="482"/>
      <c r="DY114" s="480"/>
      <c r="DZ114" s="480"/>
      <c r="EA114" s="480"/>
      <c r="EB114" s="480"/>
      <c r="EC114" s="480"/>
      <c r="ED114" s="480"/>
      <c r="EE114" s="480"/>
      <c r="EF114" s="480"/>
      <c r="EG114" s="480"/>
      <c r="EH114" s="480"/>
      <c r="EI114" s="480"/>
      <c r="EJ114" s="480"/>
    </row>
    <row r="115" spans="1:140" s="481" customFormat="1">
      <c r="A115" s="480"/>
      <c r="B115" s="480"/>
      <c r="C115" s="480"/>
      <c r="D115" s="480"/>
      <c r="E115" s="480"/>
      <c r="F115" s="480"/>
      <c r="G115" s="480"/>
      <c r="H115" s="480"/>
      <c r="I115" s="480"/>
      <c r="J115" s="480"/>
      <c r="K115" s="480"/>
      <c r="L115" s="480"/>
      <c r="M115" s="480"/>
      <c r="N115" s="480"/>
      <c r="O115" s="480"/>
      <c r="P115" s="480"/>
      <c r="Q115" s="480"/>
      <c r="R115" s="480"/>
      <c r="S115" s="480"/>
      <c r="T115" s="480"/>
      <c r="U115" s="480"/>
      <c r="V115" s="480"/>
      <c r="W115" s="480"/>
      <c r="X115" s="480"/>
      <c r="Y115" s="480"/>
      <c r="Z115" s="480"/>
      <c r="AA115" s="480"/>
      <c r="AD115" s="480"/>
      <c r="AE115" s="480"/>
      <c r="AF115" s="480"/>
      <c r="AG115" s="480"/>
      <c r="AH115" s="480"/>
      <c r="AI115" s="480"/>
      <c r="AJ115" s="480"/>
      <c r="AK115" s="480"/>
      <c r="AL115" s="480"/>
      <c r="AM115" s="480"/>
      <c r="AN115" s="480"/>
      <c r="AO115" s="480"/>
      <c r="AP115" s="480"/>
      <c r="AQ115" s="480"/>
      <c r="AR115" s="480"/>
      <c r="AS115" s="480"/>
      <c r="AT115" s="480"/>
      <c r="AU115" s="480"/>
      <c r="AV115" s="480"/>
      <c r="AW115" s="480"/>
      <c r="AX115" s="480"/>
      <c r="AY115" s="480"/>
      <c r="AZ115" s="480"/>
      <c r="BA115" s="480"/>
      <c r="BB115" s="480"/>
      <c r="BC115" s="480"/>
      <c r="BD115" s="480"/>
      <c r="BE115" s="480"/>
      <c r="BF115" s="480"/>
      <c r="BG115" s="480"/>
      <c r="BH115" s="480"/>
      <c r="BI115" s="480"/>
      <c r="BJ115" s="480"/>
      <c r="BK115" s="480"/>
      <c r="BL115" s="480"/>
      <c r="BM115" s="480"/>
      <c r="BN115" s="480"/>
      <c r="BO115" s="480"/>
      <c r="BP115" s="480"/>
      <c r="BQ115" s="480"/>
      <c r="BR115" s="480"/>
      <c r="BS115" s="480"/>
      <c r="BT115" s="480"/>
      <c r="BU115" s="480"/>
      <c r="BV115" s="480"/>
      <c r="BW115" s="480"/>
      <c r="BX115" s="480"/>
      <c r="BY115" s="480"/>
      <c r="BZ115" s="480"/>
      <c r="CA115" s="480"/>
      <c r="CB115" s="480"/>
      <c r="CC115" s="480"/>
      <c r="CD115" s="480"/>
      <c r="CE115" s="480"/>
      <c r="CF115" s="480"/>
      <c r="CG115" s="480"/>
      <c r="CH115" s="480"/>
      <c r="CI115" s="480"/>
      <c r="CJ115" s="480"/>
      <c r="CK115" s="482"/>
      <c r="CL115" s="480"/>
      <c r="CM115" s="480"/>
      <c r="CN115" s="480"/>
      <c r="CO115" s="480"/>
      <c r="CP115" s="480"/>
      <c r="CQ115" s="480"/>
      <c r="CR115" s="480"/>
      <c r="CS115" s="480"/>
      <c r="CT115" s="480"/>
      <c r="CU115" s="480"/>
      <c r="CV115" s="480"/>
      <c r="CW115" s="480"/>
      <c r="CX115" s="482"/>
      <c r="CY115" s="480"/>
      <c r="CZ115" s="480"/>
      <c r="DA115" s="480"/>
      <c r="DB115" s="480"/>
      <c r="DC115" s="480"/>
      <c r="DD115" s="480"/>
      <c r="DE115" s="480"/>
      <c r="DF115" s="480"/>
      <c r="DG115" s="480"/>
      <c r="DH115" s="480"/>
      <c r="DI115" s="480"/>
      <c r="DJ115" s="480"/>
      <c r="DK115" s="482"/>
      <c r="DL115" s="480"/>
      <c r="DM115" s="480"/>
      <c r="DN115" s="480"/>
      <c r="DO115" s="480"/>
      <c r="DP115" s="480"/>
      <c r="DQ115" s="480"/>
      <c r="DR115" s="480"/>
      <c r="DS115" s="480"/>
      <c r="DT115" s="480"/>
      <c r="DU115" s="480"/>
      <c r="DV115" s="480"/>
      <c r="DW115" s="480"/>
      <c r="DX115" s="482"/>
      <c r="DY115" s="480"/>
      <c r="DZ115" s="480"/>
      <c r="EA115" s="480"/>
      <c r="EB115" s="480"/>
      <c r="EC115" s="480"/>
      <c r="ED115" s="480"/>
      <c r="EE115" s="480"/>
      <c r="EF115" s="480"/>
      <c r="EG115" s="480"/>
      <c r="EH115" s="480"/>
      <c r="EI115" s="480"/>
      <c r="EJ115" s="480"/>
    </row>
    <row r="116" spans="1:140" s="481" customFormat="1">
      <c r="A116" s="480"/>
      <c r="B116" s="480"/>
      <c r="C116" s="480"/>
      <c r="D116" s="480"/>
      <c r="E116" s="480"/>
      <c r="F116" s="480"/>
      <c r="G116" s="480"/>
      <c r="H116" s="480"/>
      <c r="I116" s="480"/>
      <c r="J116" s="480"/>
      <c r="K116" s="480"/>
      <c r="L116" s="480"/>
      <c r="M116" s="480"/>
      <c r="N116" s="480"/>
      <c r="O116" s="480"/>
      <c r="P116" s="480"/>
      <c r="Q116" s="480"/>
      <c r="R116" s="480"/>
      <c r="S116" s="480"/>
      <c r="T116" s="480"/>
      <c r="U116" s="480"/>
      <c r="V116" s="480"/>
      <c r="W116" s="480"/>
      <c r="X116" s="480"/>
      <c r="Y116" s="480"/>
      <c r="Z116" s="480"/>
      <c r="AA116" s="480"/>
      <c r="AD116" s="480"/>
      <c r="AE116" s="480"/>
      <c r="AF116" s="480"/>
      <c r="AG116" s="480"/>
      <c r="AH116" s="480"/>
      <c r="AI116" s="480"/>
      <c r="AJ116" s="480"/>
      <c r="AK116" s="480"/>
      <c r="AL116" s="480"/>
      <c r="AM116" s="480"/>
      <c r="AN116" s="480"/>
      <c r="AO116" s="480"/>
      <c r="AP116" s="480"/>
      <c r="AQ116" s="480"/>
      <c r="AR116" s="480"/>
      <c r="AS116" s="480"/>
      <c r="AT116" s="480"/>
      <c r="AU116" s="480"/>
      <c r="AV116" s="480"/>
      <c r="AW116" s="480"/>
      <c r="AX116" s="480"/>
      <c r="AY116" s="480"/>
      <c r="AZ116" s="480"/>
      <c r="BA116" s="480"/>
      <c r="BB116" s="480"/>
      <c r="BC116" s="480"/>
      <c r="BD116" s="480"/>
      <c r="BE116" s="480"/>
      <c r="BF116" s="480"/>
      <c r="BG116" s="480"/>
      <c r="BH116" s="480"/>
      <c r="BI116" s="480"/>
      <c r="BJ116" s="480"/>
      <c r="BK116" s="480"/>
      <c r="BL116" s="480"/>
      <c r="BM116" s="480"/>
      <c r="BN116" s="480"/>
      <c r="BO116" s="480"/>
      <c r="BP116" s="480"/>
      <c r="BQ116" s="480"/>
      <c r="BR116" s="480"/>
      <c r="BS116" s="480"/>
      <c r="BT116" s="480"/>
      <c r="BU116" s="480"/>
      <c r="BV116" s="480"/>
      <c r="BW116" s="480"/>
      <c r="BX116" s="480"/>
      <c r="BY116" s="480"/>
      <c r="BZ116" s="480"/>
      <c r="CA116" s="480"/>
      <c r="CB116" s="480"/>
      <c r="CC116" s="480"/>
      <c r="CD116" s="480"/>
      <c r="CE116" s="480"/>
      <c r="CF116" s="480"/>
      <c r="CG116" s="480"/>
      <c r="CH116" s="480"/>
      <c r="CI116" s="480"/>
      <c r="CJ116" s="480"/>
      <c r="CK116" s="482"/>
      <c r="CL116" s="480"/>
      <c r="CM116" s="480"/>
      <c r="CN116" s="480"/>
      <c r="CO116" s="480"/>
      <c r="CP116" s="480"/>
      <c r="CQ116" s="480"/>
      <c r="CR116" s="480"/>
      <c r="CS116" s="480"/>
      <c r="CT116" s="480"/>
      <c r="CU116" s="480"/>
      <c r="CV116" s="480"/>
      <c r="CW116" s="480"/>
      <c r="CX116" s="482"/>
      <c r="CY116" s="480"/>
      <c r="CZ116" s="480"/>
      <c r="DA116" s="480"/>
      <c r="DB116" s="480"/>
      <c r="DC116" s="480"/>
      <c r="DD116" s="480"/>
      <c r="DE116" s="480"/>
      <c r="DF116" s="480"/>
      <c r="DG116" s="480"/>
      <c r="DH116" s="480"/>
      <c r="DI116" s="480"/>
      <c r="DJ116" s="480"/>
      <c r="DK116" s="482"/>
      <c r="DL116" s="480"/>
      <c r="DM116" s="480"/>
      <c r="DN116" s="480"/>
      <c r="DO116" s="480"/>
      <c r="DP116" s="480"/>
      <c r="DQ116" s="480"/>
      <c r="DR116" s="480"/>
      <c r="DS116" s="480"/>
      <c r="DT116" s="480"/>
      <c r="DU116" s="480"/>
      <c r="DV116" s="480"/>
      <c r="DW116" s="480"/>
      <c r="DX116" s="482"/>
      <c r="DY116" s="480"/>
      <c r="DZ116" s="480"/>
      <c r="EA116" s="480"/>
      <c r="EB116" s="480"/>
      <c r="EC116" s="480"/>
      <c r="ED116" s="480"/>
      <c r="EE116" s="480"/>
      <c r="EF116" s="480"/>
      <c r="EG116" s="480"/>
      <c r="EH116" s="480"/>
      <c r="EI116" s="480"/>
      <c r="EJ116" s="480"/>
    </row>
    <row r="117" spans="1:140" s="481" customFormat="1">
      <c r="A117" s="480"/>
      <c r="B117" s="480"/>
      <c r="C117" s="480"/>
      <c r="D117" s="480"/>
      <c r="E117" s="480"/>
      <c r="F117" s="480"/>
      <c r="G117" s="480"/>
      <c r="H117" s="480"/>
      <c r="I117" s="480"/>
      <c r="J117" s="480"/>
      <c r="K117" s="480"/>
      <c r="L117" s="480"/>
      <c r="M117" s="480"/>
      <c r="N117" s="480"/>
      <c r="O117" s="480"/>
      <c r="P117" s="480"/>
      <c r="Q117" s="480"/>
      <c r="R117" s="480"/>
      <c r="S117" s="480"/>
      <c r="T117" s="480"/>
      <c r="U117" s="480"/>
      <c r="V117" s="480"/>
      <c r="W117" s="480"/>
      <c r="X117" s="480"/>
      <c r="Y117" s="480"/>
      <c r="Z117" s="480"/>
      <c r="AA117" s="480"/>
      <c r="AD117" s="480"/>
      <c r="AE117" s="480"/>
      <c r="AF117" s="480"/>
      <c r="AG117" s="480"/>
      <c r="AH117" s="480"/>
      <c r="AI117" s="480"/>
      <c r="AJ117" s="480"/>
      <c r="AK117" s="480"/>
      <c r="AL117" s="480"/>
      <c r="AM117" s="480"/>
      <c r="AN117" s="480"/>
      <c r="AO117" s="480"/>
      <c r="AP117" s="480"/>
      <c r="AQ117" s="480"/>
      <c r="AR117" s="480"/>
      <c r="AS117" s="480"/>
      <c r="AT117" s="480"/>
      <c r="AU117" s="480"/>
      <c r="AV117" s="480"/>
      <c r="AW117" s="480"/>
      <c r="AX117" s="480"/>
      <c r="AY117" s="480"/>
      <c r="AZ117" s="480"/>
      <c r="BA117" s="480"/>
      <c r="BB117" s="480"/>
      <c r="BC117" s="480"/>
      <c r="BD117" s="480"/>
      <c r="BE117" s="480"/>
      <c r="BF117" s="480"/>
      <c r="BG117" s="480"/>
      <c r="BH117" s="480"/>
      <c r="BI117" s="480"/>
      <c r="BJ117" s="480"/>
      <c r="BK117" s="480"/>
      <c r="BL117" s="480"/>
      <c r="BM117" s="480"/>
      <c r="BN117" s="480"/>
      <c r="BO117" s="480"/>
      <c r="BP117" s="480"/>
      <c r="BQ117" s="480"/>
      <c r="BR117" s="480"/>
      <c r="BS117" s="480"/>
      <c r="BT117" s="480"/>
      <c r="BU117" s="480"/>
      <c r="BV117" s="480"/>
      <c r="BW117" s="480"/>
      <c r="BX117" s="480"/>
      <c r="BY117" s="480"/>
      <c r="BZ117" s="480"/>
      <c r="CA117" s="480"/>
      <c r="CB117" s="480"/>
      <c r="CC117" s="480"/>
      <c r="CD117" s="480"/>
      <c r="CE117" s="480"/>
      <c r="CF117" s="480"/>
      <c r="CG117" s="480"/>
      <c r="CH117" s="480"/>
      <c r="CI117" s="480"/>
      <c r="CJ117" s="480"/>
      <c r="CK117" s="482"/>
      <c r="CL117" s="480"/>
      <c r="CM117" s="480"/>
      <c r="CN117" s="480"/>
      <c r="CO117" s="480"/>
      <c r="CP117" s="480"/>
      <c r="CQ117" s="480"/>
      <c r="CR117" s="480"/>
      <c r="CS117" s="480"/>
      <c r="CT117" s="480"/>
      <c r="CU117" s="480"/>
      <c r="CV117" s="480"/>
      <c r="CW117" s="480"/>
      <c r="CX117" s="482"/>
      <c r="CY117" s="480"/>
      <c r="CZ117" s="480"/>
      <c r="DA117" s="480"/>
      <c r="DB117" s="480"/>
      <c r="DC117" s="480"/>
      <c r="DD117" s="480"/>
      <c r="DE117" s="480"/>
      <c r="DF117" s="480"/>
      <c r="DG117" s="480"/>
      <c r="DH117" s="480"/>
      <c r="DI117" s="480"/>
      <c r="DJ117" s="480"/>
      <c r="DK117" s="482"/>
      <c r="DL117" s="480"/>
      <c r="DM117" s="480"/>
      <c r="DN117" s="480"/>
      <c r="DO117" s="480"/>
      <c r="DP117" s="480"/>
      <c r="DQ117" s="480"/>
      <c r="DR117" s="480"/>
      <c r="DS117" s="480"/>
      <c r="DT117" s="480"/>
      <c r="DU117" s="480"/>
      <c r="DV117" s="480"/>
      <c r="DW117" s="480"/>
      <c r="DX117" s="482"/>
      <c r="DY117" s="480"/>
      <c r="DZ117" s="480"/>
      <c r="EA117" s="480"/>
      <c r="EB117" s="480"/>
      <c r="EC117" s="480"/>
      <c r="ED117" s="480"/>
      <c r="EE117" s="480"/>
      <c r="EF117" s="480"/>
      <c r="EG117" s="480"/>
      <c r="EH117" s="480"/>
      <c r="EI117" s="480"/>
      <c r="EJ117" s="480"/>
    </row>
    <row r="118" spans="1:140" s="481" customFormat="1">
      <c r="A118" s="480"/>
      <c r="B118" s="480"/>
      <c r="C118" s="480"/>
      <c r="D118" s="480"/>
      <c r="E118" s="480"/>
      <c r="F118" s="480"/>
      <c r="G118" s="480"/>
      <c r="H118" s="480"/>
      <c r="I118" s="480"/>
      <c r="J118" s="480"/>
      <c r="K118" s="480"/>
      <c r="L118" s="480"/>
      <c r="M118" s="480"/>
      <c r="N118" s="480"/>
      <c r="O118" s="480"/>
      <c r="P118" s="480"/>
      <c r="Q118" s="480"/>
      <c r="R118" s="480"/>
      <c r="S118" s="480"/>
      <c r="T118" s="480"/>
      <c r="U118" s="480"/>
      <c r="V118" s="480"/>
      <c r="W118" s="480"/>
      <c r="X118" s="480"/>
      <c r="Y118" s="480"/>
      <c r="Z118" s="480"/>
      <c r="AA118" s="480"/>
      <c r="AD118" s="480"/>
      <c r="AE118" s="480"/>
      <c r="AF118" s="480"/>
      <c r="AG118" s="480"/>
      <c r="AH118" s="480"/>
      <c r="AI118" s="480"/>
      <c r="AJ118" s="480"/>
      <c r="AK118" s="480"/>
      <c r="AL118" s="480"/>
      <c r="AM118" s="480"/>
      <c r="AN118" s="480"/>
      <c r="AO118" s="480"/>
      <c r="AP118" s="480"/>
      <c r="AQ118" s="480"/>
      <c r="AR118" s="480"/>
      <c r="AS118" s="480"/>
      <c r="AT118" s="480"/>
      <c r="AU118" s="480"/>
      <c r="AV118" s="480"/>
      <c r="AW118" s="480"/>
      <c r="AX118" s="480"/>
      <c r="AY118" s="480"/>
      <c r="AZ118" s="480"/>
      <c r="BA118" s="480"/>
      <c r="BB118" s="480"/>
      <c r="BC118" s="480"/>
      <c r="BD118" s="480"/>
      <c r="BE118" s="480"/>
      <c r="BF118" s="480"/>
      <c r="BG118" s="480"/>
      <c r="BH118" s="480"/>
      <c r="BI118" s="480"/>
      <c r="BJ118" s="480"/>
      <c r="BK118" s="480"/>
      <c r="BL118" s="480"/>
      <c r="BM118" s="480"/>
      <c r="BN118" s="480"/>
      <c r="BO118" s="480"/>
      <c r="BP118" s="480"/>
      <c r="BQ118" s="480"/>
      <c r="BR118" s="480"/>
      <c r="BS118" s="480"/>
      <c r="BT118" s="480"/>
      <c r="BU118" s="480"/>
      <c r="BV118" s="480"/>
      <c r="BW118" s="480"/>
      <c r="BX118" s="480"/>
      <c r="BY118" s="480"/>
      <c r="BZ118" s="480"/>
      <c r="CA118" s="480"/>
      <c r="CB118" s="480"/>
      <c r="CC118" s="480"/>
      <c r="CD118" s="480"/>
      <c r="CE118" s="480"/>
      <c r="CF118" s="480"/>
      <c r="CG118" s="480"/>
      <c r="CH118" s="480"/>
      <c r="CI118" s="480"/>
      <c r="CJ118" s="480"/>
      <c r="CK118" s="482"/>
      <c r="CL118" s="480"/>
      <c r="CM118" s="480"/>
      <c r="CN118" s="480"/>
      <c r="CO118" s="480"/>
      <c r="CP118" s="480"/>
      <c r="CQ118" s="480"/>
      <c r="CR118" s="480"/>
      <c r="CS118" s="480"/>
      <c r="CT118" s="480"/>
      <c r="CU118" s="480"/>
      <c r="CV118" s="480"/>
      <c r="CW118" s="480"/>
      <c r="CX118" s="482"/>
      <c r="CY118" s="480"/>
      <c r="CZ118" s="480"/>
      <c r="DA118" s="480"/>
      <c r="DB118" s="480"/>
      <c r="DC118" s="480"/>
      <c r="DD118" s="480"/>
      <c r="DE118" s="480"/>
      <c r="DF118" s="480"/>
      <c r="DG118" s="480"/>
      <c r="DH118" s="480"/>
      <c r="DI118" s="480"/>
      <c r="DJ118" s="480"/>
      <c r="DK118" s="482"/>
      <c r="DL118" s="480"/>
      <c r="DM118" s="480"/>
      <c r="DN118" s="480"/>
      <c r="DO118" s="480"/>
      <c r="DP118" s="480"/>
      <c r="DQ118" s="480"/>
      <c r="DR118" s="480"/>
      <c r="DS118" s="480"/>
      <c r="DT118" s="480"/>
      <c r="DU118" s="480"/>
      <c r="DV118" s="480"/>
      <c r="DW118" s="480"/>
      <c r="DX118" s="482"/>
      <c r="DY118" s="480"/>
      <c r="DZ118" s="480"/>
      <c r="EA118" s="480"/>
      <c r="EB118" s="480"/>
      <c r="EC118" s="480"/>
      <c r="ED118" s="480"/>
      <c r="EE118" s="480"/>
      <c r="EF118" s="480"/>
      <c r="EG118" s="480"/>
      <c r="EH118" s="480"/>
      <c r="EI118" s="480"/>
      <c r="EJ118" s="480"/>
    </row>
    <row r="119" spans="1:140" s="481" customFormat="1">
      <c r="A119" s="480"/>
      <c r="B119" s="480"/>
      <c r="C119" s="480"/>
      <c r="D119" s="480"/>
      <c r="E119" s="480"/>
      <c r="F119" s="480"/>
      <c r="G119" s="480"/>
      <c r="H119" s="480"/>
      <c r="I119" s="480"/>
      <c r="J119" s="480"/>
      <c r="K119" s="480"/>
      <c r="L119" s="480"/>
      <c r="M119" s="480"/>
      <c r="N119" s="480"/>
      <c r="O119" s="480"/>
      <c r="P119" s="480"/>
      <c r="Q119" s="480"/>
      <c r="R119" s="480"/>
      <c r="S119" s="480"/>
      <c r="T119" s="480"/>
      <c r="U119" s="480"/>
      <c r="V119" s="480"/>
      <c r="W119" s="480"/>
      <c r="X119" s="480"/>
      <c r="Y119" s="480"/>
      <c r="Z119" s="480"/>
      <c r="AA119" s="480"/>
      <c r="AD119" s="480"/>
      <c r="AE119" s="480"/>
      <c r="AF119" s="480"/>
      <c r="AG119" s="480"/>
      <c r="AH119" s="480"/>
      <c r="AI119" s="480"/>
      <c r="AJ119" s="480"/>
      <c r="AK119" s="480"/>
      <c r="AL119" s="480"/>
      <c r="AM119" s="480"/>
      <c r="AN119" s="480"/>
      <c r="AO119" s="480"/>
      <c r="AP119" s="480"/>
      <c r="AQ119" s="480"/>
      <c r="AR119" s="480"/>
      <c r="AS119" s="480"/>
      <c r="AT119" s="480"/>
      <c r="AU119" s="480"/>
      <c r="AV119" s="480"/>
      <c r="AW119" s="480"/>
      <c r="AX119" s="480"/>
      <c r="AY119" s="480"/>
      <c r="AZ119" s="480"/>
      <c r="BA119" s="480"/>
      <c r="BB119" s="480"/>
      <c r="BC119" s="480"/>
      <c r="BD119" s="480"/>
      <c r="BE119" s="480"/>
      <c r="BF119" s="480"/>
      <c r="BG119" s="480"/>
      <c r="BH119" s="480"/>
      <c r="BI119" s="480"/>
      <c r="BJ119" s="480"/>
      <c r="BK119" s="480"/>
      <c r="BL119" s="480"/>
      <c r="BM119" s="480"/>
      <c r="BN119" s="480"/>
      <c r="BO119" s="480"/>
      <c r="BP119" s="480"/>
      <c r="BQ119" s="480"/>
      <c r="BR119" s="480"/>
      <c r="BS119" s="480"/>
      <c r="BT119" s="480"/>
      <c r="BU119" s="480"/>
      <c r="BV119" s="480"/>
      <c r="BW119" s="480"/>
      <c r="BX119" s="480"/>
      <c r="BY119" s="480"/>
      <c r="BZ119" s="480"/>
      <c r="CA119" s="480"/>
      <c r="CB119" s="480"/>
      <c r="CC119" s="480"/>
      <c r="CD119" s="480"/>
      <c r="CE119" s="480"/>
      <c r="CF119" s="480"/>
      <c r="CG119" s="480"/>
      <c r="CH119" s="480"/>
      <c r="CI119" s="480"/>
      <c r="CJ119" s="480"/>
      <c r="CK119" s="482"/>
      <c r="CL119" s="480"/>
      <c r="CM119" s="480"/>
      <c r="CN119" s="480"/>
      <c r="CO119" s="480"/>
      <c r="CP119" s="480"/>
      <c r="CQ119" s="480"/>
      <c r="CR119" s="480"/>
      <c r="CS119" s="480"/>
      <c r="CT119" s="480"/>
      <c r="CU119" s="480"/>
      <c r="CV119" s="480"/>
      <c r="CW119" s="480"/>
      <c r="CX119" s="482"/>
      <c r="CY119" s="480"/>
      <c r="CZ119" s="480"/>
      <c r="DA119" s="480"/>
      <c r="DB119" s="480"/>
      <c r="DC119" s="480"/>
      <c r="DD119" s="480"/>
      <c r="DE119" s="480"/>
      <c r="DF119" s="480"/>
      <c r="DG119" s="480"/>
      <c r="DH119" s="480"/>
      <c r="DI119" s="480"/>
      <c r="DJ119" s="480"/>
      <c r="DK119" s="482"/>
      <c r="DL119" s="480"/>
      <c r="DM119" s="480"/>
      <c r="DN119" s="480"/>
      <c r="DO119" s="480"/>
      <c r="DP119" s="480"/>
      <c r="DQ119" s="480"/>
      <c r="DR119" s="480"/>
      <c r="DS119" s="480"/>
      <c r="DT119" s="480"/>
      <c r="DU119" s="480"/>
      <c r="DV119" s="480"/>
      <c r="DW119" s="480"/>
      <c r="DX119" s="482"/>
      <c r="DY119" s="480"/>
      <c r="DZ119" s="480"/>
      <c r="EA119" s="480"/>
      <c r="EB119" s="480"/>
      <c r="EC119" s="480"/>
      <c r="ED119" s="480"/>
      <c r="EE119" s="480"/>
      <c r="EF119" s="480"/>
      <c r="EG119" s="480"/>
      <c r="EH119" s="480"/>
      <c r="EI119" s="480"/>
      <c r="EJ119" s="480"/>
    </row>
    <row r="120" spans="1:140" s="481" customFormat="1">
      <c r="A120" s="480"/>
      <c r="B120" s="480"/>
      <c r="C120" s="480"/>
      <c r="D120" s="480"/>
      <c r="E120" s="480"/>
      <c r="F120" s="480"/>
      <c r="G120" s="480"/>
      <c r="H120" s="480"/>
      <c r="I120" s="480"/>
      <c r="J120" s="480"/>
      <c r="K120" s="480"/>
      <c r="L120" s="480"/>
      <c r="M120" s="480"/>
      <c r="N120" s="480"/>
      <c r="O120" s="480"/>
      <c r="P120" s="480"/>
      <c r="Q120" s="480"/>
      <c r="R120" s="480"/>
      <c r="S120" s="480"/>
      <c r="T120" s="480"/>
      <c r="U120" s="480"/>
      <c r="V120" s="480"/>
      <c r="W120" s="480"/>
      <c r="X120" s="480"/>
      <c r="Y120" s="480"/>
      <c r="Z120" s="480"/>
      <c r="AA120" s="480"/>
      <c r="AD120" s="480"/>
      <c r="AE120" s="480"/>
      <c r="AF120" s="480"/>
      <c r="AG120" s="480"/>
      <c r="AH120" s="480"/>
      <c r="AI120" s="480"/>
      <c r="AJ120" s="480"/>
      <c r="AK120" s="480"/>
      <c r="AL120" s="480"/>
      <c r="AM120" s="480"/>
      <c r="AN120" s="480"/>
      <c r="AO120" s="480"/>
      <c r="AP120" s="480"/>
      <c r="AQ120" s="480"/>
      <c r="AR120" s="480"/>
      <c r="AS120" s="480"/>
      <c r="AT120" s="480"/>
      <c r="AU120" s="480"/>
      <c r="AV120" s="480"/>
      <c r="AW120" s="480"/>
      <c r="AX120" s="480"/>
      <c r="AY120" s="480"/>
      <c r="AZ120" s="480"/>
      <c r="BA120" s="480"/>
      <c r="BB120" s="480"/>
      <c r="BC120" s="480"/>
      <c r="BD120" s="480"/>
      <c r="BE120" s="480"/>
      <c r="BF120" s="480"/>
      <c r="BG120" s="480"/>
      <c r="BH120" s="480"/>
      <c r="BI120" s="480"/>
      <c r="BJ120" s="480"/>
      <c r="BK120" s="480"/>
      <c r="BL120" s="480"/>
      <c r="BM120" s="480"/>
      <c r="BN120" s="480"/>
      <c r="BO120" s="480"/>
      <c r="BP120" s="480"/>
      <c r="BQ120" s="480"/>
      <c r="BR120" s="480"/>
      <c r="BS120" s="480"/>
      <c r="BT120" s="480"/>
      <c r="BU120" s="480"/>
      <c r="BV120" s="480"/>
      <c r="BW120" s="480"/>
      <c r="BX120" s="480"/>
      <c r="BY120" s="480"/>
      <c r="BZ120" s="480"/>
      <c r="CA120" s="480"/>
      <c r="CB120" s="480"/>
      <c r="CC120" s="480"/>
      <c r="CD120" s="480"/>
      <c r="CE120" s="480"/>
      <c r="CF120" s="480"/>
      <c r="CG120" s="480"/>
      <c r="CH120" s="480"/>
      <c r="CI120" s="480"/>
      <c r="CJ120" s="480"/>
      <c r="CK120" s="482"/>
      <c r="CL120" s="480"/>
      <c r="CM120" s="480"/>
      <c r="CN120" s="480"/>
      <c r="CO120" s="480"/>
      <c r="CP120" s="480"/>
      <c r="CQ120" s="480"/>
      <c r="CR120" s="480"/>
      <c r="CS120" s="480"/>
      <c r="CT120" s="480"/>
      <c r="CU120" s="480"/>
      <c r="CV120" s="480"/>
      <c r="CW120" s="480"/>
      <c r="CX120" s="482"/>
      <c r="CY120" s="480"/>
      <c r="CZ120" s="480"/>
      <c r="DA120" s="480"/>
      <c r="DB120" s="480"/>
      <c r="DC120" s="480"/>
      <c r="DD120" s="480"/>
      <c r="DE120" s="480"/>
      <c r="DF120" s="480"/>
      <c r="DG120" s="480"/>
      <c r="DH120" s="480"/>
      <c r="DI120" s="480"/>
      <c r="DJ120" s="480"/>
      <c r="DK120" s="482"/>
      <c r="DL120" s="480"/>
      <c r="DM120" s="480"/>
      <c r="DN120" s="480"/>
      <c r="DO120" s="480"/>
      <c r="DP120" s="480"/>
      <c r="DQ120" s="480"/>
      <c r="DR120" s="480"/>
      <c r="DS120" s="480"/>
      <c r="DT120" s="480"/>
      <c r="DU120" s="480"/>
      <c r="DV120" s="480"/>
      <c r="DW120" s="480"/>
      <c r="DX120" s="482"/>
      <c r="DY120" s="480"/>
      <c r="DZ120" s="480"/>
      <c r="EA120" s="480"/>
      <c r="EB120" s="480"/>
      <c r="EC120" s="480"/>
      <c r="ED120" s="480"/>
      <c r="EE120" s="480"/>
      <c r="EF120" s="480"/>
      <c r="EG120" s="480"/>
      <c r="EH120" s="480"/>
      <c r="EI120" s="480"/>
      <c r="EJ120" s="480"/>
    </row>
    <row r="121" spans="1:140" s="481" customFormat="1">
      <c r="A121" s="480"/>
      <c r="B121" s="480"/>
      <c r="C121" s="480"/>
      <c r="D121" s="480"/>
      <c r="E121" s="480"/>
      <c r="F121" s="480"/>
      <c r="G121" s="480"/>
      <c r="H121" s="480"/>
      <c r="I121" s="480"/>
      <c r="J121" s="480"/>
      <c r="K121" s="480"/>
      <c r="L121" s="480"/>
      <c r="M121" s="480"/>
      <c r="N121" s="480"/>
      <c r="O121" s="480"/>
      <c r="P121" s="480"/>
      <c r="Q121" s="480"/>
      <c r="R121" s="480"/>
      <c r="S121" s="480"/>
      <c r="T121" s="480"/>
      <c r="U121" s="480"/>
      <c r="V121" s="480"/>
      <c r="W121" s="480"/>
      <c r="X121" s="480"/>
      <c r="Y121" s="480"/>
      <c r="Z121" s="480"/>
      <c r="AA121" s="480"/>
      <c r="AD121" s="480"/>
      <c r="AE121" s="480"/>
      <c r="AF121" s="480"/>
      <c r="AG121" s="480"/>
      <c r="AH121" s="480"/>
      <c r="AI121" s="480"/>
      <c r="AJ121" s="480"/>
      <c r="AK121" s="480"/>
      <c r="AL121" s="480"/>
      <c r="AM121" s="480"/>
      <c r="AN121" s="480"/>
      <c r="AO121" s="480"/>
      <c r="AP121" s="480"/>
      <c r="AQ121" s="480"/>
      <c r="AR121" s="480"/>
      <c r="AS121" s="480"/>
      <c r="AT121" s="480"/>
      <c r="AU121" s="480"/>
      <c r="AV121" s="480"/>
      <c r="AW121" s="480"/>
      <c r="AX121" s="480"/>
      <c r="AY121" s="480"/>
      <c r="AZ121" s="480"/>
      <c r="BA121" s="480"/>
      <c r="BB121" s="480"/>
      <c r="BC121" s="480"/>
      <c r="BD121" s="480"/>
      <c r="BE121" s="480"/>
      <c r="BF121" s="480"/>
      <c r="BG121" s="480"/>
      <c r="BH121" s="480"/>
      <c r="BI121" s="480"/>
      <c r="BJ121" s="480"/>
      <c r="BK121" s="480"/>
      <c r="BL121" s="480"/>
      <c r="BM121" s="480"/>
      <c r="BN121" s="480"/>
      <c r="BO121" s="480"/>
      <c r="BP121" s="480"/>
      <c r="BQ121" s="480"/>
      <c r="BR121" s="480"/>
      <c r="BS121" s="480"/>
      <c r="BT121" s="480"/>
      <c r="BU121" s="480"/>
      <c r="BV121" s="480"/>
      <c r="BW121" s="480"/>
      <c r="BX121" s="480"/>
      <c r="BY121" s="480"/>
      <c r="BZ121" s="480"/>
      <c r="CA121" s="480"/>
      <c r="CB121" s="480"/>
      <c r="CC121" s="480"/>
      <c r="CD121" s="480"/>
      <c r="CE121" s="480"/>
      <c r="CF121" s="480"/>
      <c r="CG121" s="480"/>
      <c r="CH121" s="480"/>
      <c r="CI121" s="480"/>
      <c r="CJ121" s="480"/>
      <c r="CK121" s="482"/>
      <c r="CL121" s="480"/>
      <c r="CM121" s="480"/>
      <c r="CN121" s="480"/>
      <c r="CO121" s="480"/>
      <c r="CP121" s="480"/>
      <c r="CQ121" s="480"/>
      <c r="CR121" s="480"/>
      <c r="CS121" s="480"/>
      <c r="CT121" s="480"/>
      <c r="CU121" s="480"/>
      <c r="CV121" s="480"/>
      <c r="CW121" s="480"/>
      <c r="CX121" s="482"/>
      <c r="CY121" s="480"/>
      <c r="CZ121" s="480"/>
      <c r="DA121" s="480"/>
      <c r="DB121" s="480"/>
      <c r="DC121" s="480"/>
      <c r="DD121" s="480"/>
      <c r="DE121" s="480"/>
      <c r="DF121" s="480"/>
      <c r="DG121" s="480"/>
      <c r="DH121" s="480"/>
      <c r="DI121" s="480"/>
      <c r="DJ121" s="480"/>
      <c r="DK121" s="482"/>
      <c r="DL121" s="480"/>
      <c r="DM121" s="480"/>
      <c r="DN121" s="480"/>
      <c r="DO121" s="480"/>
      <c r="DP121" s="480"/>
      <c r="DQ121" s="480"/>
      <c r="DR121" s="480"/>
      <c r="DS121" s="480"/>
      <c r="DT121" s="480"/>
      <c r="DU121" s="480"/>
      <c r="DV121" s="480"/>
      <c r="DW121" s="480"/>
      <c r="DX121" s="482"/>
      <c r="DY121" s="480"/>
      <c r="DZ121" s="480"/>
      <c r="EA121" s="480"/>
      <c r="EB121" s="480"/>
      <c r="EC121" s="480"/>
      <c r="ED121" s="480"/>
      <c r="EE121" s="480"/>
      <c r="EF121" s="480"/>
      <c r="EG121" s="480"/>
      <c r="EH121" s="480"/>
      <c r="EI121" s="480"/>
      <c r="EJ121" s="480"/>
    </row>
    <row r="122" spans="1:140" s="481" customFormat="1">
      <c r="A122" s="480"/>
      <c r="B122" s="480"/>
      <c r="C122" s="480"/>
      <c r="D122" s="480"/>
      <c r="E122" s="480"/>
      <c r="F122" s="480"/>
      <c r="G122" s="480"/>
      <c r="H122" s="480"/>
      <c r="I122" s="480"/>
      <c r="J122" s="480"/>
      <c r="K122" s="480"/>
      <c r="L122" s="480"/>
      <c r="M122" s="480"/>
      <c r="N122" s="480"/>
      <c r="O122" s="480"/>
      <c r="P122" s="480"/>
      <c r="Q122" s="480"/>
      <c r="R122" s="480"/>
      <c r="S122" s="480"/>
      <c r="T122" s="480"/>
      <c r="U122" s="480"/>
      <c r="V122" s="480"/>
      <c r="W122" s="480"/>
      <c r="X122" s="480"/>
      <c r="Y122" s="480"/>
      <c r="Z122" s="480"/>
      <c r="AA122" s="480"/>
      <c r="AD122" s="480"/>
      <c r="AE122" s="480"/>
      <c r="AF122" s="480"/>
      <c r="AG122" s="480"/>
      <c r="AH122" s="480"/>
      <c r="AI122" s="480"/>
      <c r="AJ122" s="480"/>
      <c r="AK122" s="480"/>
      <c r="AL122" s="480"/>
      <c r="AM122" s="480"/>
      <c r="AN122" s="480"/>
      <c r="AO122" s="480"/>
      <c r="AP122" s="480"/>
      <c r="AQ122" s="480"/>
      <c r="AR122" s="480"/>
      <c r="AS122" s="480"/>
      <c r="AT122" s="480"/>
      <c r="AU122" s="480"/>
      <c r="AV122" s="480"/>
      <c r="AW122" s="480"/>
      <c r="AX122" s="480"/>
      <c r="AY122" s="480"/>
      <c r="AZ122" s="480"/>
      <c r="BA122" s="480"/>
      <c r="BB122" s="480"/>
      <c r="BC122" s="480"/>
      <c r="BD122" s="480"/>
      <c r="BE122" s="480"/>
      <c r="BF122" s="480"/>
      <c r="BG122" s="480"/>
      <c r="BH122" s="480"/>
      <c r="BI122" s="480"/>
      <c r="BJ122" s="480"/>
      <c r="BK122" s="480"/>
      <c r="BL122" s="480"/>
      <c r="BM122" s="480"/>
      <c r="BN122" s="480"/>
      <c r="BO122" s="480"/>
      <c r="BP122" s="480"/>
      <c r="BQ122" s="480"/>
      <c r="BR122" s="480"/>
      <c r="BS122" s="480"/>
      <c r="BT122" s="480"/>
      <c r="BU122" s="480"/>
      <c r="BV122" s="480"/>
      <c r="BW122" s="480"/>
      <c r="BX122" s="480"/>
      <c r="BY122" s="480"/>
      <c r="BZ122" s="480"/>
      <c r="CA122" s="480"/>
      <c r="CB122" s="480"/>
      <c r="CC122" s="480"/>
      <c r="CD122" s="480"/>
      <c r="CE122" s="480"/>
      <c r="CF122" s="480"/>
      <c r="CG122" s="480"/>
      <c r="CH122" s="480"/>
      <c r="CI122" s="480"/>
      <c r="CJ122" s="480"/>
      <c r="CK122" s="482"/>
      <c r="CL122" s="480"/>
      <c r="CM122" s="480"/>
      <c r="CN122" s="480"/>
      <c r="CO122" s="480"/>
      <c r="CP122" s="480"/>
      <c r="CQ122" s="480"/>
      <c r="CR122" s="480"/>
      <c r="CS122" s="480"/>
      <c r="CT122" s="480"/>
      <c r="CU122" s="480"/>
      <c r="CV122" s="480"/>
      <c r="CW122" s="480"/>
      <c r="CX122" s="482"/>
      <c r="CY122" s="480"/>
      <c r="CZ122" s="480"/>
      <c r="DA122" s="480"/>
      <c r="DB122" s="480"/>
      <c r="DC122" s="480"/>
      <c r="DD122" s="480"/>
      <c r="DE122" s="480"/>
      <c r="DF122" s="480"/>
      <c r="DG122" s="480"/>
      <c r="DH122" s="480"/>
      <c r="DI122" s="480"/>
      <c r="DJ122" s="480"/>
      <c r="DK122" s="482"/>
      <c r="DL122" s="480"/>
      <c r="DM122" s="480"/>
      <c r="DN122" s="480"/>
      <c r="DO122" s="480"/>
      <c r="DP122" s="480"/>
      <c r="DQ122" s="480"/>
      <c r="DR122" s="480"/>
      <c r="DS122" s="480"/>
      <c r="DT122" s="480"/>
      <c r="DU122" s="480"/>
      <c r="DV122" s="480"/>
      <c r="DW122" s="480"/>
      <c r="DX122" s="482"/>
      <c r="DY122" s="480"/>
      <c r="DZ122" s="480"/>
      <c r="EA122" s="480"/>
      <c r="EB122" s="480"/>
      <c r="EC122" s="480"/>
      <c r="ED122" s="480"/>
      <c r="EE122" s="480"/>
      <c r="EF122" s="480"/>
      <c r="EG122" s="480"/>
      <c r="EH122" s="480"/>
      <c r="EI122" s="480"/>
      <c r="EJ122" s="480"/>
    </row>
    <row r="123" spans="1:140" s="481" customFormat="1">
      <c r="A123" s="480"/>
      <c r="B123" s="480"/>
      <c r="C123" s="480"/>
      <c r="D123" s="480"/>
      <c r="E123" s="480"/>
      <c r="F123" s="480"/>
      <c r="G123" s="480"/>
      <c r="H123" s="480"/>
      <c r="I123" s="480"/>
      <c r="J123" s="480"/>
      <c r="K123" s="480"/>
      <c r="L123" s="480"/>
      <c r="M123" s="480"/>
      <c r="N123" s="480"/>
      <c r="O123" s="480"/>
      <c r="P123" s="480"/>
      <c r="Q123" s="480"/>
      <c r="R123" s="480"/>
      <c r="S123" s="480"/>
      <c r="T123" s="480"/>
      <c r="U123" s="480"/>
      <c r="V123" s="480"/>
      <c r="W123" s="480"/>
      <c r="X123" s="480"/>
      <c r="Y123" s="480"/>
      <c r="Z123" s="480"/>
      <c r="AA123" s="480"/>
      <c r="AD123" s="480"/>
      <c r="AE123" s="480"/>
      <c r="AF123" s="480"/>
      <c r="AG123" s="480"/>
      <c r="AH123" s="480"/>
      <c r="AI123" s="480"/>
      <c r="AJ123" s="480"/>
      <c r="AK123" s="480"/>
      <c r="AL123" s="480"/>
      <c r="AM123" s="480"/>
      <c r="AN123" s="480"/>
      <c r="AO123" s="480"/>
      <c r="AP123" s="480"/>
      <c r="AQ123" s="480"/>
      <c r="AR123" s="480"/>
      <c r="AS123" s="480"/>
      <c r="AT123" s="480"/>
      <c r="AU123" s="480"/>
      <c r="AV123" s="480"/>
      <c r="AW123" s="480"/>
      <c r="AX123" s="480"/>
      <c r="AY123" s="480"/>
      <c r="AZ123" s="480"/>
      <c r="BA123" s="480"/>
      <c r="BB123" s="480"/>
      <c r="BC123" s="480"/>
      <c r="BD123" s="480"/>
      <c r="BE123" s="480"/>
      <c r="BF123" s="480"/>
      <c r="BG123" s="480"/>
      <c r="BH123" s="480"/>
      <c r="BI123" s="480"/>
      <c r="BJ123" s="480"/>
      <c r="BK123" s="480"/>
      <c r="BL123" s="480"/>
      <c r="BM123" s="480"/>
      <c r="BN123" s="480"/>
      <c r="BO123" s="480"/>
      <c r="BP123" s="480"/>
      <c r="BQ123" s="480"/>
      <c r="BR123" s="480"/>
      <c r="BS123" s="480"/>
      <c r="BT123" s="480"/>
      <c r="BU123" s="480"/>
      <c r="BV123" s="480"/>
      <c r="BW123" s="480"/>
      <c r="BX123" s="480"/>
      <c r="BY123" s="480"/>
      <c r="BZ123" s="480"/>
      <c r="CA123" s="480"/>
      <c r="CB123" s="480"/>
      <c r="CC123" s="480"/>
      <c r="CD123" s="480"/>
      <c r="CE123" s="480"/>
      <c r="CF123" s="480"/>
      <c r="CG123" s="480"/>
      <c r="CH123" s="480"/>
      <c r="CI123" s="480"/>
      <c r="CJ123" s="480"/>
      <c r="CK123" s="482"/>
      <c r="CL123" s="480"/>
      <c r="CM123" s="480"/>
      <c r="CN123" s="480"/>
      <c r="CO123" s="480"/>
      <c r="CP123" s="480"/>
      <c r="CQ123" s="480"/>
      <c r="CR123" s="480"/>
      <c r="CS123" s="480"/>
      <c r="CT123" s="480"/>
      <c r="CU123" s="480"/>
      <c r="CV123" s="480"/>
      <c r="CW123" s="480"/>
      <c r="CX123" s="482"/>
      <c r="CY123" s="480"/>
      <c r="CZ123" s="480"/>
      <c r="DA123" s="480"/>
      <c r="DB123" s="480"/>
      <c r="DC123" s="480"/>
      <c r="DD123" s="480"/>
      <c r="DE123" s="480"/>
      <c r="DF123" s="480"/>
      <c r="DG123" s="480"/>
      <c r="DH123" s="480"/>
      <c r="DI123" s="480"/>
      <c r="DJ123" s="480"/>
      <c r="DK123" s="482"/>
      <c r="DL123" s="480"/>
      <c r="DM123" s="480"/>
      <c r="DN123" s="480"/>
      <c r="DO123" s="480"/>
      <c r="DP123" s="480"/>
      <c r="DQ123" s="480"/>
      <c r="DR123" s="480"/>
      <c r="DS123" s="480"/>
      <c r="DT123" s="480"/>
      <c r="DU123" s="480"/>
      <c r="DV123" s="480"/>
      <c r="DW123" s="480"/>
      <c r="DX123" s="482"/>
      <c r="DY123" s="480"/>
      <c r="DZ123" s="480"/>
      <c r="EA123" s="480"/>
      <c r="EB123" s="480"/>
      <c r="EC123" s="480"/>
      <c r="ED123" s="480"/>
      <c r="EE123" s="480"/>
      <c r="EF123" s="480"/>
      <c r="EG123" s="480"/>
      <c r="EH123" s="480"/>
      <c r="EI123" s="480"/>
      <c r="EJ123" s="480"/>
    </row>
    <row r="124" spans="1:140" s="481" customFormat="1">
      <c r="A124" s="480"/>
      <c r="B124" s="480"/>
      <c r="C124" s="480"/>
      <c r="D124" s="480"/>
      <c r="E124" s="480"/>
      <c r="F124" s="480"/>
      <c r="G124" s="480"/>
      <c r="H124" s="480"/>
      <c r="I124" s="480"/>
      <c r="J124" s="480"/>
      <c r="K124" s="480"/>
      <c r="L124" s="480"/>
      <c r="M124" s="480"/>
      <c r="N124" s="480"/>
      <c r="O124" s="480"/>
      <c r="P124" s="480"/>
      <c r="Q124" s="480"/>
      <c r="R124" s="480"/>
      <c r="S124" s="480"/>
      <c r="T124" s="480"/>
      <c r="U124" s="480"/>
      <c r="V124" s="480"/>
      <c r="W124" s="480"/>
      <c r="X124" s="480"/>
      <c r="Y124" s="480"/>
      <c r="Z124" s="480"/>
      <c r="AA124" s="480"/>
      <c r="AD124" s="480"/>
      <c r="AE124" s="480"/>
      <c r="AF124" s="480"/>
      <c r="AG124" s="480"/>
      <c r="AH124" s="480"/>
      <c r="AI124" s="480"/>
      <c r="AJ124" s="480"/>
      <c r="AK124" s="480"/>
      <c r="AL124" s="480"/>
      <c r="AM124" s="480"/>
      <c r="AN124" s="480"/>
      <c r="AO124" s="480"/>
      <c r="AP124" s="480"/>
      <c r="AQ124" s="480"/>
      <c r="AR124" s="480"/>
      <c r="AS124" s="480"/>
      <c r="AT124" s="480"/>
      <c r="AU124" s="480"/>
      <c r="AV124" s="480"/>
      <c r="AW124" s="480"/>
      <c r="AX124" s="480"/>
      <c r="AY124" s="480"/>
      <c r="AZ124" s="480"/>
      <c r="BA124" s="480"/>
      <c r="BB124" s="480"/>
      <c r="BC124" s="480"/>
      <c r="BD124" s="480"/>
      <c r="BE124" s="480"/>
      <c r="BF124" s="480"/>
      <c r="BG124" s="480"/>
      <c r="BH124" s="480"/>
      <c r="BI124" s="480"/>
      <c r="BJ124" s="480"/>
      <c r="BK124" s="480"/>
      <c r="BL124" s="480"/>
      <c r="BM124" s="480"/>
      <c r="BN124" s="480"/>
      <c r="BO124" s="480"/>
      <c r="BP124" s="480"/>
      <c r="BQ124" s="480"/>
      <c r="BR124" s="480"/>
      <c r="BS124" s="480"/>
      <c r="BT124" s="480"/>
      <c r="BU124" s="480"/>
      <c r="BV124" s="480"/>
      <c r="BW124" s="480"/>
      <c r="BX124" s="480"/>
      <c r="BY124" s="480"/>
      <c r="BZ124" s="480"/>
      <c r="CA124" s="480"/>
      <c r="CB124" s="480"/>
      <c r="CC124" s="480"/>
      <c r="CD124" s="480"/>
      <c r="CE124" s="480"/>
      <c r="CF124" s="480"/>
      <c r="CG124" s="480"/>
      <c r="CH124" s="480"/>
      <c r="CI124" s="480"/>
      <c r="CJ124" s="480"/>
      <c r="CK124" s="482"/>
      <c r="CL124" s="480"/>
      <c r="CM124" s="480"/>
      <c r="CN124" s="480"/>
      <c r="CO124" s="480"/>
      <c r="CP124" s="480"/>
      <c r="CQ124" s="480"/>
      <c r="CR124" s="480"/>
      <c r="CS124" s="480"/>
      <c r="CT124" s="480"/>
      <c r="CU124" s="480"/>
      <c r="CV124" s="480"/>
      <c r="CW124" s="480"/>
      <c r="CX124" s="482"/>
      <c r="CY124" s="480"/>
      <c r="CZ124" s="480"/>
      <c r="DA124" s="480"/>
      <c r="DB124" s="480"/>
      <c r="DC124" s="480"/>
      <c r="DD124" s="480"/>
      <c r="DE124" s="480"/>
      <c r="DF124" s="480"/>
      <c r="DG124" s="480"/>
      <c r="DH124" s="480"/>
      <c r="DI124" s="480"/>
      <c r="DJ124" s="480"/>
      <c r="DK124" s="482"/>
      <c r="DL124" s="480"/>
      <c r="DM124" s="480"/>
      <c r="DN124" s="480"/>
      <c r="DO124" s="480"/>
      <c r="DP124" s="480"/>
      <c r="DQ124" s="480"/>
      <c r="DR124" s="480"/>
      <c r="DS124" s="480"/>
      <c r="DT124" s="480"/>
      <c r="DU124" s="480"/>
      <c r="DV124" s="480"/>
      <c r="DW124" s="480"/>
      <c r="DX124" s="482"/>
      <c r="DY124" s="480"/>
      <c r="DZ124" s="480"/>
      <c r="EA124" s="480"/>
      <c r="EB124" s="480"/>
      <c r="EC124" s="480"/>
      <c r="ED124" s="480"/>
      <c r="EE124" s="480"/>
      <c r="EF124" s="480"/>
      <c r="EG124" s="480"/>
      <c r="EH124" s="480"/>
      <c r="EI124" s="480"/>
      <c r="EJ124" s="480"/>
    </row>
    <row r="125" spans="1:140" s="481" customFormat="1">
      <c r="A125" s="480"/>
      <c r="B125" s="480"/>
      <c r="C125" s="480"/>
      <c r="D125" s="480"/>
      <c r="E125" s="480"/>
      <c r="F125" s="480"/>
      <c r="G125" s="480"/>
      <c r="H125" s="480"/>
      <c r="I125" s="480"/>
      <c r="J125" s="480"/>
      <c r="K125" s="480"/>
      <c r="L125" s="480"/>
      <c r="M125" s="480"/>
      <c r="N125" s="480"/>
      <c r="O125" s="480"/>
      <c r="P125" s="480"/>
      <c r="Q125" s="480"/>
      <c r="R125" s="480"/>
      <c r="S125" s="480"/>
      <c r="T125" s="480"/>
      <c r="U125" s="480"/>
      <c r="V125" s="480"/>
      <c r="W125" s="480"/>
      <c r="X125" s="480"/>
      <c r="Y125" s="480"/>
      <c r="Z125" s="480"/>
      <c r="AA125" s="480"/>
      <c r="AD125" s="480"/>
      <c r="AE125" s="480"/>
      <c r="AF125" s="480"/>
      <c r="AG125" s="480"/>
      <c r="AH125" s="480"/>
      <c r="AI125" s="480"/>
      <c r="AJ125" s="480"/>
      <c r="AK125" s="480"/>
      <c r="AL125" s="480"/>
      <c r="AM125" s="480"/>
      <c r="AN125" s="480"/>
      <c r="AO125" s="480"/>
      <c r="AP125" s="480"/>
      <c r="AQ125" s="480"/>
      <c r="AR125" s="480"/>
      <c r="AS125" s="480"/>
      <c r="AT125" s="480"/>
      <c r="AU125" s="480"/>
      <c r="AV125" s="480"/>
      <c r="AW125" s="480"/>
      <c r="AX125" s="480"/>
      <c r="AY125" s="480"/>
      <c r="AZ125" s="480"/>
      <c r="BA125" s="480"/>
      <c r="BB125" s="480"/>
      <c r="BC125" s="480"/>
      <c r="BD125" s="480"/>
      <c r="BE125" s="480"/>
      <c r="BF125" s="480"/>
      <c r="BG125" s="480"/>
      <c r="BH125" s="480"/>
      <c r="BI125" s="480"/>
      <c r="BJ125" s="480"/>
      <c r="BK125" s="480"/>
      <c r="BL125" s="480"/>
      <c r="BM125" s="480"/>
      <c r="BN125" s="480"/>
      <c r="BO125" s="480"/>
      <c r="BP125" s="480"/>
      <c r="BQ125" s="480"/>
      <c r="BR125" s="480"/>
      <c r="BS125" s="480"/>
      <c r="BT125" s="480"/>
      <c r="BU125" s="480"/>
      <c r="BV125" s="480"/>
      <c r="BW125" s="480"/>
      <c r="BX125" s="480"/>
      <c r="BY125" s="480"/>
      <c r="BZ125" s="480"/>
      <c r="CA125" s="480"/>
      <c r="CB125" s="480"/>
      <c r="CC125" s="480"/>
      <c r="CD125" s="480"/>
      <c r="CE125" s="480"/>
      <c r="CF125" s="480"/>
      <c r="CG125" s="480"/>
      <c r="CH125" s="480"/>
      <c r="CI125" s="480"/>
      <c r="CJ125" s="480"/>
      <c r="CK125" s="482"/>
      <c r="CL125" s="480"/>
      <c r="CM125" s="480"/>
      <c r="CN125" s="480"/>
      <c r="CO125" s="480"/>
      <c r="CP125" s="480"/>
      <c r="CQ125" s="480"/>
      <c r="CR125" s="480"/>
      <c r="CS125" s="480"/>
      <c r="CT125" s="480"/>
      <c r="CU125" s="480"/>
      <c r="CV125" s="480"/>
      <c r="CW125" s="480"/>
      <c r="CX125" s="482"/>
      <c r="CY125" s="480"/>
      <c r="CZ125" s="480"/>
      <c r="DA125" s="480"/>
      <c r="DB125" s="480"/>
      <c r="DC125" s="480"/>
      <c r="DD125" s="480"/>
      <c r="DE125" s="480"/>
      <c r="DF125" s="480"/>
      <c r="DG125" s="480"/>
      <c r="DH125" s="480"/>
      <c r="DI125" s="480"/>
      <c r="DJ125" s="480"/>
      <c r="DK125" s="482"/>
      <c r="DL125" s="480"/>
      <c r="DM125" s="480"/>
      <c r="DN125" s="480"/>
      <c r="DO125" s="480"/>
      <c r="DP125" s="480"/>
      <c r="DQ125" s="480"/>
      <c r="DR125" s="480"/>
      <c r="DS125" s="480"/>
      <c r="DT125" s="480"/>
      <c r="DU125" s="480"/>
      <c r="DV125" s="480"/>
      <c r="DW125" s="480"/>
      <c r="DX125" s="482"/>
      <c r="DY125" s="480"/>
      <c r="DZ125" s="480"/>
      <c r="EA125" s="480"/>
      <c r="EB125" s="480"/>
      <c r="EC125" s="480"/>
      <c r="ED125" s="480"/>
      <c r="EE125" s="480"/>
      <c r="EF125" s="480"/>
      <c r="EG125" s="480"/>
      <c r="EH125" s="480"/>
      <c r="EI125" s="480"/>
      <c r="EJ125" s="480"/>
    </row>
    <row r="126" spans="1:140" s="481" customFormat="1">
      <c r="A126" s="480"/>
      <c r="B126" s="480"/>
      <c r="C126" s="480"/>
      <c r="D126" s="480"/>
      <c r="E126" s="480"/>
      <c r="F126" s="480"/>
      <c r="G126" s="480"/>
      <c r="H126" s="480"/>
      <c r="I126" s="480"/>
      <c r="J126" s="480"/>
      <c r="K126" s="480"/>
      <c r="L126" s="480"/>
      <c r="M126" s="480"/>
      <c r="N126" s="480"/>
      <c r="O126" s="480"/>
      <c r="P126" s="480"/>
      <c r="Q126" s="480"/>
      <c r="R126" s="480"/>
      <c r="S126" s="480"/>
      <c r="T126" s="480"/>
      <c r="U126" s="480"/>
      <c r="V126" s="480"/>
      <c r="W126" s="480"/>
      <c r="X126" s="480"/>
      <c r="Y126" s="480"/>
      <c r="Z126" s="480"/>
      <c r="AA126" s="480"/>
      <c r="AD126" s="480"/>
      <c r="AE126" s="480"/>
      <c r="AF126" s="480"/>
      <c r="AG126" s="480"/>
      <c r="AH126" s="480"/>
      <c r="AI126" s="480"/>
      <c r="AJ126" s="480"/>
      <c r="AK126" s="480"/>
      <c r="AL126" s="480"/>
      <c r="AM126" s="480"/>
      <c r="AN126" s="480"/>
      <c r="AO126" s="480"/>
      <c r="AP126" s="480"/>
      <c r="AQ126" s="480"/>
      <c r="AR126" s="480"/>
      <c r="AS126" s="480"/>
      <c r="AT126" s="480"/>
      <c r="AU126" s="480"/>
      <c r="AV126" s="480"/>
      <c r="AW126" s="480"/>
      <c r="AX126" s="480"/>
      <c r="AY126" s="480"/>
      <c r="AZ126" s="480"/>
      <c r="BA126" s="480"/>
      <c r="BB126" s="480"/>
      <c r="BC126" s="480"/>
      <c r="BD126" s="480"/>
      <c r="BE126" s="480"/>
      <c r="BF126" s="480"/>
      <c r="BG126" s="480"/>
      <c r="BH126" s="480"/>
      <c r="BI126" s="480"/>
      <c r="BJ126" s="480"/>
      <c r="BK126" s="480"/>
      <c r="BL126" s="480"/>
      <c r="BM126" s="480"/>
      <c r="BN126" s="480"/>
      <c r="BO126" s="480"/>
      <c r="BP126" s="480"/>
      <c r="BQ126" s="480"/>
      <c r="BR126" s="480"/>
      <c r="BS126" s="480"/>
      <c r="BT126" s="480"/>
      <c r="BU126" s="480"/>
      <c r="BV126" s="480"/>
      <c r="BW126" s="480"/>
      <c r="BX126" s="480"/>
      <c r="BY126" s="480"/>
      <c r="BZ126" s="480"/>
      <c r="CA126" s="480"/>
      <c r="CB126" s="480"/>
      <c r="CC126" s="480"/>
      <c r="CD126" s="480"/>
      <c r="CE126" s="480"/>
      <c r="CF126" s="480"/>
      <c r="CG126" s="480"/>
      <c r="CH126" s="480"/>
      <c r="CI126" s="480"/>
      <c r="CJ126" s="480"/>
      <c r="CK126" s="482"/>
      <c r="CL126" s="480"/>
      <c r="CM126" s="480"/>
      <c r="CN126" s="480"/>
      <c r="CO126" s="480"/>
      <c r="CP126" s="480"/>
      <c r="CQ126" s="480"/>
      <c r="CR126" s="480"/>
      <c r="CS126" s="480"/>
      <c r="CT126" s="480"/>
      <c r="CU126" s="480"/>
      <c r="CV126" s="480"/>
      <c r="CW126" s="480"/>
      <c r="CX126" s="482"/>
      <c r="CY126" s="480"/>
      <c r="CZ126" s="480"/>
      <c r="DA126" s="480"/>
      <c r="DB126" s="480"/>
      <c r="DC126" s="480"/>
      <c r="DD126" s="480"/>
      <c r="DE126" s="480"/>
      <c r="DF126" s="480"/>
      <c r="DG126" s="480"/>
      <c r="DH126" s="480"/>
      <c r="DI126" s="480"/>
      <c r="DJ126" s="480"/>
      <c r="DK126" s="482"/>
      <c r="DL126" s="480"/>
      <c r="DM126" s="480"/>
      <c r="DN126" s="480"/>
      <c r="DO126" s="480"/>
      <c r="DP126" s="480"/>
      <c r="DQ126" s="480"/>
      <c r="DR126" s="480"/>
      <c r="DS126" s="480"/>
      <c r="DT126" s="480"/>
      <c r="DU126" s="480"/>
      <c r="DV126" s="480"/>
      <c r="DW126" s="480"/>
      <c r="DX126" s="482"/>
      <c r="DY126" s="480"/>
      <c r="DZ126" s="480"/>
      <c r="EA126" s="480"/>
      <c r="EB126" s="480"/>
      <c r="EC126" s="480"/>
      <c r="ED126" s="480"/>
      <c r="EE126" s="480"/>
      <c r="EF126" s="480"/>
      <c r="EG126" s="480"/>
      <c r="EH126" s="480"/>
      <c r="EI126" s="480"/>
      <c r="EJ126" s="480"/>
    </row>
    <row r="127" spans="1:140" s="481" customFormat="1">
      <c r="A127" s="480"/>
      <c r="B127" s="480"/>
      <c r="C127" s="480"/>
      <c r="D127" s="480"/>
      <c r="E127" s="480"/>
      <c r="F127" s="480"/>
      <c r="G127" s="480"/>
      <c r="H127" s="480"/>
      <c r="I127" s="480"/>
      <c r="J127" s="480"/>
      <c r="K127" s="480"/>
      <c r="L127" s="480"/>
      <c r="M127" s="480"/>
      <c r="N127" s="480"/>
      <c r="O127" s="480"/>
      <c r="P127" s="480"/>
      <c r="Q127" s="480"/>
      <c r="R127" s="480"/>
      <c r="S127" s="480"/>
      <c r="T127" s="480"/>
      <c r="U127" s="480"/>
      <c r="V127" s="480"/>
      <c r="W127" s="480"/>
      <c r="X127" s="480"/>
      <c r="Y127" s="480"/>
      <c r="Z127" s="480"/>
      <c r="AA127" s="480"/>
      <c r="AD127" s="480"/>
      <c r="AE127" s="480"/>
      <c r="AF127" s="480"/>
      <c r="AG127" s="480"/>
      <c r="AH127" s="480"/>
      <c r="AI127" s="480"/>
      <c r="AJ127" s="480"/>
      <c r="AK127" s="480"/>
      <c r="AL127" s="480"/>
      <c r="AM127" s="480"/>
      <c r="AN127" s="480"/>
      <c r="AO127" s="480"/>
      <c r="AP127" s="480"/>
      <c r="AQ127" s="480"/>
      <c r="AR127" s="480"/>
      <c r="AS127" s="480"/>
      <c r="AT127" s="480"/>
      <c r="AU127" s="480"/>
      <c r="AV127" s="480"/>
      <c r="AW127" s="480"/>
      <c r="AX127" s="480"/>
      <c r="AY127" s="480"/>
      <c r="AZ127" s="480"/>
      <c r="BA127" s="480"/>
      <c r="BB127" s="480"/>
      <c r="BC127" s="480"/>
      <c r="BD127" s="480"/>
      <c r="BE127" s="480"/>
      <c r="BF127" s="480"/>
      <c r="BG127" s="480"/>
      <c r="BH127" s="480"/>
      <c r="BI127" s="480"/>
      <c r="BJ127" s="480"/>
      <c r="BK127" s="480"/>
      <c r="BL127" s="480"/>
      <c r="BM127" s="480"/>
      <c r="BN127" s="480"/>
      <c r="BO127" s="480"/>
      <c r="BP127" s="480"/>
      <c r="BQ127" s="480"/>
      <c r="BR127" s="480"/>
      <c r="BS127" s="480"/>
      <c r="BT127" s="480"/>
      <c r="BU127" s="480"/>
      <c r="BV127" s="480"/>
      <c r="BW127" s="480"/>
      <c r="BX127" s="480"/>
      <c r="BY127" s="480"/>
      <c r="BZ127" s="480"/>
      <c r="CA127" s="480"/>
      <c r="CB127" s="480"/>
      <c r="CC127" s="480"/>
      <c r="CD127" s="480"/>
      <c r="CE127" s="480"/>
      <c r="CF127" s="480"/>
      <c r="CG127" s="480"/>
      <c r="CH127" s="480"/>
      <c r="CI127" s="480"/>
      <c r="CJ127" s="480"/>
      <c r="CK127" s="482"/>
      <c r="CL127" s="480"/>
      <c r="CM127" s="480"/>
      <c r="CN127" s="480"/>
      <c r="CO127" s="480"/>
      <c r="CP127" s="480"/>
      <c r="CQ127" s="480"/>
      <c r="CR127" s="480"/>
      <c r="CS127" s="480"/>
      <c r="CT127" s="480"/>
      <c r="CU127" s="480"/>
      <c r="CV127" s="480"/>
      <c r="CW127" s="480"/>
      <c r="CX127" s="482"/>
      <c r="CY127" s="480"/>
      <c r="CZ127" s="480"/>
      <c r="DA127" s="480"/>
      <c r="DB127" s="480"/>
      <c r="DC127" s="480"/>
      <c r="DD127" s="480"/>
      <c r="DE127" s="480"/>
      <c r="DF127" s="480"/>
      <c r="DG127" s="480"/>
      <c r="DH127" s="480"/>
      <c r="DI127" s="480"/>
      <c r="DJ127" s="480"/>
      <c r="DK127" s="482"/>
      <c r="DL127" s="480"/>
      <c r="DM127" s="480"/>
      <c r="DN127" s="480"/>
      <c r="DO127" s="480"/>
      <c r="DP127" s="480"/>
      <c r="DQ127" s="480"/>
      <c r="DR127" s="480"/>
      <c r="DS127" s="480"/>
      <c r="DT127" s="480"/>
      <c r="DU127" s="480"/>
      <c r="DV127" s="480"/>
      <c r="DW127" s="480"/>
      <c r="DX127" s="482"/>
      <c r="DY127" s="480"/>
      <c r="DZ127" s="480"/>
      <c r="EA127" s="480"/>
      <c r="EB127" s="480"/>
      <c r="EC127" s="480"/>
      <c r="ED127" s="480"/>
      <c r="EE127" s="480"/>
      <c r="EF127" s="480"/>
      <c r="EG127" s="480"/>
      <c r="EH127" s="480"/>
      <c r="EI127" s="480"/>
      <c r="EJ127" s="480"/>
    </row>
    <row r="128" spans="1:140" s="481" customFormat="1">
      <c r="A128" s="480"/>
      <c r="B128" s="480"/>
      <c r="C128" s="480"/>
      <c r="D128" s="480"/>
      <c r="E128" s="480"/>
      <c r="F128" s="480"/>
      <c r="G128" s="480"/>
      <c r="H128" s="480"/>
      <c r="I128" s="480"/>
      <c r="J128" s="480"/>
      <c r="K128" s="480"/>
      <c r="L128" s="480"/>
      <c r="M128" s="480"/>
      <c r="N128" s="480"/>
      <c r="O128" s="480"/>
      <c r="P128" s="480"/>
      <c r="Q128" s="480"/>
      <c r="R128" s="480"/>
      <c r="S128" s="480"/>
      <c r="T128" s="480"/>
      <c r="U128" s="480"/>
      <c r="V128" s="480"/>
      <c r="W128" s="480"/>
      <c r="X128" s="480"/>
      <c r="Y128" s="480"/>
      <c r="Z128" s="480"/>
      <c r="AA128" s="480"/>
      <c r="AD128" s="480"/>
      <c r="AE128" s="480"/>
      <c r="AF128" s="480"/>
      <c r="AG128" s="480"/>
      <c r="AH128" s="480"/>
      <c r="AI128" s="480"/>
      <c r="AJ128" s="480"/>
      <c r="AK128" s="480"/>
      <c r="AL128" s="480"/>
      <c r="AM128" s="480"/>
      <c r="AN128" s="480"/>
      <c r="AO128" s="480"/>
      <c r="AP128" s="480"/>
      <c r="AQ128" s="480"/>
      <c r="AR128" s="480"/>
      <c r="AS128" s="480"/>
      <c r="AT128" s="480"/>
      <c r="AU128" s="480"/>
      <c r="AV128" s="480"/>
      <c r="AW128" s="480"/>
      <c r="AX128" s="480"/>
      <c r="AY128" s="480"/>
      <c r="AZ128" s="480"/>
      <c r="BA128" s="480"/>
      <c r="BB128" s="480"/>
      <c r="BC128" s="480"/>
      <c r="BD128" s="480"/>
      <c r="BE128" s="480"/>
      <c r="BF128" s="480"/>
      <c r="BG128" s="480"/>
      <c r="BH128" s="480"/>
      <c r="BI128" s="480"/>
      <c r="BJ128" s="480"/>
      <c r="BK128" s="480"/>
      <c r="BL128" s="480"/>
      <c r="BM128" s="480"/>
      <c r="BN128" s="480"/>
      <c r="BO128" s="480"/>
      <c r="BP128" s="480"/>
      <c r="BQ128" s="480"/>
      <c r="BR128" s="480"/>
      <c r="BS128" s="480"/>
      <c r="BT128" s="480"/>
      <c r="BU128" s="480"/>
      <c r="BV128" s="480"/>
      <c r="BW128" s="480"/>
      <c r="BX128" s="480"/>
      <c r="BY128" s="480"/>
      <c r="BZ128" s="480"/>
      <c r="CA128" s="480"/>
      <c r="CB128" s="480"/>
      <c r="CC128" s="480"/>
      <c r="CD128" s="480"/>
      <c r="CE128" s="480"/>
      <c r="CF128" s="480"/>
      <c r="CG128" s="480"/>
      <c r="CH128" s="480"/>
      <c r="CI128" s="480"/>
      <c r="CJ128" s="480"/>
      <c r="CK128" s="482"/>
      <c r="CL128" s="480"/>
      <c r="CM128" s="480"/>
      <c r="CN128" s="480"/>
      <c r="CO128" s="480"/>
      <c r="CP128" s="480"/>
      <c r="CQ128" s="480"/>
      <c r="CR128" s="480"/>
      <c r="CS128" s="480"/>
      <c r="CT128" s="480"/>
      <c r="CU128" s="480"/>
      <c r="CV128" s="480"/>
      <c r="CW128" s="480"/>
      <c r="CX128" s="482"/>
      <c r="CY128" s="480"/>
      <c r="CZ128" s="480"/>
      <c r="DA128" s="480"/>
      <c r="DB128" s="480"/>
      <c r="DC128" s="480"/>
      <c r="DD128" s="480"/>
      <c r="DE128" s="480"/>
      <c r="DF128" s="480"/>
      <c r="DG128" s="480"/>
      <c r="DH128" s="480"/>
      <c r="DI128" s="480"/>
      <c r="DJ128" s="480"/>
      <c r="DK128" s="482"/>
      <c r="DL128" s="480"/>
      <c r="DM128" s="480"/>
      <c r="DN128" s="480"/>
      <c r="DO128" s="480"/>
      <c r="DP128" s="480"/>
      <c r="DQ128" s="480"/>
      <c r="DR128" s="480"/>
      <c r="DS128" s="480"/>
      <c r="DT128" s="480"/>
      <c r="DU128" s="480"/>
      <c r="DV128" s="480"/>
      <c r="DW128" s="480"/>
      <c r="DX128" s="482"/>
      <c r="DY128" s="480"/>
      <c r="DZ128" s="480"/>
      <c r="EA128" s="480"/>
      <c r="EB128" s="480"/>
      <c r="EC128" s="480"/>
      <c r="ED128" s="480"/>
      <c r="EE128" s="480"/>
      <c r="EF128" s="480"/>
      <c r="EG128" s="480"/>
      <c r="EH128" s="480"/>
      <c r="EI128" s="480"/>
      <c r="EJ128" s="480"/>
    </row>
    <row r="129" spans="1:140" s="481" customFormat="1">
      <c r="A129" s="480"/>
      <c r="B129" s="480"/>
      <c r="C129" s="480"/>
      <c r="D129" s="480"/>
      <c r="E129" s="480"/>
      <c r="F129" s="480"/>
      <c r="G129" s="480"/>
      <c r="H129" s="480"/>
      <c r="I129" s="480"/>
      <c r="J129" s="480"/>
      <c r="K129" s="480"/>
      <c r="L129" s="480"/>
      <c r="M129" s="480"/>
      <c r="N129" s="480"/>
      <c r="O129" s="480"/>
      <c r="P129" s="480"/>
      <c r="Q129" s="480"/>
      <c r="R129" s="480"/>
      <c r="S129" s="480"/>
      <c r="T129" s="480"/>
      <c r="U129" s="480"/>
      <c r="V129" s="480"/>
      <c r="W129" s="480"/>
      <c r="X129" s="480"/>
      <c r="Y129" s="480"/>
      <c r="Z129" s="480"/>
      <c r="AA129" s="480"/>
      <c r="AD129" s="480"/>
      <c r="AE129" s="480"/>
      <c r="AF129" s="480"/>
      <c r="AG129" s="480"/>
      <c r="AH129" s="480"/>
      <c r="AI129" s="480"/>
      <c r="AJ129" s="480"/>
      <c r="AK129" s="480"/>
      <c r="AL129" s="480"/>
      <c r="AM129" s="480"/>
      <c r="AN129" s="480"/>
      <c r="AO129" s="480"/>
      <c r="AP129" s="480"/>
      <c r="AQ129" s="480"/>
      <c r="AR129" s="480"/>
      <c r="AS129" s="480"/>
      <c r="AT129" s="480"/>
      <c r="AU129" s="480"/>
      <c r="AV129" s="480"/>
      <c r="AW129" s="480"/>
      <c r="AX129" s="480"/>
      <c r="AY129" s="480"/>
      <c r="AZ129" s="480"/>
      <c r="BA129" s="480"/>
      <c r="BB129" s="480"/>
      <c r="BC129" s="480"/>
      <c r="BD129" s="480"/>
      <c r="BE129" s="480"/>
      <c r="BF129" s="480"/>
      <c r="BG129" s="480"/>
      <c r="BH129" s="480"/>
      <c r="BI129" s="480"/>
      <c r="BJ129" s="480"/>
      <c r="BK129" s="480"/>
      <c r="BL129" s="480"/>
      <c r="BM129" s="480"/>
      <c r="BN129" s="480"/>
      <c r="BO129" s="480"/>
      <c r="BP129" s="480"/>
      <c r="BQ129" s="480"/>
      <c r="BR129" s="480"/>
      <c r="BS129" s="480"/>
      <c r="BT129" s="480"/>
      <c r="BU129" s="480"/>
      <c r="BV129" s="480"/>
      <c r="BW129" s="480"/>
      <c r="BX129" s="480"/>
      <c r="BY129" s="480"/>
      <c r="BZ129" s="480"/>
      <c r="CA129" s="480"/>
      <c r="CB129" s="480"/>
      <c r="CC129" s="480"/>
      <c r="CD129" s="480"/>
      <c r="CE129" s="480"/>
      <c r="CF129" s="480"/>
      <c r="CG129" s="480"/>
      <c r="CH129" s="480"/>
      <c r="CI129" s="480"/>
      <c r="CJ129" s="480"/>
      <c r="CK129" s="482"/>
      <c r="CL129" s="480"/>
      <c r="CM129" s="480"/>
      <c r="CN129" s="480"/>
      <c r="CO129" s="480"/>
      <c r="CP129" s="480"/>
      <c r="CQ129" s="480"/>
      <c r="CR129" s="480"/>
      <c r="CS129" s="480"/>
      <c r="CT129" s="480"/>
      <c r="CU129" s="480"/>
      <c r="CV129" s="480"/>
      <c r="CW129" s="480"/>
      <c r="CX129" s="482"/>
      <c r="CY129" s="480"/>
      <c r="CZ129" s="480"/>
      <c r="DA129" s="480"/>
      <c r="DB129" s="480"/>
      <c r="DC129" s="480"/>
      <c r="DD129" s="480"/>
      <c r="DE129" s="480"/>
      <c r="DF129" s="480"/>
      <c r="DG129" s="480"/>
      <c r="DH129" s="480"/>
      <c r="DI129" s="480"/>
      <c r="DJ129" s="480"/>
      <c r="DK129" s="482"/>
      <c r="DL129" s="480"/>
      <c r="DM129" s="480"/>
      <c r="DN129" s="480"/>
      <c r="DO129" s="480"/>
      <c r="DP129" s="480"/>
      <c r="DQ129" s="480"/>
      <c r="DR129" s="480"/>
      <c r="DS129" s="480"/>
      <c r="DT129" s="480"/>
      <c r="DU129" s="480"/>
      <c r="DV129" s="480"/>
      <c r="DW129" s="480"/>
      <c r="DX129" s="482"/>
      <c r="DY129" s="480"/>
      <c r="DZ129" s="480"/>
      <c r="EA129" s="480"/>
      <c r="EB129" s="480"/>
      <c r="EC129" s="480"/>
      <c r="ED129" s="480"/>
      <c r="EE129" s="480"/>
      <c r="EF129" s="480"/>
      <c r="EG129" s="480"/>
      <c r="EH129" s="480"/>
      <c r="EI129" s="480"/>
      <c r="EJ129" s="480"/>
    </row>
    <row r="130" spans="1:140" s="481" customFormat="1">
      <c r="A130" s="480"/>
      <c r="B130" s="480"/>
      <c r="C130" s="480"/>
      <c r="D130" s="480"/>
      <c r="E130" s="480"/>
      <c r="F130" s="480"/>
      <c r="G130" s="480"/>
      <c r="H130" s="480"/>
      <c r="I130" s="480"/>
      <c r="J130" s="480"/>
      <c r="K130" s="480"/>
      <c r="L130" s="480"/>
      <c r="M130" s="480"/>
      <c r="N130" s="480"/>
      <c r="O130" s="480"/>
      <c r="P130" s="480"/>
      <c r="Q130" s="480"/>
      <c r="R130" s="480"/>
      <c r="S130" s="480"/>
      <c r="T130" s="480"/>
      <c r="U130" s="480"/>
      <c r="V130" s="480"/>
      <c r="W130" s="480"/>
      <c r="X130" s="480"/>
      <c r="Y130" s="480"/>
      <c r="Z130" s="480"/>
      <c r="AA130" s="480"/>
      <c r="AD130" s="480"/>
      <c r="AE130" s="480"/>
      <c r="AF130" s="480"/>
      <c r="AG130" s="480"/>
      <c r="AH130" s="480"/>
      <c r="AI130" s="480"/>
      <c r="AJ130" s="480"/>
      <c r="AK130" s="480"/>
      <c r="AL130" s="480"/>
      <c r="AM130" s="480"/>
      <c r="AN130" s="480"/>
      <c r="AO130" s="480"/>
      <c r="AP130" s="480"/>
      <c r="AQ130" s="480"/>
      <c r="AR130" s="480"/>
      <c r="AS130" s="480"/>
      <c r="AT130" s="480"/>
      <c r="AU130" s="480"/>
      <c r="AV130" s="480"/>
      <c r="AW130" s="480"/>
      <c r="AX130" s="480"/>
      <c r="AY130" s="480"/>
      <c r="AZ130" s="480"/>
      <c r="BA130" s="480"/>
      <c r="BB130" s="480"/>
      <c r="BC130" s="480"/>
      <c r="BD130" s="480"/>
      <c r="BE130" s="480"/>
      <c r="BF130" s="480"/>
      <c r="BG130" s="480"/>
      <c r="BH130" s="480"/>
      <c r="BI130" s="480"/>
      <c r="BJ130" s="480"/>
      <c r="BK130" s="480"/>
      <c r="BL130" s="480"/>
      <c r="BM130" s="480"/>
      <c r="BN130" s="480"/>
      <c r="BO130" s="480"/>
      <c r="BP130" s="480"/>
      <c r="BQ130" s="480"/>
      <c r="BR130" s="480"/>
      <c r="BS130" s="480"/>
      <c r="BT130" s="480"/>
      <c r="BU130" s="480"/>
      <c r="BV130" s="480"/>
      <c r="BW130" s="480"/>
      <c r="BX130" s="480"/>
      <c r="BY130" s="480"/>
      <c r="BZ130" s="480"/>
      <c r="CA130" s="480"/>
      <c r="CB130" s="480"/>
      <c r="CC130" s="480"/>
      <c r="CD130" s="480"/>
      <c r="CE130" s="480"/>
      <c r="CF130" s="480"/>
      <c r="CG130" s="480"/>
      <c r="CH130" s="480"/>
      <c r="CI130" s="480"/>
      <c r="CJ130" s="480"/>
      <c r="CK130" s="482"/>
      <c r="CL130" s="480"/>
      <c r="CM130" s="480"/>
      <c r="CN130" s="480"/>
      <c r="CO130" s="480"/>
      <c r="CP130" s="480"/>
      <c r="CQ130" s="480"/>
      <c r="CR130" s="480"/>
      <c r="CS130" s="480"/>
      <c r="CT130" s="480"/>
      <c r="CU130" s="480"/>
      <c r="CV130" s="480"/>
      <c r="CW130" s="480"/>
      <c r="CX130" s="482"/>
      <c r="CY130" s="480"/>
      <c r="CZ130" s="480"/>
      <c r="DA130" s="480"/>
      <c r="DB130" s="480"/>
      <c r="DC130" s="480"/>
      <c r="DD130" s="480"/>
      <c r="DE130" s="480"/>
      <c r="DF130" s="480"/>
      <c r="DG130" s="480"/>
      <c r="DH130" s="480"/>
      <c r="DI130" s="480"/>
      <c r="DJ130" s="480"/>
      <c r="DK130" s="482"/>
      <c r="DL130" s="480"/>
      <c r="DM130" s="480"/>
      <c r="DN130" s="480"/>
      <c r="DO130" s="480"/>
      <c r="DP130" s="480"/>
      <c r="DQ130" s="480"/>
      <c r="DR130" s="480"/>
      <c r="DS130" s="480"/>
      <c r="DT130" s="480"/>
      <c r="DU130" s="480"/>
      <c r="DV130" s="480"/>
      <c r="DW130" s="480"/>
      <c r="DX130" s="482"/>
      <c r="DY130" s="480"/>
      <c r="DZ130" s="480"/>
      <c r="EA130" s="480"/>
      <c r="EB130" s="480"/>
      <c r="EC130" s="480"/>
      <c r="ED130" s="480"/>
      <c r="EE130" s="480"/>
      <c r="EF130" s="480"/>
      <c r="EG130" s="480"/>
      <c r="EH130" s="480"/>
      <c r="EI130" s="480"/>
      <c r="EJ130" s="480"/>
    </row>
    <row r="131" spans="1:140" s="481" customFormat="1">
      <c r="A131" s="480"/>
      <c r="B131" s="480"/>
      <c r="C131" s="480"/>
      <c r="D131" s="480"/>
      <c r="E131" s="480"/>
      <c r="F131" s="480"/>
      <c r="G131" s="480"/>
      <c r="H131" s="480"/>
      <c r="I131" s="480"/>
      <c r="J131" s="480"/>
      <c r="K131" s="480"/>
      <c r="L131" s="480"/>
      <c r="M131" s="480"/>
      <c r="N131" s="480"/>
      <c r="O131" s="480"/>
      <c r="P131" s="480"/>
      <c r="Q131" s="480"/>
      <c r="R131" s="480"/>
      <c r="S131" s="480"/>
      <c r="T131" s="480"/>
      <c r="U131" s="480"/>
      <c r="V131" s="480"/>
      <c r="W131" s="480"/>
      <c r="X131" s="480"/>
      <c r="Y131" s="480"/>
      <c r="Z131" s="480"/>
      <c r="AA131" s="480"/>
      <c r="AD131" s="480"/>
      <c r="AE131" s="480"/>
      <c r="AF131" s="480"/>
      <c r="AG131" s="480"/>
      <c r="AH131" s="480"/>
      <c r="AI131" s="480"/>
      <c r="AJ131" s="480"/>
      <c r="AK131" s="480"/>
      <c r="AL131" s="480"/>
      <c r="AM131" s="480"/>
      <c r="AN131" s="480"/>
      <c r="AO131" s="480"/>
      <c r="AP131" s="480"/>
      <c r="AQ131" s="480"/>
      <c r="AR131" s="480"/>
      <c r="AS131" s="480"/>
      <c r="AT131" s="480"/>
      <c r="AU131" s="480"/>
      <c r="AV131" s="480"/>
      <c r="AW131" s="480"/>
      <c r="AX131" s="480"/>
      <c r="AY131" s="480"/>
      <c r="AZ131" s="480"/>
      <c r="BA131" s="480"/>
      <c r="BB131" s="480"/>
      <c r="BC131" s="480"/>
      <c r="BD131" s="480"/>
      <c r="BE131" s="480"/>
      <c r="BF131" s="480"/>
      <c r="BG131" s="480"/>
      <c r="BH131" s="480"/>
      <c r="BI131" s="480"/>
      <c r="BJ131" s="480"/>
      <c r="BK131" s="480"/>
      <c r="BL131" s="480"/>
      <c r="BM131" s="480"/>
      <c r="BN131" s="480"/>
      <c r="BO131" s="480"/>
      <c r="BP131" s="480"/>
      <c r="BQ131" s="480"/>
      <c r="BR131" s="480"/>
      <c r="BS131" s="480"/>
      <c r="BT131" s="480"/>
      <c r="BU131" s="480"/>
      <c r="BV131" s="480"/>
      <c r="BW131" s="480"/>
      <c r="BX131" s="480"/>
      <c r="BY131" s="480"/>
      <c r="BZ131" s="480"/>
      <c r="CA131" s="480"/>
      <c r="CB131" s="480"/>
      <c r="CC131" s="480"/>
      <c r="CD131" s="480"/>
      <c r="CE131" s="480"/>
      <c r="CF131" s="480"/>
      <c r="CG131" s="480"/>
      <c r="CH131" s="480"/>
      <c r="CI131" s="480"/>
      <c r="CJ131" s="480"/>
      <c r="CK131" s="482"/>
      <c r="CL131" s="480"/>
      <c r="CM131" s="480"/>
      <c r="CN131" s="480"/>
      <c r="CO131" s="480"/>
      <c r="CP131" s="480"/>
      <c r="CQ131" s="480"/>
      <c r="CR131" s="480"/>
      <c r="CS131" s="480"/>
      <c r="CT131" s="480"/>
      <c r="CU131" s="480"/>
      <c r="CV131" s="480"/>
      <c r="CW131" s="480"/>
      <c r="CX131" s="482"/>
      <c r="CY131" s="480"/>
      <c r="CZ131" s="480"/>
      <c r="DA131" s="480"/>
      <c r="DB131" s="480"/>
      <c r="DC131" s="480"/>
      <c r="DD131" s="480"/>
      <c r="DE131" s="480"/>
      <c r="DF131" s="480"/>
      <c r="DG131" s="480"/>
      <c r="DH131" s="480"/>
      <c r="DI131" s="480"/>
      <c r="DJ131" s="480"/>
      <c r="DK131" s="482"/>
      <c r="DL131" s="480"/>
      <c r="DM131" s="480"/>
      <c r="DN131" s="480"/>
      <c r="DO131" s="480"/>
      <c r="DP131" s="480"/>
      <c r="DQ131" s="480"/>
      <c r="DR131" s="480"/>
      <c r="DS131" s="480"/>
      <c r="DT131" s="480"/>
      <c r="DU131" s="480"/>
      <c r="DV131" s="480"/>
      <c r="DW131" s="480"/>
      <c r="DX131" s="482"/>
      <c r="DY131" s="480"/>
      <c r="DZ131" s="480"/>
      <c r="EA131" s="480"/>
      <c r="EB131" s="480"/>
      <c r="EC131" s="480"/>
      <c r="ED131" s="480"/>
      <c r="EE131" s="480"/>
      <c r="EF131" s="480"/>
      <c r="EG131" s="480"/>
      <c r="EH131" s="480"/>
      <c r="EI131" s="480"/>
      <c r="EJ131" s="480"/>
    </row>
  </sheetData>
  <mergeCells count="5">
    <mergeCell ref="C2:N2"/>
    <mergeCell ref="BY2:CJ2"/>
    <mergeCell ref="CL2:CW2"/>
    <mergeCell ref="CY2:DJ2"/>
    <mergeCell ref="DL2:DW2"/>
  </mergeCells>
  <pageMargins left="0.7" right="0.7" top="0.75" bottom="0.75" header="0.3" footer="0.3"/>
  <pageSetup paperSize="9" scale="10" orientation="landscape"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29504-EEC4-48AB-A6BA-C3E95764D7E0}">
  <sheetPr>
    <tabColor theme="4" tint="0.39997558519241921"/>
    <pageSetUpPr fitToPage="1"/>
  </sheetPr>
  <dimension ref="A1:EK70"/>
  <sheetViews>
    <sheetView showGridLines="0" zoomScaleNormal="100" workbookViewId="0">
      <pane xSplit="14" ySplit="3" topLeftCell="DP4" activePane="bottomRight" state="frozen"/>
      <selection activeCell="CE28" sqref="CE28"/>
      <selection pane="topRight" activeCell="CE28" sqref="CE28"/>
      <selection pane="bottomLeft" activeCell="CE28" sqref="CE28"/>
      <selection pane="bottomRight" activeCell="DP9" sqref="DP9"/>
    </sheetView>
  </sheetViews>
  <sheetFormatPr baseColWidth="10" defaultColWidth="10.7109375" defaultRowHeight="14.25"/>
  <cols>
    <col min="1" max="1" width="2.85546875" style="480" customWidth="1"/>
    <col min="2" max="2" width="38" style="480" bestFit="1" customWidth="1"/>
    <col min="3" max="3" width="14.5703125" style="480" hidden="1" customWidth="1"/>
    <col min="4" max="4" width="13.28515625" style="480" hidden="1" customWidth="1"/>
    <col min="5" max="5" width="14" style="480" hidden="1" customWidth="1"/>
    <col min="6" max="6" width="15" style="480" hidden="1" customWidth="1"/>
    <col min="7" max="7" width="14" style="480" hidden="1" customWidth="1"/>
    <col min="8" max="8" width="14.85546875" style="480" hidden="1" customWidth="1"/>
    <col min="9" max="9" width="14.5703125" style="480" hidden="1" customWidth="1"/>
    <col min="10" max="10" width="15" style="480" hidden="1" customWidth="1"/>
    <col min="11" max="11" width="14.7109375" style="480" hidden="1" customWidth="1"/>
    <col min="12" max="12" width="14.28515625" style="480" hidden="1" customWidth="1"/>
    <col min="13" max="13" width="13.7109375" style="480" hidden="1" customWidth="1"/>
    <col min="14" max="14" width="13.28515625" style="480" hidden="1" customWidth="1"/>
    <col min="15" max="15" width="12.85546875" style="480" hidden="1" customWidth="1"/>
    <col min="16" max="16" width="15" style="480" hidden="1" customWidth="1"/>
    <col min="17" max="17" width="14.7109375" style="480" hidden="1" customWidth="1"/>
    <col min="18" max="18" width="15.5703125" style="480" hidden="1" customWidth="1"/>
    <col min="19" max="19" width="15.28515625" style="480" hidden="1" customWidth="1"/>
    <col min="20" max="20" width="15.5703125" style="480" hidden="1" customWidth="1"/>
    <col min="21" max="21" width="15" style="480" hidden="1" customWidth="1"/>
    <col min="22" max="22" width="14.28515625" style="480" hidden="1" customWidth="1"/>
    <col min="23" max="23" width="14.85546875" style="480" hidden="1" customWidth="1"/>
    <col min="24" max="24" width="15" style="480" hidden="1" customWidth="1"/>
    <col min="25" max="25" width="15.7109375" style="480" hidden="1" customWidth="1"/>
    <col min="26" max="26" width="16.5703125" style="480" hidden="1" customWidth="1"/>
    <col min="27" max="27" width="15.7109375" style="541" hidden="1" customWidth="1"/>
    <col min="28" max="28" width="15.28515625" style="481" hidden="1" customWidth="1"/>
    <col min="29" max="29" width="16.28515625" style="481" hidden="1" customWidth="1"/>
    <col min="30" max="30" width="15.5703125" style="480" hidden="1" customWidth="1"/>
    <col min="31" max="32" width="16.28515625" style="480" hidden="1" customWidth="1"/>
    <col min="33" max="33" width="17" style="480" hidden="1" customWidth="1"/>
    <col min="34" max="34" width="16.85546875" style="480" hidden="1" customWidth="1"/>
    <col min="35" max="36" width="16.28515625" style="480" hidden="1" customWidth="1"/>
    <col min="37" max="37" width="15.28515625" style="480" hidden="1" customWidth="1"/>
    <col min="38" max="38" width="16.5703125" style="480" hidden="1" customWidth="1"/>
    <col min="39" max="40" width="17" style="480" hidden="1" customWidth="1"/>
    <col min="41" max="41" width="16.28515625" style="480" hidden="1" customWidth="1"/>
    <col min="42" max="42" width="17" style="480" hidden="1" customWidth="1"/>
    <col min="43" max="43" width="16.85546875" style="480" hidden="1" customWidth="1"/>
    <col min="44" max="44" width="16.5703125" style="480" hidden="1" customWidth="1"/>
    <col min="45" max="45" width="17" style="480" hidden="1" customWidth="1"/>
    <col min="46" max="46" width="18.28515625" style="480" hidden="1" customWidth="1"/>
    <col min="47" max="47" width="18" style="480" hidden="1" customWidth="1"/>
    <col min="48" max="48" width="16.85546875" style="480" hidden="1" customWidth="1"/>
    <col min="49" max="49" width="17" style="480" hidden="1" customWidth="1"/>
    <col min="50" max="50" width="16" style="480" hidden="1" customWidth="1"/>
    <col min="51" max="51" width="17.28515625" style="480" hidden="1" customWidth="1"/>
    <col min="52" max="52" width="16.28515625" style="480" hidden="1" customWidth="1"/>
    <col min="53" max="53" width="16.7109375" style="480" hidden="1" customWidth="1"/>
    <col min="54" max="54" width="18" style="480" hidden="1" customWidth="1"/>
    <col min="55" max="55" width="17.85546875" style="480" hidden="1" customWidth="1"/>
    <col min="56" max="56" width="19.5703125" style="480" hidden="1" customWidth="1"/>
    <col min="57" max="57" width="17.7109375" style="480" hidden="1" customWidth="1"/>
    <col min="58" max="58" width="18.28515625" style="480" hidden="1" customWidth="1"/>
    <col min="59" max="59" width="17" style="480" hidden="1" customWidth="1"/>
    <col min="60" max="60" width="19.5703125" style="480" hidden="1" customWidth="1"/>
    <col min="61" max="61" width="18.28515625" style="480" hidden="1" customWidth="1"/>
    <col min="62" max="62" width="19" style="480" hidden="1" customWidth="1"/>
    <col min="63" max="65" width="18" style="480" hidden="1" customWidth="1"/>
    <col min="66" max="66" width="18.85546875" style="480" hidden="1" customWidth="1"/>
    <col min="67" max="67" width="19.28515625" style="480" hidden="1" customWidth="1"/>
    <col min="68" max="68" width="18.28515625" style="480" hidden="1" customWidth="1"/>
    <col min="69" max="69" width="18.7109375" style="480" hidden="1" customWidth="1"/>
    <col min="70" max="70" width="18" style="480" hidden="1" customWidth="1"/>
    <col min="71" max="71" width="20.85546875" style="480" hidden="1" customWidth="1"/>
    <col min="72" max="72" width="18" style="480" hidden="1" customWidth="1"/>
    <col min="73" max="73" width="17.7109375" style="480" hidden="1" customWidth="1"/>
    <col min="74" max="74" width="17.85546875" style="480" hidden="1" customWidth="1"/>
    <col min="75" max="75" width="18.28515625" style="480" hidden="1" customWidth="1"/>
    <col min="76" max="76" width="19.5703125" style="480" hidden="1" customWidth="1"/>
    <col min="77" max="77" width="12.28515625" style="480" bestFit="1" customWidth="1"/>
    <col min="78" max="78" width="13" style="480" customWidth="1"/>
    <col min="79" max="79" width="11.85546875" style="480" bestFit="1" customWidth="1"/>
    <col min="80" max="80" width="14.140625" style="480" customWidth="1"/>
    <col min="81" max="81" width="12.28515625" style="480" bestFit="1" customWidth="1"/>
    <col min="82" max="82" width="13.28515625" style="480" customWidth="1"/>
    <col min="83" max="83" width="12.7109375" style="480" customWidth="1"/>
    <col min="84" max="84" width="13.5703125" style="480" customWidth="1"/>
    <col min="85" max="85" width="13.140625" style="480" customWidth="1"/>
    <col min="86" max="86" width="13.140625" style="480" bestFit="1" customWidth="1"/>
    <col min="87" max="87" width="13.5703125" style="480" bestFit="1" customWidth="1"/>
    <col min="88" max="88" width="16.7109375" style="480" customWidth="1"/>
    <col min="89" max="89" width="13" style="482" customWidth="1"/>
    <col min="90" max="90" width="10.140625" style="480" bestFit="1" customWidth="1"/>
    <col min="91" max="91" width="12.42578125" style="480" customWidth="1"/>
    <col min="92" max="93" width="11.42578125" style="480" bestFit="1" customWidth="1"/>
    <col min="94" max="94" width="11.7109375" style="480" bestFit="1" customWidth="1"/>
    <col min="95" max="96" width="11.140625" style="480" bestFit="1" customWidth="1"/>
    <col min="97" max="102" width="12" style="480" bestFit="1" customWidth="1"/>
    <col min="103" max="103" width="12.42578125" style="482" bestFit="1" customWidth="1"/>
    <col min="104" max="104" width="6.85546875" style="480" bestFit="1" customWidth="1"/>
    <col min="105" max="105" width="11" style="480" bestFit="1" customWidth="1"/>
    <col min="106" max="106" width="8.42578125" style="480" bestFit="1" customWidth="1"/>
    <col min="107" max="115" width="11" style="480" bestFit="1" customWidth="1"/>
    <col min="116" max="116" width="9.140625" style="482" bestFit="1" customWidth="1"/>
    <col min="117" max="117" width="10.7109375" style="480"/>
    <col min="118" max="118" width="11.42578125" style="480" customWidth="1"/>
    <col min="119" max="124" width="11.28515625" style="480" bestFit="1" customWidth="1"/>
    <col min="125" max="127" width="10.7109375" style="480"/>
    <col min="128" max="128" width="11.28515625" style="480" bestFit="1" customWidth="1"/>
    <col min="129" max="129" width="11" style="482" bestFit="1" customWidth="1"/>
    <col min="130" max="16384" width="10.7109375" style="480"/>
  </cols>
  <sheetData>
    <row r="1" spans="2:129" ht="7.5" customHeight="1">
      <c r="AA1" s="480"/>
    </row>
    <row r="2" spans="2:129" ht="15" customHeight="1">
      <c r="C2" s="970">
        <v>2018</v>
      </c>
      <c r="D2" s="970"/>
      <c r="E2" s="970"/>
      <c r="F2" s="970"/>
      <c r="G2" s="970"/>
      <c r="H2" s="970"/>
      <c r="I2" s="970"/>
      <c r="J2" s="970"/>
      <c r="K2" s="970"/>
      <c r="L2" s="970"/>
      <c r="M2" s="970"/>
      <c r="N2" s="970"/>
      <c r="P2" s="483">
        <v>2019</v>
      </c>
      <c r="Q2" s="484"/>
      <c r="R2" s="484"/>
      <c r="S2" s="484"/>
      <c r="T2" s="484"/>
      <c r="U2" s="484"/>
      <c r="V2" s="484"/>
      <c r="W2" s="484"/>
      <c r="X2" s="484"/>
      <c r="Y2" s="484"/>
      <c r="Z2" s="484"/>
      <c r="AA2" s="484"/>
      <c r="AC2" s="485">
        <v>2020</v>
      </c>
      <c r="AD2" s="484"/>
      <c r="AE2" s="484"/>
      <c r="AF2" s="484"/>
      <c r="AG2" s="484"/>
      <c r="AH2" s="484"/>
      <c r="AI2" s="484"/>
      <c r="AJ2" s="484"/>
      <c r="AL2" s="483" t="s">
        <v>121</v>
      </c>
      <c r="AM2" s="484"/>
      <c r="AN2" s="484"/>
      <c r="AO2" s="484"/>
      <c r="AP2" s="486"/>
      <c r="AQ2" s="484"/>
      <c r="AR2" s="484"/>
      <c r="AS2" s="484"/>
      <c r="AT2" s="484"/>
      <c r="AU2" s="484"/>
      <c r="AV2" s="484"/>
      <c r="AW2" s="484"/>
      <c r="AY2" s="486" t="s">
        <v>122</v>
      </c>
      <c r="AZ2" s="486"/>
      <c r="BA2" s="486"/>
      <c r="BB2" s="486"/>
      <c r="BC2" s="486"/>
      <c r="BD2" s="486"/>
      <c r="BE2" s="486"/>
      <c r="BF2" s="486"/>
      <c r="BG2" s="486"/>
      <c r="BH2" s="486"/>
      <c r="BI2" s="486"/>
      <c r="BJ2" s="486"/>
      <c r="BL2" s="487" t="s">
        <v>123</v>
      </c>
      <c r="BM2" s="487"/>
      <c r="BN2" s="487"/>
      <c r="BO2" s="487"/>
      <c r="BP2" s="487"/>
      <c r="BQ2" s="487"/>
      <c r="BR2" s="487"/>
      <c r="BS2" s="487"/>
      <c r="BT2" s="487"/>
      <c r="BU2" s="487"/>
      <c r="BV2" s="487"/>
      <c r="BW2" s="487"/>
      <c r="BY2" s="971" t="s">
        <v>124</v>
      </c>
      <c r="BZ2" s="971"/>
      <c r="CA2" s="971"/>
      <c r="CB2" s="971"/>
      <c r="CC2" s="971"/>
      <c r="CD2" s="971"/>
      <c r="CE2" s="971"/>
      <c r="CF2" s="971"/>
      <c r="CG2" s="971"/>
      <c r="CH2" s="971"/>
      <c r="CI2" s="971"/>
      <c r="CJ2" s="971"/>
      <c r="CL2" s="482"/>
      <c r="CM2" s="971" t="s">
        <v>344</v>
      </c>
      <c r="CN2" s="971"/>
      <c r="CO2" s="971"/>
      <c r="CP2" s="971"/>
      <c r="CQ2" s="971"/>
      <c r="CR2" s="971"/>
      <c r="CS2" s="971"/>
      <c r="CT2" s="971"/>
      <c r="CU2" s="971"/>
      <c r="CV2" s="971"/>
      <c r="CW2" s="971"/>
      <c r="CX2" s="971"/>
      <c r="CZ2" s="971" t="s">
        <v>466</v>
      </c>
      <c r="DA2" s="971"/>
      <c r="DB2" s="971"/>
      <c r="DC2" s="971"/>
      <c r="DD2" s="971"/>
      <c r="DE2" s="971"/>
      <c r="DF2" s="971"/>
      <c r="DG2" s="971"/>
      <c r="DH2" s="971"/>
      <c r="DI2" s="971"/>
      <c r="DJ2" s="971"/>
      <c r="DK2" s="971"/>
      <c r="DM2" s="971" t="s">
        <v>539</v>
      </c>
      <c r="DN2" s="971"/>
      <c r="DO2" s="971"/>
      <c r="DP2" s="971"/>
      <c r="DQ2" s="971"/>
      <c r="DR2" s="971"/>
      <c r="DS2" s="971"/>
      <c r="DT2" s="971"/>
      <c r="DU2" s="971"/>
      <c r="DV2" s="971"/>
      <c r="DW2" s="971"/>
      <c r="DX2" s="971"/>
    </row>
    <row r="3" spans="2:129" ht="15">
      <c r="B3" s="488" t="s">
        <v>125</v>
      </c>
      <c r="C3" s="489" t="s">
        <v>126</v>
      </c>
      <c r="D3" s="489" t="s">
        <v>127</v>
      </c>
      <c r="E3" s="489" t="s">
        <v>128</v>
      </c>
      <c r="F3" s="489" t="s">
        <v>129</v>
      </c>
      <c r="G3" s="489" t="s">
        <v>130</v>
      </c>
      <c r="H3" s="489" t="s">
        <v>131</v>
      </c>
      <c r="I3" s="489" t="s">
        <v>132</v>
      </c>
      <c r="J3" s="489" t="s">
        <v>133</v>
      </c>
      <c r="K3" s="489" t="s">
        <v>134</v>
      </c>
      <c r="L3" s="489" t="s">
        <v>135</v>
      </c>
      <c r="M3" s="489" t="s">
        <v>136</v>
      </c>
      <c r="N3" s="489" t="s">
        <v>137</v>
      </c>
      <c r="O3" s="490" t="s">
        <v>138</v>
      </c>
      <c r="P3" s="491" t="s">
        <v>126</v>
      </c>
      <c r="Q3" s="491" t="s">
        <v>127</v>
      </c>
      <c r="R3" s="491" t="s">
        <v>128</v>
      </c>
      <c r="S3" s="491" t="s">
        <v>129</v>
      </c>
      <c r="T3" s="491" t="s">
        <v>130</v>
      </c>
      <c r="U3" s="491" t="s">
        <v>131</v>
      </c>
      <c r="V3" s="491" t="s">
        <v>132</v>
      </c>
      <c r="W3" s="492" t="s">
        <v>133</v>
      </c>
      <c r="X3" s="491" t="s">
        <v>134</v>
      </c>
      <c r="Y3" s="491" t="s">
        <v>135</v>
      </c>
      <c r="Z3" s="491" t="s">
        <v>136</v>
      </c>
      <c r="AA3" s="491" t="s">
        <v>137</v>
      </c>
      <c r="AB3" s="493" t="s">
        <v>138</v>
      </c>
      <c r="AC3" s="494" t="s">
        <v>126</v>
      </c>
      <c r="AD3" s="491" t="s">
        <v>127</v>
      </c>
      <c r="AE3" s="491" t="s">
        <v>128</v>
      </c>
      <c r="AF3" s="491" t="s">
        <v>129</v>
      </c>
      <c r="AG3" s="491" t="s">
        <v>130</v>
      </c>
      <c r="AH3" s="491" t="s">
        <v>131</v>
      </c>
      <c r="AI3" s="491" t="s">
        <v>132</v>
      </c>
      <c r="AJ3" s="491" t="s">
        <v>133</v>
      </c>
      <c r="AK3" s="495" t="s">
        <v>138</v>
      </c>
      <c r="AL3" s="491" t="s">
        <v>134</v>
      </c>
      <c r="AM3" s="491" t="s">
        <v>135</v>
      </c>
      <c r="AN3" s="491" t="s">
        <v>136</v>
      </c>
      <c r="AO3" s="496" t="s">
        <v>137</v>
      </c>
      <c r="AP3" s="497" t="s">
        <v>126</v>
      </c>
      <c r="AQ3" s="491" t="s">
        <v>127</v>
      </c>
      <c r="AR3" s="491" t="s">
        <v>128</v>
      </c>
      <c r="AS3" s="491" t="s">
        <v>129</v>
      </c>
      <c r="AT3" s="491" t="s">
        <v>130</v>
      </c>
      <c r="AU3" s="491" t="s">
        <v>131</v>
      </c>
      <c r="AV3" s="491" t="s">
        <v>132</v>
      </c>
      <c r="AW3" s="491" t="s">
        <v>133</v>
      </c>
      <c r="AX3" s="495" t="s">
        <v>138</v>
      </c>
      <c r="AY3" s="498" t="s">
        <v>134</v>
      </c>
      <c r="AZ3" s="496" t="s">
        <v>135</v>
      </c>
      <c r="BA3" s="496" t="s">
        <v>136</v>
      </c>
      <c r="BB3" s="496" t="s">
        <v>137</v>
      </c>
      <c r="BC3" s="496" t="s">
        <v>126</v>
      </c>
      <c r="BD3" s="496" t="s">
        <v>127</v>
      </c>
      <c r="BE3" s="496" t="s">
        <v>128</v>
      </c>
      <c r="BF3" s="496" t="s">
        <v>129</v>
      </c>
      <c r="BG3" s="496" t="s">
        <v>130</v>
      </c>
      <c r="BH3" s="496" t="s">
        <v>131</v>
      </c>
      <c r="BI3" s="496" t="s">
        <v>132</v>
      </c>
      <c r="BJ3" s="499" t="s">
        <v>133</v>
      </c>
      <c r="BK3" s="495" t="s">
        <v>138</v>
      </c>
      <c r="BL3" s="498" t="s">
        <v>134</v>
      </c>
      <c r="BM3" s="496" t="s">
        <v>135</v>
      </c>
      <c r="BN3" s="496" t="s">
        <v>136</v>
      </c>
      <c r="BO3" s="496" t="s">
        <v>137</v>
      </c>
      <c r="BP3" s="496" t="s">
        <v>126</v>
      </c>
      <c r="BQ3" s="496" t="s">
        <v>127</v>
      </c>
      <c r="BR3" s="496" t="s">
        <v>128</v>
      </c>
      <c r="BS3" s="496" t="s">
        <v>129</v>
      </c>
      <c r="BT3" s="496" t="s">
        <v>130</v>
      </c>
      <c r="BU3" s="496" t="s">
        <v>131</v>
      </c>
      <c r="BV3" s="496" t="s">
        <v>132</v>
      </c>
      <c r="BW3" s="499" t="s">
        <v>133</v>
      </c>
      <c r="BX3" s="495" t="s">
        <v>138</v>
      </c>
      <c r="BY3" s="498" t="s">
        <v>134</v>
      </c>
      <c r="BZ3" s="496" t="s">
        <v>135</v>
      </c>
      <c r="CA3" s="496" t="s">
        <v>136</v>
      </c>
      <c r="CB3" s="496" t="s">
        <v>137</v>
      </c>
      <c r="CC3" s="496" t="s">
        <v>126</v>
      </c>
      <c r="CD3" s="496" t="s">
        <v>127</v>
      </c>
      <c r="CE3" s="496" t="s">
        <v>128</v>
      </c>
      <c r="CF3" s="496" t="s">
        <v>129</v>
      </c>
      <c r="CG3" s="496" t="s">
        <v>130</v>
      </c>
      <c r="CH3" s="496" t="s">
        <v>131</v>
      </c>
      <c r="CI3" s="496" t="s">
        <v>132</v>
      </c>
      <c r="CJ3" s="496" t="s">
        <v>133</v>
      </c>
      <c r="CK3" s="495" t="s">
        <v>138</v>
      </c>
      <c r="CL3" s="646" t="s">
        <v>413</v>
      </c>
      <c r="CM3" s="496" t="s">
        <v>134</v>
      </c>
      <c r="CN3" s="496" t="s">
        <v>135</v>
      </c>
      <c r="CO3" s="496" t="s">
        <v>136</v>
      </c>
      <c r="CP3" s="496" t="s">
        <v>137</v>
      </c>
      <c r="CQ3" s="496" t="s">
        <v>126</v>
      </c>
      <c r="CR3" s="496" t="s">
        <v>127</v>
      </c>
      <c r="CS3" s="496" t="s">
        <v>128</v>
      </c>
      <c r="CT3" s="496" t="s">
        <v>129</v>
      </c>
      <c r="CU3" s="496" t="s">
        <v>130</v>
      </c>
      <c r="CV3" s="496" t="s">
        <v>131</v>
      </c>
      <c r="CW3" s="496" t="s">
        <v>132</v>
      </c>
      <c r="CX3" s="499" t="s">
        <v>133</v>
      </c>
      <c r="CY3" s="495" t="s">
        <v>138</v>
      </c>
      <c r="CZ3" s="496" t="s">
        <v>134</v>
      </c>
      <c r="DA3" s="496" t="s">
        <v>135</v>
      </c>
      <c r="DB3" s="496" t="s">
        <v>136</v>
      </c>
      <c r="DC3" s="496" t="s">
        <v>137</v>
      </c>
      <c r="DD3" s="496" t="s">
        <v>126</v>
      </c>
      <c r="DE3" s="496" t="s">
        <v>127</v>
      </c>
      <c r="DF3" s="496" t="s">
        <v>128</v>
      </c>
      <c r="DG3" s="496" t="s">
        <v>129</v>
      </c>
      <c r="DH3" s="496" t="s">
        <v>130</v>
      </c>
      <c r="DI3" s="496" t="s">
        <v>131</v>
      </c>
      <c r="DJ3" s="496" t="s">
        <v>132</v>
      </c>
      <c r="DK3" s="499" t="s">
        <v>133</v>
      </c>
      <c r="DL3" s="495" t="s">
        <v>138</v>
      </c>
      <c r="DM3" s="496" t="s">
        <v>134</v>
      </c>
      <c r="DN3" s="496" t="s">
        <v>135</v>
      </c>
      <c r="DO3" s="496" t="s">
        <v>136</v>
      </c>
      <c r="DP3" s="496" t="s">
        <v>137</v>
      </c>
      <c r="DQ3" s="496" t="s">
        <v>126</v>
      </c>
      <c r="DR3" s="496" t="s">
        <v>127</v>
      </c>
      <c r="DS3" s="496" t="s">
        <v>128</v>
      </c>
      <c r="DT3" s="496" t="s">
        <v>129</v>
      </c>
      <c r="DU3" s="496" t="s">
        <v>130</v>
      </c>
      <c r="DV3" s="496" t="s">
        <v>131</v>
      </c>
      <c r="DW3" s="496" t="s">
        <v>132</v>
      </c>
      <c r="DX3" s="499" t="s">
        <v>133</v>
      </c>
      <c r="DY3" s="495" t="s">
        <v>138</v>
      </c>
    </row>
    <row r="4" spans="2:129" ht="15">
      <c r="C4" s="579"/>
      <c r="D4" s="579"/>
      <c r="E4" s="579"/>
      <c r="F4" s="579"/>
      <c r="G4" s="579"/>
      <c r="H4" s="579"/>
      <c r="I4" s="579"/>
      <c r="J4" s="579"/>
      <c r="K4" s="579"/>
      <c r="L4" s="579"/>
      <c r="M4" s="538"/>
      <c r="N4" s="538"/>
      <c r="O4" s="575"/>
      <c r="P4" s="647"/>
      <c r="Q4" s="647"/>
      <c r="R4" s="647"/>
      <c r="S4" s="647"/>
      <c r="T4" s="647"/>
      <c r="U4" s="647"/>
      <c r="V4" s="647"/>
      <c r="W4" s="647"/>
      <c r="X4" s="647"/>
      <c r="Y4" s="647"/>
      <c r="Z4" s="647"/>
      <c r="AA4" s="647"/>
      <c r="AB4" s="517"/>
      <c r="AC4" s="648"/>
      <c r="AD4" s="647"/>
      <c r="AE4" s="647"/>
      <c r="AF4" s="647"/>
      <c r="AG4" s="647"/>
      <c r="AH4" s="647"/>
      <c r="AI4" s="647"/>
      <c r="AJ4" s="647"/>
      <c r="AK4" s="582"/>
      <c r="AL4" s="647"/>
      <c r="AM4" s="647"/>
      <c r="AN4" s="647"/>
      <c r="AO4" s="647"/>
      <c r="AP4" s="647"/>
      <c r="AQ4" s="647"/>
      <c r="AR4" s="647"/>
      <c r="AS4" s="647"/>
      <c r="AT4" s="647"/>
      <c r="AU4" s="647"/>
      <c r="AV4" s="647"/>
      <c r="AW4" s="647"/>
      <c r="AX4" s="517"/>
      <c r="AY4" s="532"/>
      <c r="AZ4" s="515"/>
      <c r="BA4" s="515"/>
      <c r="BB4" s="515"/>
      <c r="BC4" s="515"/>
      <c r="BD4" s="515"/>
      <c r="BE4" s="515"/>
      <c r="BF4" s="515"/>
      <c r="BG4" s="515"/>
      <c r="BH4" s="515"/>
      <c r="BI4" s="515"/>
      <c r="BJ4" s="515"/>
      <c r="BK4" s="517"/>
      <c r="BL4" s="518"/>
      <c r="BM4" s="515"/>
      <c r="BN4" s="576"/>
      <c r="BO4" s="515"/>
      <c r="BP4" s="515"/>
      <c r="BQ4" s="515"/>
      <c r="BR4" s="515"/>
      <c r="BS4" s="515"/>
      <c r="BT4" s="515"/>
      <c r="BU4" s="515"/>
      <c r="BV4" s="515"/>
      <c r="BW4" s="515"/>
      <c r="BX4" s="517"/>
      <c r="BY4" s="532"/>
      <c r="BZ4" s="532"/>
      <c r="CA4" s="532"/>
      <c r="CB4" s="532"/>
      <c r="CC4" s="532"/>
      <c r="CD4" s="532"/>
      <c r="CE4" s="532"/>
      <c r="CF4" s="532"/>
      <c r="CG4" s="532"/>
      <c r="CH4" s="532"/>
      <c r="CI4" s="532"/>
      <c r="CJ4" s="532"/>
      <c r="CK4" s="649"/>
      <c r="CL4" s="649"/>
      <c r="CM4" s="543"/>
      <c r="CN4" s="541"/>
      <c r="CO4" s="543"/>
      <c r="CP4" s="541"/>
      <c r="CQ4" s="541"/>
      <c r="CR4" s="541"/>
      <c r="CS4" s="541"/>
      <c r="CT4" s="541"/>
      <c r="CU4" s="541"/>
      <c r="CV4" s="541"/>
      <c r="CW4" s="541"/>
      <c r="CX4" s="541"/>
      <c r="CY4" s="519"/>
      <c r="CZ4" s="541"/>
      <c r="DA4" s="541"/>
      <c r="DB4" s="541"/>
      <c r="DC4" s="541"/>
      <c r="DD4" s="541"/>
      <c r="DE4" s="541"/>
      <c r="DF4" s="541"/>
      <c r="DG4" s="541"/>
      <c r="DH4" s="541"/>
      <c r="DL4" s="519"/>
      <c r="DY4" s="519"/>
    </row>
    <row r="5" spans="2:129" s="658" customFormat="1" ht="15">
      <c r="B5" s="650" t="s">
        <v>363</v>
      </c>
      <c r="C5" s="651"/>
      <c r="D5" s="651"/>
      <c r="E5" s="651"/>
      <c r="F5" s="651"/>
      <c r="G5" s="651"/>
      <c r="H5" s="651"/>
      <c r="I5" s="651"/>
      <c r="J5" s="651"/>
      <c r="K5" s="651"/>
      <c r="L5" s="651"/>
      <c r="M5" s="651"/>
      <c r="N5" s="651"/>
      <c r="O5" s="652"/>
      <c r="P5" s="653"/>
      <c r="Q5" s="653"/>
      <c r="R5" s="653"/>
      <c r="S5" s="653"/>
      <c r="T5" s="653"/>
      <c r="U5" s="653"/>
      <c r="V5" s="653"/>
      <c r="W5" s="653"/>
      <c r="X5" s="653"/>
      <c r="Y5" s="653"/>
      <c r="Z5" s="653"/>
      <c r="AA5" s="653"/>
      <c r="AB5" s="654"/>
      <c r="AC5" s="655"/>
      <c r="AD5" s="653"/>
      <c r="AE5" s="653"/>
      <c r="AF5" s="653"/>
      <c r="AG5" s="653"/>
      <c r="AH5" s="653"/>
      <c r="AI5" s="653"/>
      <c r="AJ5" s="653"/>
      <c r="AK5" s="656"/>
      <c r="AL5" s="653"/>
      <c r="AM5" s="653"/>
      <c r="AN5" s="653"/>
      <c r="AO5" s="653"/>
      <c r="AP5" s="653"/>
      <c r="AQ5" s="653"/>
      <c r="AR5" s="653"/>
      <c r="AS5" s="653"/>
      <c r="AT5" s="653"/>
      <c r="AU5" s="653"/>
      <c r="AV5" s="653"/>
      <c r="AW5" s="653"/>
      <c r="AX5" s="654"/>
      <c r="AY5" s="657"/>
      <c r="AZ5" s="656"/>
      <c r="BA5" s="656"/>
      <c r="BB5" s="656"/>
      <c r="BC5" s="656"/>
      <c r="BD5" s="656"/>
      <c r="BE5" s="656"/>
      <c r="BF5" s="656"/>
      <c r="BG5" s="656"/>
      <c r="BH5" s="656"/>
      <c r="BI5" s="656"/>
      <c r="BJ5" s="656"/>
      <c r="BK5" s="654"/>
      <c r="BL5" s="654"/>
      <c r="BM5" s="656"/>
      <c r="BN5" s="656"/>
      <c r="BO5" s="656"/>
      <c r="BP5" s="656"/>
      <c r="BQ5" s="656"/>
      <c r="BR5" s="656"/>
      <c r="BS5" s="656"/>
      <c r="BT5" s="656"/>
      <c r="BU5" s="656"/>
      <c r="BV5" s="656"/>
      <c r="BW5" s="656"/>
      <c r="BX5" s="654"/>
      <c r="CK5" s="659"/>
      <c r="CL5" s="660"/>
      <c r="CY5" s="659"/>
      <c r="DL5" s="659"/>
      <c r="DY5" s="659"/>
    </row>
    <row r="6" spans="2:129" ht="15">
      <c r="B6" s="661" t="s">
        <v>421</v>
      </c>
      <c r="C6" s="579"/>
      <c r="D6" s="579"/>
      <c r="E6" s="579"/>
      <c r="F6" s="579"/>
      <c r="G6" s="579"/>
      <c r="H6" s="579"/>
      <c r="I6" s="579"/>
      <c r="J6" s="579"/>
      <c r="K6" s="579"/>
      <c r="L6" s="579"/>
      <c r="M6" s="538"/>
      <c r="N6" s="538"/>
      <c r="O6" s="575"/>
      <c r="P6" s="647"/>
      <c r="Q6" s="647"/>
      <c r="R6" s="647"/>
      <c r="S6" s="647"/>
      <c r="T6" s="647"/>
      <c r="U6" s="647"/>
      <c r="V6" s="647"/>
      <c r="W6" s="647"/>
      <c r="X6" s="647"/>
      <c r="Y6" s="647"/>
      <c r="Z6" s="647"/>
      <c r="AA6" s="647"/>
      <c r="AB6" s="517"/>
      <c r="AC6" s="648"/>
      <c r="AD6" s="647"/>
      <c r="AE6" s="647"/>
      <c r="AF6" s="647"/>
      <c r="AG6" s="647"/>
      <c r="AH6" s="647"/>
      <c r="AI6" s="647"/>
      <c r="AJ6" s="647"/>
      <c r="AK6" s="582"/>
      <c r="AL6" s="647"/>
      <c r="AM6" s="647"/>
      <c r="AN6" s="647"/>
      <c r="AO6" s="647"/>
      <c r="AP6" s="647"/>
      <c r="AQ6" s="647"/>
      <c r="AR6" s="647"/>
      <c r="AS6" s="647"/>
      <c r="AT6" s="647"/>
      <c r="AU6" s="647"/>
      <c r="AV6" s="647"/>
      <c r="AW6" s="647"/>
      <c r="AX6" s="517"/>
      <c r="AY6" s="532"/>
      <c r="AZ6" s="515"/>
      <c r="BA6" s="515"/>
      <c r="BB6" s="515"/>
      <c r="BC6" s="515"/>
      <c r="BD6" s="515"/>
      <c r="BE6" s="515"/>
      <c r="BF6" s="515"/>
      <c r="BG6" s="515"/>
      <c r="BH6" s="515"/>
      <c r="BI6" s="515"/>
      <c r="BJ6" s="515"/>
      <c r="BK6" s="517"/>
      <c r="BL6" s="518"/>
      <c r="BM6" s="515"/>
      <c r="BN6" s="576"/>
      <c r="BO6" s="515"/>
      <c r="BP6" s="515"/>
      <c r="BQ6" s="515"/>
      <c r="BR6" s="515"/>
      <c r="BS6" s="515"/>
      <c r="BT6" s="515"/>
      <c r="BU6" s="515"/>
      <c r="BV6" s="515"/>
      <c r="BW6" s="515"/>
      <c r="BX6" s="517"/>
      <c r="BY6" s="662"/>
      <c r="BZ6" s="541"/>
      <c r="CA6" s="543"/>
      <c r="CB6" s="541"/>
      <c r="CC6" s="541"/>
      <c r="CD6" s="541"/>
      <c r="CE6" s="663"/>
      <c r="CF6" s="541"/>
      <c r="CG6" s="541"/>
      <c r="CH6" s="541"/>
      <c r="CI6" s="541"/>
      <c r="CJ6" s="541"/>
      <c r="CK6" s="664"/>
      <c r="CL6" s="649"/>
      <c r="CM6" s="543"/>
      <c r="CN6" s="541"/>
      <c r="CO6" s="543"/>
      <c r="CP6" s="541"/>
      <c r="CQ6" s="663"/>
      <c r="CR6" s="663"/>
      <c r="CS6" s="541"/>
      <c r="CT6" s="541"/>
      <c r="CU6" s="541"/>
      <c r="CV6" s="541"/>
      <c r="CW6" s="663"/>
      <c r="CX6" s="541"/>
      <c r="CY6" s="519"/>
      <c r="CZ6" s="883"/>
      <c r="DA6" s="663"/>
      <c r="DB6" s="663"/>
      <c r="DC6" s="663"/>
      <c r="DD6" s="663"/>
      <c r="DE6" s="663"/>
      <c r="DF6" s="663"/>
      <c r="DG6" s="663"/>
      <c r="DH6" s="663"/>
      <c r="DI6" s="510"/>
      <c r="DJ6" s="510"/>
      <c r="DK6" s="510"/>
      <c r="DL6" s="664"/>
      <c r="DM6" s="855"/>
      <c r="DN6" s="510"/>
      <c r="DO6" s="510"/>
      <c r="DP6" s="510"/>
      <c r="DQ6" s="510"/>
      <c r="DR6" s="510"/>
      <c r="DS6" s="510"/>
      <c r="DT6" s="510"/>
      <c r="DU6" s="510"/>
      <c r="DV6" s="510"/>
      <c r="DW6" s="510"/>
      <c r="DX6" s="510"/>
      <c r="DY6" s="664"/>
    </row>
    <row r="7" spans="2:129" ht="15">
      <c r="B7" s="665" t="s">
        <v>422</v>
      </c>
      <c r="C7" s="579"/>
      <c r="D7" s="579"/>
      <c r="E7" s="579"/>
      <c r="F7" s="579"/>
      <c r="G7" s="579"/>
      <c r="H7" s="579"/>
      <c r="I7" s="579"/>
      <c r="J7" s="579"/>
      <c r="K7" s="579"/>
      <c r="L7" s="579"/>
      <c r="M7" s="538"/>
      <c r="N7" s="538"/>
      <c r="O7" s="575"/>
      <c r="P7" s="666"/>
      <c r="Q7" s="666"/>
      <c r="R7" s="666"/>
      <c r="S7" s="666"/>
      <c r="T7" s="666"/>
      <c r="U7" s="666"/>
      <c r="V7" s="666"/>
      <c r="W7" s="666"/>
      <c r="X7" s="666"/>
      <c r="Y7" s="666"/>
      <c r="Z7" s="666"/>
      <c r="AA7" s="666"/>
      <c r="AB7" s="667"/>
      <c r="AC7" s="668"/>
      <c r="AD7" s="666"/>
      <c r="AE7" s="666"/>
      <c r="AF7" s="666"/>
      <c r="AG7" s="666"/>
      <c r="AH7" s="666"/>
      <c r="AI7" s="666"/>
      <c r="AJ7" s="666"/>
      <c r="AK7" s="669"/>
      <c r="AL7" s="666"/>
      <c r="AM7" s="666"/>
      <c r="AN7" s="666"/>
      <c r="AO7" s="666"/>
      <c r="AP7" s="666"/>
      <c r="AQ7" s="666"/>
      <c r="AR7" s="666"/>
      <c r="AS7" s="666"/>
      <c r="AT7" s="666"/>
      <c r="AU7" s="666"/>
      <c r="AV7" s="666"/>
      <c r="AW7" s="666"/>
      <c r="AX7" s="667"/>
      <c r="AY7" s="670"/>
      <c r="AZ7" s="671"/>
      <c r="BA7" s="671"/>
      <c r="BB7" s="671"/>
      <c r="BC7" s="671"/>
      <c r="BD7" s="671"/>
      <c r="BE7" s="671"/>
      <c r="BF7" s="671"/>
      <c r="BG7" s="671"/>
      <c r="BH7" s="671"/>
      <c r="BI7" s="671"/>
      <c r="BJ7" s="671"/>
      <c r="BK7" s="667"/>
      <c r="BL7" s="672"/>
      <c r="BM7" s="671"/>
      <c r="BN7" s="673"/>
      <c r="BO7" s="671"/>
      <c r="BP7" s="671"/>
      <c r="BQ7" s="671"/>
      <c r="BR7" s="671"/>
      <c r="BS7" s="671"/>
      <c r="BT7" s="671"/>
      <c r="BU7" s="671"/>
      <c r="BV7" s="671"/>
      <c r="BW7" s="671"/>
      <c r="BX7" s="674"/>
      <c r="BY7" s="675"/>
      <c r="BZ7" s="676"/>
      <c r="CA7" s="677"/>
      <c r="CB7" s="678"/>
      <c r="CC7" s="679">
        <f>339.05+170.12</f>
        <v>509.17</v>
      </c>
      <c r="CD7" s="679">
        <f>134.58</f>
        <v>134.58000000000001</v>
      </c>
      <c r="CE7" s="541"/>
      <c r="CF7" s="678"/>
      <c r="CG7" s="678"/>
      <c r="CH7" s="678"/>
      <c r="CI7" s="678"/>
      <c r="CJ7" s="680"/>
      <c r="CK7" s="517">
        <f>SUM(BY7:CJ7)</f>
        <v>643.75</v>
      </c>
      <c r="CL7" s="674"/>
      <c r="CM7" s="798"/>
      <c r="CN7" s="678"/>
      <c r="CO7" s="810"/>
      <c r="CP7" s="810"/>
      <c r="CQ7" s="541"/>
      <c r="CR7" s="541"/>
      <c r="CS7" s="678"/>
      <c r="CT7" s="678"/>
      <c r="CU7" s="678"/>
      <c r="CV7" s="678"/>
      <c r="CW7" s="541"/>
      <c r="CX7" s="676"/>
      <c r="CY7" s="519">
        <f>SUM(CM7:CX7)</f>
        <v>0</v>
      </c>
      <c r="CZ7" s="891"/>
      <c r="DA7" s="525"/>
      <c r="DB7" s="541"/>
      <c r="DC7" s="541"/>
      <c r="DD7" s="541"/>
      <c r="DE7" s="541"/>
      <c r="DF7" s="541"/>
      <c r="DG7" s="525"/>
      <c r="DH7" s="541"/>
      <c r="DI7" s="892">
        <f>615.6+121.93</f>
        <v>737.53</v>
      </c>
      <c r="DJ7" s="527"/>
      <c r="DK7" s="527"/>
      <c r="DL7" s="893">
        <f t="shared" ref="DL7" si="0">SUM(CZ7:DK7)</f>
        <v>737.53</v>
      </c>
      <c r="DM7" s="481"/>
      <c r="DY7" s="674">
        <f t="shared" ref="DY7" si="1">SUM(DM7:DX7)</f>
        <v>0</v>
      </c>
    </row>
    <row r="8" spans="2:129" ht="15">
      <c r="B8" s="480" t="s">
        <v>476</v>
      </c>
      <c r="C8" s="579"/>
      <c r="D8" s="579"/>
      <c r="E8" s="579"/>
      <c r="F8" s="579"/>
      <c r="G8" s="579"/>
      <c r="H8" s="579"/>
      <c r="I8" s="579"/>
      <c r="J8" s="579"/>
      <c r="K8" s="579"/>
      <c r="L8" s="579"/>
      <c r="M8" s="538"/>
      <c r="N8" s="538"/>
      <c r="O8" s="575"/>
      <c r="P8" s="647"/>
      <c r="Q8" s="647"/>
      <c r="R8" s="647"/>
      <c r="S8" s="647"/>
      <c r="T8" s="647"/>
      <c r="U8" s="647"/>
      <c r="V8" s="647"/>
      <c r="W8" s="647"/>
      <c r="X8" s="647"/>
      <c r="Y8" s="647"/>
      <c r="Z8" s="647"/>
      <c r="AA8" s="647"/>
      <c r="AB8" s="517"/>
      <c r="AC8" s="648"/>
      <c r="AD8" s="647"/>
      <c r="AE8" s="647"/>
      <c r="AF8" s="647"/>
      <c r="AG8" s="647"/>
      <c r="AH8" s="647"/>
      <c r="AI8" s="647"/>
      <c r="AJ8" s="647"/>
      <c r="AK8" s="582"/>
      <c r="AL8" s="647"/>
      <c r="AM8" s="647"/>
      <c r="AN8" s="647"/>
      <c r="AO8" s="647"/>
      <c r="AP8" s="647"/>
      <c r="AQ8" s="647"/>
      <c r="AR8" s="647"/>
      <c r="AS8" s="647"/>
      <c r="AT8" s="647"/>
      <c r="AU8" s="647"/>
      <c r="AV8" s="647"/>
      <c r="AW8" s="647"/>
      <c r="AX8" s="517"/>
      <c r="AY8" s="532"/>
      <c r="AZ8" s="515"/>
      <c r="BA8" s="515"/>
      <c r="BB8" s="515"/>
      <c r="BC8" s="515"/>
      <c r="BD8" s="515"/>
      <c r="BE8" s="515"/>
      <c r="BF8" s="515"/>
      <c r="BG8" s="515"/>
      <c r="BH8" s="515"/>
      <c r="BI8" s="515"/>
      <c r="BJ8" s="515"/>
      <c r="BK8" s="517"/>
      <c r="BL8" s="518"/>
      <c r="BM8" s="515"/>
      <c r="BN8" s="576"/>
      <c r="BO8" s="515"/>
      <c r="BP8" s="515"/>
      <c r="BQ8" s="515"/>
      <c r="BR8" s="515"/>
      <c r="BS8" s="515"/>
      <c r="BT8" s="515"/>
      <c r="BU8" s="515"/>
      <c r="BV8" s="515"/>
      <c r="BW8" s="515"/>
      <c r="BX8" s="519"/>
      <c r="BY8" s="682"/>
      <c r="BZ8" s="516"/>
      <c r="CA8" s="683"/>
      <c r="CB8" s="541"/>
      <c r="CC8" s="542"/>
      <c r="CD8" s="542"/>
      <c r="CE8" s="541"/>
      <c r="CF8" s="516"/>
      <c r="CG8" s="541"/>
      <c r="CH8" s="541"/>
      <c r="CI8" s="541"/>
      <c r="CJ8" s="684"/>
      <c r="CK8" s="517">
        <f>SUM(BY8:CJ8)</f>
        <v>0</v>
      </c>
      <c r="CL8" s="519"/>
      <c r="CM8" s="543"/>
      <c r="CN8" s="541"/>
      <c r="CO8" s="543"/>
      <c r="CP8" s="532">
        <v>18560</v>
      </c>
      <c r="CQ8" s="532">
        <v>2972.85</v>
      </c>
      <c r="CR8" s="541"/>
      <c r="CS8" s="541"/>
      <c r="CT8" s="541"/>
      <c r="CU8" s="541"/>
      <c r="CV8" s="541"/>
      <c r="CW8" s="541"/>
      <c r="CX8" s="516"/>
      <c r="CY8" s="519">
        <f>SUM(CM8:CX8)</f>
        <v>21532.85</v>
      </c>
      <c r="CZ8" s="525"/>
      <c r="DA8" s="533"/>
      <c r="DB8" s="541"/>
      <c r="DC8" s="525"/>
      <c r="DD8" s="525"/>
      <c r="DE8" s="525"/>
      <c r="DF8" s="525"/>
      <c r="DG8" s="541"/>
      <c r="DH8" s="541"/>
      <c r="DI8" s="572"/>
      <c r="DJ8" s="527"/>
      <c r="DK8" s="527"/>
      <c r="DL8" s="893">
        <f>SUM(CZ8:DK8)</f>
        <v>0</v>
      </c>
      <c r="DM8" s="481"/>
      <c r="DN8" s="572">
        <f>177331*0+158084</f>
        <v>158084</v>
      </c>
      <c r="DY8" s="519">
        <f>SUM(DM8:DX8)</f>
        <v>158084</v>
      </c>
    </row>
    <row r="9" spans="2:129" ht="15">
      <c r="B9" s="480" t="s">
        <v>545</v>
      </c>
      <c r="C9" s="579"/>
      <c r="D9" s="579"/>
      <c r="E9" s="579"/>
      <c r="F9" s="579"/>
      <c r="G9" s="579"/>
      <c r="H9" s="579"/>
      <c r="I9" s="579"/>
      <c r="J9" s="579"/>
      <c r="K9" s="579"/>
      <c r="L9" s="579"/>
      <c r="M9" s="538"/>
      <c r="N9" s="538"/>
      <c r="O9" s="575"/>
      <c r="P9" s="647"/>
      <c r="Q9" s="647"/>
      <c r="R9" s="647"/>
      <c r="S9" s="647"/>
      <c r="T9" s="647"/>
      <c r="U9" s="647"/>
      <c r="V9" s="647"/>
      <c r="W9" s="647"/>
      <c r="X9" s="647"/>
      <c r="Y9" s="647"/>
      <c r="Z9" s="647"/>
      <c r="AA9" s="647"/>
      <c r="AB9" s="517"/>
      <c r="AC9" s="648"/>
      <c r="AD9" s="647"/>
      <c r="AE9" s="647"/>
      <c r="AF9" s="647"/>
      <c r="AG9" s="647"/>
      <c r="AH9" s="647"/>
      <c r="AI9" s="647"/>
      <c r="AJ9" s="647"/>
      <c r="AK9" s="582"/>
      <c r="AL9" s="647"/>
      <c r="AM9" s="647"/>
      <c r="AN9" s="647"/>
      <c r="AO9" s="647"/>
      <c r="AP9" s="647"/>
      <c r="AQ9" s="647"/>
      <c r="AR9" s="647"/>
      <c r="AS9" s="647"/>
      <c r="AT9" s="647"/>
      <c r="AU9" s="647"/>
      <c r="AV9" s="647"/>
      <c r="AW9" s="647"/>
      <c r="AX9" s="517"/>
      <c r="AY9" s="532"/>
      <c r="AZ9" s="515"/>
      <c r="BA9" s="515"/>
      <c r="BB9" s="515"/>
      <c r="BC9" s="515"/>
      <c r="BD9" s="515"/>
      <c r="BE9" s="515"/>
      <c r="BF9" s="515"/>
      <c r="BG9" s="515"/>
      <c r="BH9" s="515"/>
      <c r="BI9" s="515"/>
      <c r="BJ9" s="515"/>
      <c r="BK9" s="517"/>
      <c r="BL9" s="518"/>
      <c r="BM9" s="515"/>
      <c r="BN9" s="576"/>
      <c r="BO9" s="515"/>
      <c r="BP9" s="515"/>
      <c r="BQ9" s="515"/>
      <c r="BR9" s="515"/>
      <c r="BS9" s="515"/>
      <c r="BT9" s="515"/>
      <c r="BU9" s="515"/>
      <c r="BV9" s="515"/>
      <c r="BW9" s="515"/>
      <c r="BX9" s="519"/>
      <c r="BY9" s="682"/>
      <c r="BZ9" s="516"/>
      <c r="CA9" s="683"/>
      <c r="CB9" s="541"/>
      <c r="CC9" s="542"/>
      <c r="CD9" s="542"/>
      <c r="CE9" s="541"/>
      <c r="CF9" s="516"/>
      <c r="CG9" s="541"/>
      <c r="CH9" s="541"/>
      <c r="CI9" s="541"/>
      <c r="CJ9" s="684"/>
      <c r="CK9" s="517"/>
      <c r="CL9" s="519"/>
      <c r="CM9" s="543"/>
      <c r="CN9" s="541"/>
      <c r="CO9" s="543"/>
      <c r="CP9" s="532"/>
      <c r="CQ9" s="541"/>
      <c r="CR9" s="541"/>
      <c r="CS9" s="541"/>
      <c r="CT9" s="541"/>
      <c r="CU9" s="541"/>
      <c r="CV9" s="541"/>
      <c r="CW9" s="541"/>
      <c r="CX9" s="516"/>
      <c r="CY9" s="519">
        <f>SUM(CM9:CX9)</f>
        <v>0</v>
      </c>
      <c r="CZ9" s="525"/>
      <c r="DA9" s="533"/>
      <c r="DB9" s="525"/>
      <c r="DC9" s="525"/>
      <c r="DD9" s="525"/>
      <c r="DE9" s="525"/>
      <c r="DF9" s="563"/>
      <c r="DG9" s="525"/>
      <c r="DH9" s="525"/>
      <c r="DI9" s="527"/>
      <c r="DJ9" s="527"/>
      <c r="DK9" s="572"/>
      <c r="DL9" s="893">
        <f>SUM(CZ9:DK9)</f>
        <v>0</v>
      </c>
      <c r="DM9" s="481"/>
      <c r="DP9" s="575">
        <f>78549.9</f>
        <v>78549.899999999994</v>
      </c>
      <c r="DY9" s="519">
        <f>SUM(DM9:DX9)</f>
        <v>78549.899999999994</v>
      </c>
    </row>
    <row r="10" spans="2:129" ht="15">
      <c r="B10" s="685" t="s">
        <v>424</v>
      </c>
      <c r="C10" s="579"/>
      <c r="D10" s="579"/>
      <c r="E10" s="579"/>
      <c r="F10" s="579"/>
      <c r="G10" s="579"/>
      <c r="H10" s="579"/>
      <c r="I10" s="579"/>
      <c r="J10" s="579"/>
      <c r="K10" s="579"/>
      <c r="L10" s="579"/>
      <c r="M10" s="538"/>
      <c r="N10" s="538"/>
      <c r="O10" s="575"/>
      <c r="P10" s="686"/>
      <c r="Q10" s="686"/>
      <c r="R10" s="686"/>
      <c r="S10" s="686"/>
      <c r="T10" s="686"/>
      <c r="U10" s="686"/>
      <c r="V10" s="686"/>
      <c r="W10" s="686"/>
      <c r="X10" s="686"/>
      <c r="Y10" s="686"/>
      <c r="Z10" s="686"/>
      <c r="AA10" s="686"/>
      <c r="AB10" s="687"/>
      <c r="AC10" s="688"/>
      <c r="AD10" s="686"/>
      <c r="AE10" s="686"/>
      <c r="AF10" s="686"/>
      <c r="AG10" s="686"/>
      <c r="AH10" s="686"/>
      <c r="AI10" s="686"/>
      <c r="AJ10" s="686"/>
      <c r="AK10" s="689"/>
      <c r="AL10" s="686"/>
      <c r="AM10" s="686"/>
      <c r="AN10" s="686"/>
      <c r="AO10" s="686"/>
      <c r="AP10" s="686"/>
      <c r="AQ10" s="686"/>
      <c r="AR10" s="686"/>
      <c r="AS10" s="686"/>
      <c r="AT10" s="686"/>
      <c r="AU10" s="686"/>
      <c r="AV10" s="686"/>
      <c r="AW10" s="686"/>
      <c r="AX10" s="687"/>
      <c r="AY10" s="504"/>
      <c r="AZ10" s="690"/>
      <c r="BA10" s="690"/>
      <c r="BB10" s="690"/>
      <c r="BC10" s="690"/>
      <c r="BD10" s="690"/>
      <c r="BE10" s="690"/>
      <c r="BF10" s="690"/>
      <c r="BG10" s="690"/>
      <c r="BH10" s="690"/>
      <c r="BI10" s="690"/>
      <c r="BJ10" s="690"/>
      <c r="BK10" s="687"/>
      <c r="BL10" s="691"/>
      <c r="BM10" s="690"/>
      <c r="BN10" s="692"/>
      <c r="BO10" s="690"/>
      <c r="BP10" s="690"/>
      <c r="BQ10" s="690"/>
      <c r="BR10" s="690"/>
      <c r="BS10" s="690"/>
      <c r="BT10" s="690"/>
      <c r="BU10" s="690"/>
      <c r="BV10" s="690"/>
      <c r="BW10" s="690"/>
      <c r="BX10" s="664"/>
      <c r="BY10" s="693">
        <v>2277.0300000000002</v>
      </c>
      <c r="BZ10" s="663"/>
      <c r="CA10" s="694"/>
      <c r="CB10" s="663"/>
      <c r="CC10" s="663"/>
      <c r="CD10" s="663"/>
      <c r="CE10" s="663"/>
      <c r="CF10" s="663"/>
      <c r="CG10" s="663"/>
      <c r="CH10" s="663"/>
      <c r="CI10" s="663"/>
      <c r="CJ10" s="695"/>
      <c r="CK10" s="664">
        <f>SUM(BY10:CJ10)</f>
        <v>2277.0300000000002</v>
      </c>
      <c r="CL10" s="664"/>
      <c r="CM10" s="694"/>
      <c r="CN10" s="663"/>
      <c r="CO10" s="694"/>
      <c r="CP10" s="663"/>
      <c r="CQ10" s="663"/>
      <c r="CR10" s="663"/>
      <c r="CS10" s="663"/>
      <c r="CT10" s="663"/>
      <c r="CU10" s="663"/>
      <c r="CV10" s="663"/>
      <c r="CW10" s="663"/>
      <c r="CX10" s="695"/>
      <c r="CY10" s="664">
        <f>SUM(CM10:CX10)</f>
        <v>0</v>
      </c>
      <c r="CZ10" s="525"/>
      <c r="DA10" s="525"/>
      <c r="DB10" s="525"/>
      <c r="DC10" s="525"/>
      <c r="DD10" s="525"/>
      <c r="DE10" s="525"/>
      <c r="DF10" s="525"/>
      <c r="DG10" s="525"/>
      <c r="DH10" s="525"/>
      <c r="DI10" s="527"/>
      <c r="DJ10" s="527"/>
      <c r="DK10" s="527"/>
      <c r="DL10" s="893">
        <f>SUM(CZ10:DK10)</f>
        <v>0</v>
      </c>
      <c r="DM10" s="481"/>
      <c r="DY10" s="664">
        <f>SUM(DM10:DX10)</f>
        <v>0</v>
      </c>
    </row>
    <row r="11" spans="2:129" s="511" customFormat="1" ht="15.75">
      <c r="B11" s="697" t="s">
        <v>423</v>
      </c>
      <c r="C11" s="698"/>
      <c r="D11" s="698"/>
      <c r="E11" s="698"/>
      <c r="F11" s="698"/>
      <c r="G11" s="698"/>
      <c r="H11" s="698"/>
      <c r="I11" s="698"/>
      <c r="J11" s="698"/>
      <c r="K11" s="698"/>
      <c r="L11" s="698"/>
      <c r="M11" s="699"/>
      <c r="N11" s="699"/>
      <c r="O11" s="700"/>
      <c r="P11" s="701"/>
      <c r="Q11" s="701"/>
      <c r="R11" s="701"/>
      <c r="S11" s="701"/>
      <c r="T11" s="701"/>
      <c r="U11" s="701"/>
      <c r="V11" s="701"/>
      <c r="W11" s="701"/>
      <c r="X11" s="701"/>
      <c r="Y11" s="701"/>
      <c r="Z11" s="701"/>
      <c r="AA11" s="701"/>
      <c r="AB11" s="702"/>
      <c r="AC11" s="703"/>
      <c r="AD11" s="701"/>
      <c r="AE11" s="701"/>
      <c r="AF11" s="701"/>
      <c r="AG11" s="701"/>
      <c r="AH11" s="701"/>
      <c r="AI11" s="701"/>
      <c r="AJ11" s="701"/>
      <c r="AK11" s="704"/>
      <c r="AL11" s="701"/>
      <c r="AM11" s="701"/>
      <c r="AN11" s="701"/>
      <c r="AO11" s="701"/>
      <c r="AP11" s="701"/>
      <c r="AQ11" s="701"/>
      <c r="AR11" s="701"/>
      <c r="AS11" s="701"/>
      <c r="AT11" s="701"/>
      <c r="AU11" s="701"/>
      <c r="AV11" s="701"/>
      <c r="AW11" s="701"/>
      <c r="AX11" s="702"/>
      <c r="AY11" s="705"/>
      <c r="AZ11" s="705"/>
      <c r="BA11" s="705"/>
      <c r="BB11" s="705"/>
      <c r="BC11" s="705"/>
      <c r="BD11" s="705"/>
      <c r="BE11" s="705"/>
      <c r="BF11" s="705"/>
      <c r="BG11" s="705"/>
      <c r="BH11" s="705"/>
      <c r="BI11" s="705"/>
      <c r="BJ11" s="705"/>
      <c r="BK11" s="702"/>
      <c r="BL11" s="706"/>
      <c r="BM11" s="705"/>
      <c r="BN11" s="707"/>
      <c r="BO11" s="705"/>
      <c r="BP11" s="705"/>
      <c r="BQ11" s="705"/>
      <c r="BR11" s="705"/>
      <c r="BS11" s="705"/>
      <c r="BT11" s="705"/>
      <c r="BU11" s="705"/>
      <c r="BV11" s="705"/>
      <c r="BW11" s="705"/>
      <c r="BX11" s="708"/>
      <c r="BY11" s="706">
        <f>SUM(BY7:BY10)</f>
        <v>2277.0300000000002</v>
      </c>
      <c r="BZ11" s="705">
        <f t="shared" ref="BZ11:CJ11" si="2">SUM(BZ7:BZ10)</f>
        <v>0</v>
      </c>
      <c r="CA11" s="707">
        <f>SUM(CA7:CA10)</f>
        <v>0</v>
      </c>
      <c r="CB11" s="705">
        <f>SUM(CB7:CB10)</f>
        <v>0</v>
      </c>
      <c r="CC11" s="705">
        <f>SUM(CC7:CC10)</f>
        <v>509.17</v>
      </c>
      <c r="CD11" s="705">
        <f>SUM(CD7:CD10)</f>
        <v>134.58000000000001</v>
      </c>
      <c r="CE11" s="705">
        <f t="shared" si="2"/>
        <v>0</v>
      </c>
      <c r="CF11" s="705">
        <f>SUM(CF7:CF10)</f>
        <v>0</v>
      </c>
      <c r="CG11" s="705">
        <f>SUM(CG7:CG10)</f>
        <v>0</v>
      </c>
      <c r="CH11" s="705">
        <f>SUM(CH7:CH10)</f>
        <v>0</v>
      </c>
      <c r="CI11" s="705">
        <f t="shared" si="2"/>
        <v>0</v>
      </c>
      <c r="CJ11" s="705">
        <f t="shared" si="2"/>
        <v>0</v>
      </c>
      <c r="CK11" s="708">
        <f>SUM(CK7:CK10)</f>
        <v>2920.78</v>
      </c>
      <c r="CL11" s="709"/>
      <c r="CM11" s="799">
        <f t="shared" ref="CM11:CN11" si="3">SUM(CM7:CM10)</f>
        <v>0</v>
      </c>
      <c r="CN11" s="705">
        <f t="shared" si="3"/>
        <v>0</v>
      </c>
      <c r="CO11" s="707">
        <f>SUM(CO7:CO10)</f>
        <v>0</v>
      </c>
      <c r="CP11" s="705">
        <f>SUM(CP7:CP10)</f>
        <v>18560</v>
      </c>
      <c r="CQ11" s="705">
        <f>SUM(CQ7:CQ10)</f>
        <v>2972.85</v>
      </c>
      <c r="CR11" s="705">
        <f>SUM(CR7:CR10)</f>
        <v>0</v>
      </c>
      <c r="CS11" s="705">
        <f t="shared" ref="CS11:CV11" si="4">SUM(CS7:CS10)</f>
        <v>0</v>
      </c>
      <c r="CT11" s="705">
        <f>SUM(CT7:CT10)</f>
        <v>0</v>
      </c>
      <c r="CU11" s="705">
        <f t="shared" si="4"/>
        <v>0</v>
      </c>
      <c r="CV11" s="705">
        <f t="shared" si="4"/>
        <v>0</v>
      </c>
      <c r="CW11" s="705">
        <f>SUM(CW7:CW10)</f>
        <v>0</v>
      </c>
      <c r="CX11" s="705">
        <f>SUM(CX7:CX10)</f>
        <v>0</v>
      </c>
      <c r="CY11" s="708">
        <f>SUM(CY7:CY10)</f>
        <v>21532.85</v>
      </c>
      <c r="CZ11" s="894">
        <f>SUM(CZ7:CZ10)</f>
        <v>0</v>
      </c>
      <c r="DA11" s="901">
        <f t="shared" ref="DA11:DK11" si="5">SUM(DA7:DA10)</f>
        <v>0</v>
      </c>
      <c r="DB11" s="901">
        <f t="shared" ref="DB11:DG11" si="6">SUM(DB7:DB10)</f>
        <v>0</v>
      </c>
      <c r="DC11" s="901">
        <f t="shared" si="6"/>
        <v>0</v>
      </c>
      <c r="DD11" s="901">
        <f t="shared" si="6"/>
        <v>0</v>
      </c>
      <c r="DE11" s="901">
        <f t="shared" si="6"/>
        <v>0</v>
      </c>
      <c r="DF11" s="901">
        <f t="shared" si="6"/>
        <v>0</v>
      </c>
      <c r="DG11" s="901">
        <f t="shared" si="6"/>
        <v>0</v>
      </c>
      <c r="DH11" s="901">
        <f>SUM(DH7:DH10)</f>
        <v>0</v>
      </c>
      <c r="DI11" s="895">
        <f>SUM(DI7:DI10)</f>
        <v>737.53</v>
      </c>
      <c r="DJ11" s="895">
        <f t="shared" si="5"/>
        <v>0</v>
      </c>
      <c r="DK11" s="895">
        <f t="shared" si="5"/>
        <v>0</v>
      </c>
      <c r="DL11" s="603">
        <f>SUM(DL7:DL10)</f>
        <v>737.53</v>
      </c>
      <c r="DM11" s="702">
        <f>SUM(DM7:DM10)</f>
        <v>0</v>
      </c>
      <c r="DN11" s="704">
        <f t="shared" ref="DN11:DX11" si="7">SUM(DN7:DN10)</f>
        <v>158084</v>
      </c>
      <c r="DO11" s="704">
        <f>SUM(DO7:DO10)</f>
        <v>0</v>
      </c>
      <c r="DP11" s="704">
        <f>SUM(DP7:DP10)</f>
        <v>78549.899999999994</v>
      </c>
      <c r="DQ11" s="704">
        <f>SUM(DQ7:DQ10)</f>
        <v>0</v>
      </c>
      <c r="DR11" s="704">
        <f>SUM(DR7:DR10)</f>
        <v>0</v>
      </c>
      <c r="DS11" s="704">
        <f t="shared" si="7"/>
        <v>0</v>
      </c>
      <c r="DT11" s="704">
        <f>SUM(DT7:DT10)</f>
        <v>0</v>
      </c>
      <c r="DU11" s="704">
        <f t="shared" si="7"/>
        <v>0</v>
      </c>
      <c r="DV11" s="704">
        <f t="shared" si="7"/>
        <v>0</v>
      </c>
      <c r="DW11" s="704">
        <f t="shared" si="7"/>
        <v>0</v>
      </c>
      <c r="DX11" s="704">
        <f t="shared" si="7"/>
        <v>0</v>
      </c>
      <c r="DY11" s="708">
        <f>SUM(DY7:DY10)</f>
        <v>236633.9</v>
      </c>
    </row>
    <row r="12" spans="2:129" ht="15.75">
      <c r="B12" s="710"/>
      <c r="C12" s="513"/>
      <c r="D12" s="513"/>
      <c r="E12" s="513"/>
      <c r="F12" s="513"/>
      <c r="G12" s="513"/>
      <c r="H12" s="513"/>
      <c r="I12" s="513"/>
      <c r="J12" s="513"/>
      <c r="K12" s="513"/>
      <c r="L12" s="513"/>
      <c r="M12" s="512"/>
      <c r="N12" s="512"/>
      <c r="O12" s="575"/>
      <c r="P12" s="711"/>
      <c r="Q12" s="711"/>
      <c r="R12" s="711"/>
      <c r="S12" s="711"/>
      <c r="T12" s="711"/>
      <c r="U12" s="711"/>
      <c r="V12" s="711"/>
      <c r="W12" s="711"/>
      <c r="X12" s="711"/>
      <c r="Y12" s="711"/>
      <c r="Z12" s="711"/>
      <c r="AA12" s="711"/>
      <c r="AB12" s="517"/>
      <c r="AC12" s="648"/>
      <c r="AD12" s="711"/>
      <c r="AE12" s="711"/>
      <c r="AF12" s="711"/>
      <c r="AG12" s="711"/>
      <c r="AH12" s="711"/>
      <c r="AI12" s="711"/>
      <c r="AJ12" s="711"/>
      <c r="AK12" s="582"/>
      <c r="AL12" s="711"/>
      <c r="AM12" s="711"/>
      <c r="AN12" s="711"/>
      <c r="AO12" s="711"/>
      <c r="AP12" s="711"/>
      <c r="AQ12" s="711"/>
      <c r="AR12" s="711"/>
      <c r="AS12" s="711"/>
      <c r="AT12" s="711"/>
      <c r="AU12" s="711"/>
      <c r="AV12" s="711"/>
      <c r="AW12" s="711"/>
      <c r="AX12" s="517"/>
      <c r="AY12" s="532"/>
      <c r="AZ12" s="515"/>
      <c r="BA12" s="515"/>
      <c r="BB12" s="515"/>
      <c r="BC12" s="515"/>
      <c r="BD12" s="515"/>
      <c r="BE12" s="515"/>
      <c r="BF12" s="515"/>
      <c r="BG12" s="515"/>
      <c r="BH12" s="515"/>
      <c r="BI12" s="515"/>
      <c r="BJ12" s="515"/>
      <c r="BK12" s="517"/>
      <c r="BL12" s="518"/>
      <c r="BM12" s="515"/>
      <c r="BN12" s="576"/>
      <c r="BO12" s="515"/>
      <c r="BP12" s="515"/>
      <c r="BQ12" s="515"/>
      <c r="BR12" s="515"/>
      <c r="BS12" s="515"/>
      <c r="BT12" s="515"/>
      <c r="BU12" s="515"/>
      <c r="BV12" s="515"/>
      <c r="BW12" s="515"/>
      <c r="BX12" s="519"/>
      <c r="BY12" s="541"/>
      <c r="BZ12" s="541"/>
      <c r="CA12" s="543"/>
      <c r="CB12" s="541"/>
      <c r="CC12" s="541"/>
      <c r="CD12" s="541"/>
      <c r="CE12" s="541"/>
      <c r="CF12" s="541"/>
      <c r="CG12" s="541"/>
      <c r="CH12" s="541"/>
      <c r="CI12" s="541"/>
      <c r="CJ12" s="541"/>
      <c r="CK12" s="519"/>
      <c r="CL12" s="649"/>
      <c r="CM12" s="798"/>
      <c r="CN12" s="678"/>
      <c r="CO12" s="810"/>
      <c r="CP12" s="678"/>
      <c r="CQ12" s="678"/>
      <c r="CR12" s="678"/>
      <c r="CS12" s="678"/>
      <c r="CT12" s="678"/>
      <c r="CU12" s="678"/>
      <c r="CV12" s="678"/>
      <c r="CW12" s="678"/>
      <c r="CX12" s="678"/>
      <c r="CY12" s="674"/>
      <c r="CZ12" s="896"/>
      <c r="DA12" s="786"/>
      <c r="DB12" s="786"/>
      <c r="DC12" s="786"/>
      <c r="DD12" s="786"/>
      <c r="DE12" s="786"/>
      <c r="DF12" s="786"/>
      <c r="DG12" s="786"/>
      <c r="DH12" s="786"/>
      <c r="DI12" s="897"/>
      <c r="DJ12" s="897"/>
      <c r="DK12" s="897"/>
      <c r="DL12" s="890"/>
      <c r="DY12" s="674"/>
    </row>
    <row r="13" spans="2:129" ht="15">
      <c r="B13" s="488" t="s">
        <v>472</v>
      </c>
      <c r="C13" s="502"/>
      <c r="D13" s="502"/>
      <c r="E13" s="502"/>
      <c r="F13" s="502"/>
      <c r="G13" s="502"/>
      <c r="H13" s="502"/>
      <c r="I13" s="502"/>
      <c r="J13" s="502"/>
      <c r="K13" s="502"/>
      <c r="L13" s="502"/>
      <c r="M13" s="501"/>
      <c r="N13" s="501"/>
      <c r="O13" s="712"/>
      <c r="P13" s="647"/>
      <c r="Q13" s="647"/>
      <c r="R13" s="647"/>
      <c r="S13" s="647"/>
      <c r="T13" s="647"/>
      <c r="U13" s="647"/>
      <c r="V13" s="647"/>
      <c r="W13" s="647"/>
      <c r="X13" s="647"/>
      <c r="Y13" s="647"/>
      <c r="Z13" s="647"/>
      <c r="AA13" s="647"/>
      <c r="AB13" s="517"/>
      <c r="AC13" s="648"/>
      <c r="AD13" s="647"/>
      <c r="AE13" s="647"/>
      <c r="AF13" s="647"/>
      <c r="AG13" s="647"/>
      <c r="AH13" s="647"/>
      <c r="AI13" s="647"/>
      <c r="AJ13" s="647"/>
      <c r="AK13" s="582"/>
      <c r="AL13" s="647"/>
      <c r="AM13" s="647"/>
      <c r="AN13" s="647"/>
      <c r="AO13" s="647"/>
      <c r="AP13" s="647"/>
      <c r="AQ13" s="647"/>
      <c r="AR13" s="647"/>
      <c r="AS13" s="647"/>
      <c r="AT13" s="647"/>
      <c r="AU13" s="647"/>
      <c r="AV13" s="647"/>
      <c r="AW13" s="647"/>
      <c r="AX13" s="517"/>
      <c r="AY13" s="532"/>
      <c r="AZ13" s="515"/>
      <c r="BA13" s="515"/>
      <c r="BB13" s="515"/>
      <c r="BC13" s="515"/>
      <c r="BD13" s="515"/>
      <c r="BE13" s="515"/>
      <c r="BF13" s="515"/>
      <c r="BG13" s="515"/>
      <c r="BH13" s="515"/>
      <c r="BI13" s="515"/>
      <c r="BJ13" s="515"/>
      <c r="BK13" s="517"/>
      <c r="BL13" s="518"/>
      <c r="BM13" s="515"/>
      <c r="BN13" s="576"/>
      <c r="BO13" s="515"/>
      <c r="BP13" s="515"/>
      <c r="BQ13" s="515"/>
      <c r="BR13" s="515"/>
      <c r="BS13" s="515"/>
      <c r="BT13" s="515"/>
      <c r="BU13" s="515"/>
      <c r="BV13" s="515"/>
      <c r="BW13" s="515"/>
      <c r="BX13" s="519"/>
      <c r="BY13" s="541"/>
      <c r="BZ13" s="541"/>
      <c r="CA13" s="543"/>
      <c r="CB13" s="541"/>
      <c r="CC13" s="541"/>
      <c r="CD13" s="541"/>
      <c r="CE13" s="541"/>
      <c r="CF13" s="541"/>
      <c r="CG13" s="541"/>
      <c r="CH13" s="541"/>
      <c r="CI13" s="541"/>
      <c r="CJ13" s="541"/>
      <c r="CK13" s="519"/>
      <c r="CL13" s="649"/>
      <c r="CM13" s="800"/>
      <c r="CN13" s="541"/>
      <c r="CO13" s="543"/>
      <c r="CP13" s="541"/>
      <c r="CQ13" s="541"/>
      <c r="CR13" s="541"/>
      <c r="CS13" s="541"/>
      <c r="CT13" s="541"/>
      <c r="CU13" s="541"/>
      <c r="CV13" s="541"/>
      <c r="CW13" s="541"/>
      <c r="CX13" s="541"/>
      <c r="CY13" s="519"/>
      <c r="CZ13" s="606"/>
      <c r="DA13" s="525"/>
      <c r="DB13" s="525"/>
      <c r="DC13" s="525"/>
      <c r="DD13" s="525"/>
      <c r="DE13" s="525"/>
      <c r="DF13" s="525"/>
      <c r="DG13" s="525"/>
      <c r="DH13" s="525"/>
      <c r="DI13" s="527"/>
      <c r="DJ13" s="527"/>
      <c r="DK13" s="527"/>
      <c r="DL13" s="528"/>
      <c r="DM13" s="855"/>
      <c r="DN13" s="510"/>
      <c r="DO13" s="510"/>
      <c r="DP13" s="510"/>
      <c r="DQ13" s="510"/>
      <c r="DR13" s="510"/>
      <c r="DS13" s="510"/>
      <c r="DT13" s="510"/>
      <c r="DU13" s="510"/>
      <c r="DV13" s="510"/>
      <c r="DW13" s="510"/>
      <c r="DX13" s="696"/>
      <c r="DY13" s="519"/>
    </row>
    <row r="14" spans="2:129" ht="15">
      <c r="B14" s="480" t="s">
        <v>364</v>
      </c>
      <c r="C14" s="579"/>
      <c r="D14" s="579"/>
      <c r="E14" s="579"/>
      <c r="F14" s="579"/>
      <c r="G14" s="579"/>
      <c r="H14" s="579"/>
      <c r="I14" s="579"/>
      <c r="J14" s="579"/>
      <c r="K14" s="579"/>
      <c r="L14" s="579"/>
      <c r="M14" s="538"/>
      <c r="N14" s="538"/>
      <c r="O14" s="575"/>
      <c r="P14" s="666"/>
      <c r="Q14" s="666"/>
      <c r="R14" s="666"/>
      <c r="S14" s="666"/>
      <c r="T14" s="666"/>
      <c r="U14" s="666"/>
      <c r="V14" s="666"/>
      <c r="W14" s="666"/>
      <c r="X14" s="666"/>
      <c r="Y14" s="666"/>
      <c r="Z14" s="666"/>
      <c r="AA14" s="666"/>
      <c r="AB14" s="674"/>
      <c r="AC14" s="666"/>
      <c r="AD14" s="666"/>
      <c r="AE14" s="666"/>
      <c r="AF14" s="666"/>
      <c r="AG14" s="666"/>
      <c r="AH14" s="666"/>
      <c r="AI14" s="666"/>
      <c r="AJ14" s="666"/>
      <c r="AK14" s="669"/>
      <c r="AL14" s="666"/>
      <c r="AM14" s="666"/>
      <c r="AN14" s="666"/>
      <c r="AO14" s="666"/>
      <c r="AP14" s="666"/>
      <c r="AQ14" s="666"/>
      <c r="AR14" s="666"/>
      <c r="AS14" s="666"/>
      <c r="AT14" s="666"/>
      <c r="AU14" s="666"/>
      <c r="AV14" s="666"/>
      <c r="AW14" s="666"/>
      <c r="AX14" s="669"/>
      <c r="AY14" s="670"/>
      <c r="AZ14" s="671"/>
      <c r="BA14" s="671"/>
      <c r="BB14" s="671"/>
      <c r="BC14" s="671"/>
      <c r="BD14" s="671"/>
      <c r="BE14" s="671"/>
      <c r="BF14" s="671"/>
      <c r="BG14" s="671"/>
      <c r="BH14" s="671"/>
      <c r="BI14" s="671"/>
      <c r="BJ14" s="671"/>
      <c r="BK14" s="669"/>
      <c r="BL14" s="671"/>
      <c r="BM14" s="671"/>
      <c r="BN14" s="673"/>
      <c r="BO14" s="671"/>
      <c r="BP14" s="671"/>
      <c r="BQ14" s="671"/>
      <c r="BR14" s="671"/>
      <c r="BS14" s="671"/>
      <c r="BT14" s="671"/>
      <c r="BU14" s="671"/>
      <c r="BV14" s="671"/>
      <c r="BW14" s="671"/>
      <c r="BX14" s="713"/>
      <c r="BY14" s="676"/>
      <c r="BZ14" s="676"/>
      <c r="CA14" s="714">
        <f>471.9</f>
        <v>471.9</v>
      </c>
      <c r="CB14" s="671"/>
      <c r="CC14" s="671"/>
      <c r="CD14" s="671"/>
      <c r="CE14" s="671"/>
      <c r="CF14" s="671"/>
      <c r="CG14" s="679">
        <v>387.2</v>
      </c>
      <c r="CH14" s="671"/>
      <c r="CI14" s="671"/>
      <c r="CJ14" s="671"/>
      <c r="CK14" s="674">
        <f>-SUM(BY14:CJ14)</f>
        <v>-859.09999999999991</v>
      </c>
      <c r="CL14" s="715"/>
      <c r="CM14" s="798"/>
      <c r="CN14" s="678"/>
      <c r="CO14" s="673"/>
      <c r="CP14" s="678"/>
      <c r="CQ14" s="678"/>
      <c r="CR14" s="678"/>
      <c r="CS14" s="678"/>
      <c r="CT14" s="678"/>
      <c r="CU14" s="678"/>
      <c r="CV14" s="678"/>
      <c r="CW14" s="678"/>
      <c r="CX14" s="678"/>
      <c r="CY14" s="674">
        <f>-SUM(CM14:CX14)</f>
        <v>0</v>
      </c>
      <c r="CZ14" s="786"/>
      <c r="DA14" s="786"/>
      <c r="DB14" s="954">
        <v>315</v>
      </c>
      <c r="DC14" s="786"/>
      <c r="DD14" s="954">
        <v>4590</v>
      </c>
      <c r="DE14" s="786"/>
      <c r="DF14" s="786"/>
      <c r="DG14" s="786"/>
      <c r="DH14" s="786"/>
      <c r="DI14" s="897"/>
      <c r="DJ14" s="897"/>
      <c r="DK14" s="897"/>
      <c r="DL14" s="890">
        <f>-SUM(CZ14:DK14)</f>
        <v>-4905</v>
      </c>
      <c r="DY14" s="674">
        <f>-SUM(DM14:DX14)</f>
        <v>0</v>
      </c>
    </row>
    <row r="15" spans="2:129" ht="15">
      <c r="B15" s="480" t="s">
        <v>454</v>
      </c>
      <c r="C15" s="579"/>
      <c r="D15" s="579"/>
      <c r="E15" s="579"/>
      <c r="F15" s="579"/>
      <c r="G15" s="579"/>
      <c r="H15" s="579"/>
      <c r="I15" s="579"/>
      <c r="J15" s="579"/>
      <c r="K15" s="579"/>
      <c r="L15" s="579"/>
      <c r="M15" s="538"/>
      <c r="N15" s="538"/>
      <c r="O15" s="575"/>
      <c r="P15" s="647"/>
      <c r="Q15" s="647"/>
      <c r="R15" s="647"/>
      <c r="S15" s="647"/>
      <c r="T15" s="647"/>
      <c r="U15" s="647"/>
      <c r="V15" s="647"/>
      <c r="W15" s="647"/>
      <c r="X15" s="647"/>
      <c r="Y15" s="647"/>
      <c r="Z15" s="647"/>
      <c r="AA15" s="647"/>
      <c r="AB15" s="519"/>
      <c r="AC15" s="647"/>
      <c r="AD15" s="647"/>
      <c r="AE15" s="647"/>
      <c r="AF15" s="647"/>
      <c r="AG15" s="647"/>
      <c r="AH15" s="647"/>
      <c r="AI15" s="647"/>
      <c r="AJ15" s="647"/>
      <c r="AK15" s="582"/>
      <c r="AL15" s="647"/>
      <c r="AM15" s="647"/>
      <c r="AN15" s="647"/>
      <c r="AO15" s="647"/>
      <c r="AP15" s="647"/>
      <c r="AQ15" s="647"/>
      <c r="AR15" s="647"/>
      <c r="AS15" s="647"/>
      <c r="AT15" s="647"/>
      <c r="AU15" s="647"/>
      <c r="AV15" s="647"/>
      <c r="AW15" s="647"/>
      <c r="AX15" s="582"/>
      <c r="AY15" s="532"/>
      <c r="AZ15" s="515"/>
      <c r="BA15" s="515"/>
      <c r="BB15" s="515"/>
      <c r="BC15" s="515"/>
      <c r="BD15" s="515"/>
      <c r="BE15" s="515"/>
      <c r="BF15" s="515"/>
      <c r="BG15" s="515"/>
      <c r="BH15" s="515"/>
      <c r="BI15" s="515"/>
      <c r="BJ15" s="515"/>
      <c r="BK15" s="582"/>
      <c r="BL15" s="515"/>
      <c r="BM15" s="515"/>
      <c r="BN15" s="576"/>
      <c r="BO15" s="515"/>
      <c r="BP15" s="515"/>
      <c r="BQ15" s="515"/>
      <c r="BR15" s="515"/>
      <c r="BS15" s="515"/>
      <c r="BT15" s="515"/>
      <c r="BU15" s="515"/>
      <c r="BV15" s="515"/>
      <c r="BW15" s="515"/>
      <c r="BX15" s="649"/>
      <c r="BY15" s="516"/>
      <c r="BZ15" s="516"/>
      <c r="CA15" s="576"/>
      <c r="CB15" s="542">
        <v>4425.0600000000004</v>
      </c>
      <c r="CC15" s="515"/>
      <c r="CD15" s="515"/>
      <c r="CE15" s="515"/>
      <c r="CF15" s="515"/>
      <c r="CG15" s="515"/>
      <c r="CH15" s="515"/>
      <c r="CI15" s="515"/>
      <c r="CJ15" s="515"/>
      <c r="CK15" s="519">
        <f t="shared" ref="CK15:CK24" si="8">-SUM(BY15:CJ15)</f>
        <v>-4425.0600000000004</v>
      </c>
      <c r="CL15" s="519"/>
      <c r="CM15" s="543"/>
      <c r="CN15" s="541"/>
      <c r="CO15" s="543"/>
      <c r="CP15" s="541"/>
      <c r="CQ15" s="541"/>
      <c r="CR15" s="541"/>
      <c r="CS15" s="541"/>
      <c r="CT15" s="541"/>
      <c r="CU15" s="541"/>
      <c r="CV15" s="541"/>
      <c r="CW15" s="541"/>
      <c r="CX15" s="541"/>
      <c r="CY15" s="519">
        <f>-SUM(CM15:CX15)</f>
        <v>0</v>
      </c>
      <c r="CZ15" s="525"/>
      <c r="DA15" s="525"/>
      <c r="DB15" s="525"/>
      <c r="DC15" s="525"/>
      <c r="DD15" s="525"/>
      <c r="DE15" s="525"/>
      <c r="DF15" s="525"/>
      <c r="DG15" s="525"/>
      <c r="DH15" s="525"/>
      <c r="DI15" s="527"/>
      <c r="DJ15" s="527"/>
      <c r="DK15" s="527"/>
      <c r="DL15" s="528">
        <f>-SUM(CZ15:DK15)</f>
        <v>0</v>
      </c>
      <c r="DY15" s="519">
        <f>-SUM(DM15:DX15)</f>
        <v>0</v>
      </c>
    </row>
    <row r="16" spans="2:129" ht="15">
      <c r="B16" s="480" t="s">
        <v>467</v>
      </c>
      <c r="C16" s="579"/>
      <c r="D16" s="579"/>
      <c r="E16" s="579"/>
      <c r="F16" s="579"/>
      <c r="G16" s="579"/>
      <c r="H16" s="579"/>
      <c r="I16" s="579"/>
      <c r="J16" s="579"/>
      <c r="K16" s="579"/>
      <c r="L16" s="579"/>
      <c r="M16" s="538"/>
      <c r="N16" s="538"/>
      <c r="O16" s="575"/>
      <c r="P16" s="647"/>
      <c r="Q16" s="647"/>
      <c r="R16" s="647"/>
      <c r="S16" s="647"/>
      <c r="T16" s="647"/>
      <c r="U16" s="647"/>
      <c r="V16" s="647"/>
      <c r="W16" s="647"/>
      <c r="X16" s="647"/>
      <c r="Y16" s="647"/>
      <c r="Z16" s="647"/>
      <c r="AA16" s="647"/>
      <c r="AB16" s="519"/>
      <c r="AC16" s="647"/>
      <c r="AD16" s="647"/>
      <c r="AE16" s="647"/>
      <c r="AF16" s="647"/>
      <c r="AG16" s="647"/>
      <c r="AH16" s="647"/>
      <c r="AI16" s="647"/>
      <c r="AJ16" s="647"/>
      <c r="AK16" s="582"/>
      <c r="AL16" s="647"/>
      <c r="AM16" s="647"/>
      <c r="AN16" s="647"/>
      <c r="AO16" s="647"/>
      <c r="AP16" s="647"/>
      <c r="AQ16" s="647"/>
      <c r="AR16" s="647"/>
      <c r="AS16" s="647"/>
      <c r="AT16" s="647"/>
      <c r="AU16" s="647"/>
      <c r="AV16" s="647"/>
      <c r="AW16" s="647"/>
      <c r="AX16" s="582"/>
      <c r="AY16" s="532"/>
      <c r="AZ16" s="515"/>
      <c r="BA16" s="515"/>
      <c r="BB16" s="515"/>
      <c r="BC16" s="515"/>
      <c r="BD16" s="515"/>
      <c r="BE16" s="515"/>
      <c r="BF16" s="515"/>
      <c r="BG16" s="515"/>
      <c r="BH16" s="515"/>
      <c r="BI16" s="515"/>
      <c r="BJ16" s="515"/>
      <c r="BK16" s="582"/>
      <c r="BL16" s="515"/>
      <c r="BM16" s="515"/>
      <c r="BN16" s="576"/>
      <c r="BO16" s="515"/>
      <c r="BP16" s="515"/>
      <c r="BQ16" s="515"/>
      <c r="BR16" s="515"/>
      <c r="BS16" s="515"/>
      <c r="BT16" s="515"/>
      <c r="BU16" s="515"/>
      <c r="BV16" s="515"/>
      <c r="BW16" s="515"/>
      <c r="BX16" s="649"/>
      <c r="BY16" s="547">
        <f>32+54.03</f>
        <v>86.03</v>
      </c>
      <c r="BZ16" s="542">
        <f>486.2+4.84</f>
        <v>491.03999999999996</v>
      </c>
      <c r="CA16" s="576"/>
      <c r="CB16" s="542">
        <v>44.41</v>
      </c>
      <c r="CC16" s="515"/>
      <c r="CD16" s="542">
        <f>33.09+(36.3+37.21)-698.22</f>
        <v>-591.62</v>
      </c>
      <c r="CE16" s="541"/>
      <c r="CF16" s="515"/>
      <c r="CG16" s="515"/>
      <c r="CH16" s="515"/>
      <c r="CI16" s="515"/>
      <c r="CJ16" s="515"/>
      <c r="CK16" s="519">
        <f t="shared" si="8"/>
        <v>-29.8599999999999</v>
      </c>
      <c r="CL16" s="519"/>
      <c r="CM16" s="543"/>
      <c r="CN16" s="541"/>
      <c r="CO16" s="543"/>
      <c r="CP16" s="541"/>
      <c r="CQ16" s="541"/>
      <c r="CR16" s="541"/>
      <c r="CS16" s="541"/>
      <c r="CT16" s="541"/>
      <c r="CU16" s="541"/>
      <c r="CV16" s="541"/>
      <c r="CW16" s="541"/>
      <c r="CX16" s="541"/>
      <c r="CY16" s="519">
        <f t="shared" ref="CY16:CY22" si="9">-SUM(CM16:CX16)</f>
        <v>0</v>
      </c>
      <c r="CZ16" s="525"/>
      <c r="DA16" s="525"/>
      <c r="DB16" s="525"/>
      <c r="DC16" s="525"/>
      <c r="DD16" s="525"/>
      <c r="DE16" s="525"/>
      <c r="DF16" s="525"/>
      <c r="DG16" s="525"/>
      <c r="DH16" s="525"/>
      <c r="DI16" s="527"/>
      <c r="DJ16" s="527"/>
      <c r="DK16" s="527"/>
      <c r="DL16" s="528">
        <f t="shared" ref="DL16:DL23" si="10">-SUM(CZ16:DK16)</f>
        <v>0</v>
      </c>
      <c r="DY16" s="519">
        <f t="shared" ref="DY16:DY23" si="11">-SUM(DM16:DX16)</f>
        <v>0</v>
      </c>
    </row>
    <row r="17" spans="2:129" ht="15">
      <c r="B17" s="480" t="s">
        <v>365</v>
      </c>
      <c r="C17" s="502"/>
      <c r="D17" s="502"/>
      <c r="E17" s="502"/>
      <c r="F17" s="502"/>
      <c r="G17" s="502"/>
      <c r="H17" s="502"/>
      <c r="I17" s="502"/>
      <c r="J17" s="502"/>
      <c r="K17" s="502"/>
      <c r="L17" s="502"/>
      <c r="M17" s="501"/>
      <c r="N17" s="501"/>
      <c r="O17" s="712"/>
      <c r="P17" s="647"/>
      <c r="Q17" s="647"/>
      <c r="R17" s="647"/>
      <c r="S17" s="647"/>
      <c r="T17" s="647"/>
      <c r="U17" s="647"/>
      <c r="V17" s="647"/>
      <c r="W17" s="647"/>
      <c r="X17" s="647"/>
      <c r="Y17" s="647"/>
      <c r="Z17" s="647"/>
      <c r="AA17" s="647"/>
      <c r="AB17" s="519"/>
      <c r="AC17" s="647"/>
      <c r="AD17" s="647"/>
      <c r="AE17" s="647"/>
      <c r="AF17" s="647"/>
      <c r="AG17" s="647"/>
      <c r="AH17" s="647"/>
      <c r="AI17" s="647"/>
      <c r="AJ17" s="647"/>
      <c r="AK17" s="582"/>
      <c r="AL17" s="647"/>
      <c r="AM17" s="647"/>
      <c r="AN17" s="647"/>
      <c r="AO17" s="647"/>
      <c r="AP17" s="647"/>
      <c r="AQ17" s="647"/>
      <c r="AR17" s="647"/>
      <c r="AS17" s="647"/>
      <c r="AT17" s="647"/>
      <c r="AU17" s="647"/>
      <c r="AV17" s="647"/>
      <c r="AW17" s="647"/>
      <c r="AX17" s="582"/>
      <c r="AY17" s="532"/>
      <c r="AZ17" s="515"/>
      <c r="BA17" s="515"/>
      <c r="BB17" s="515"/>
      <c r="BC17" s="515"/>
      <c r="BD17" s="515"/>
      <c r="BE17" s="515"/>
      <c r="BF17" s="515"/>
      <c r="BG17" s="515"/>
      <c r="BH17" s="515"/>
      <c r="BI17" s="515"/>
      <c r="BJ17" s="515"/>
      <c r="BK17" s="582"/>
      <c r="BL17" s="515"/>
      <c r="BM17" s="515"/>
      <c r="BN17" s="576"/>
      <c r="BO17" s="515"/>
      <c r="BP17" s="515"/>
      <c r="BQ17" s="515"/>
      <c r="BR17" s="515"/>
      <c r="BS17" s="515"/>
      <c r="BT17" s="515"/>
      <c r="BU17" s="515"/>
      <c r="BV17" s="515"/>
      <c r="BW17" s="515"/>
      <c r="BX17" s="649"/>
      <c r="BY17" s="515"/>
      <c r="BZ17" s="542">
        <f>1464.17-827.41-179.87</f>
        <v>456.8900000000001</v>
      </c>
      <c r="CA17" s="556">
        <f>1242.33-412.78</f>
        <v>829.55</v>
      </c>
      <c r="CB17" s="516"/>
      <c r="CC17" s="542">
        <f>1464.46-1262.7-315.67-1452.1</f>
        <v>-1566.01</v>
      </c>
      <c r="CD17" s="516"/>
      <c r="CE17" s="515"/>
      <c r="CF17" s="515"/>
      <c r="CG17" s="515"/>
      <c r="CH17" s="515"/>
      <c r="CI17" s="515"/>
      <c r="CJ17" s="522"/>
      <c r="CK17" s="519">
        <f t="shared" si="8"/>
        <v>279.56999999999994</v>
      </c>
      <c r="CL17" s="519"/>
      <c r="CM17" s="543"/>
      <c r="CN17" s="541"/>
      <c r="CO17" s="523"/>
      <c r="CP17" s="541"/>
      <c r="CQ17" s="541"/>
      <c r="CR17" s="541"/>
      <c r="CS17" s="541"/>
      <c r="CT17" s="541"/>
      <c r="CU17" s="541"/>
      <c r="CV17" s="541"/>
      <c r="CW17" s="541"/>
      <c r="CX17" s="541"/>
      <c r="CY17" s="519">
        <f t="shared" si="9"/>
        <v>0</v>
      </c>
      <c r="CZ17" s="525"/>
      <c r="DA17" s="525"/>
      <c r="DB17" s="525"/>
      <c r="DC17" s="525"/>
      <c r="DD17" s="525"/>
      <c r="DE17" s="525"/>
      <c r="DF17" s="525"/>
      <c r="DG17" s="525"/>
      <c r="DH17" s="525"/>
      <c r="DI17" s="527"/>
      <c r="DJ17" s="527"/>
      <c r="DK17" s="527"/>
      <c r="DL17" s="528">
        <f t="shared" si="10"/>
        <v>0</v>
      </c>
      <c r="DY17" s="519">
        <f t="shared" si="11"/>
        <v>0</v>
      </c>
    </row>
    <row r="18" spans="2:129" ht="15">
      <c r="B18" s="482" t="s">
        <v>465</v>
      </c>
      <c r="C18" s="579"/>
      <c r="D18" s="579"/>
      <c r="E18" s="579"/>
      <c r="F18" s="579"/>
      <c r="G18" s="579"/>
      <c r="H18" s="579"/>
      <c r="I18" s="579"/>
      <c r="J18" s="579"/>
      <c r="K18" s="579"/>
      <c r="L18" s="579"/>
      <c r="M18" s="538"/>
      <c r="N18" s="538"/>
      <c r="O18" s="575"/>
      <c r="P18" s="647"/>
      <c r="Q18" s="647"/>
      <c r="R18" s="647"/>
      <c r="S18" s="647"/>
      <c r="T18" s="647"/>
      <c r="U18" s="647"/>
      <c r="V18" s="647"/>
      <c r="W18" s="647"/>
      <c r="X18" s="647"/>
      <c r="Y18" s="647"/>
      <c r="Z18" s="647"/>
      <c r="AA18" s="647"/>
      <c r="AB18" s="519"/>
      <c r="AC18" s="647"/>
      <c r="AD18" s="647"/>
      <c r="AE18" s="647"/>
      <c r="AF18" s="647"/>
      <c r="AG18" s="647"/>
      <c r="AH18" s="647"/>
      <c r="AI18" s="647"/>
      <c r="AJ18" s="647"/>
      <c r="AK18" s="582"/>
      <c r="AL18" s="647"/>
      <c r="AM18" s="647"/>
      <c r="AN18" s="647"/>
      <c r="AO18" s="647"/>
      <c r="AP18" s="647"/>
      <c r="AQ18" s="647"/>
      <c r="AR18" s="647"/>
      <c r="AS18" s="647"/>
      <c r="AT18" s="647"/>
      <c r="AU18" s="647"/>
      <c r="AV18" s="647"/>
      <c r="AW18" s="647"/>
      <c r="AX18" s="582"/>
      <c r="AY18" s="532"/>
      <c r="AZ18" s="515"/>
      <c r="BA18" s="515"/>
      <c r="BB18" s="515"/>
      <c r="BC18" s="515"/>
      <c r="BD18" s="515"/>
      <c r="BE18" s="515"/>
      <c r="BF18" s="515"/>
      <c r="BG18" s="515"/>
      <c r="BH18" s="515"/>
      <c r="BI18" s="515"/>
      <c r="BJ18" s="515"/>
      <c r="BK18" s="582"/>
      <c r="BL18" s="515"/>
      <c r="BM18" s="515"/>
      <c r="BN18" s="576"/>
      <c r="BO18" s="515"/>
      <c r="BP18" s="515"/>
      <c r="BQ18" s="515"/>
      <c r="BR18" s="515"/>
      <c r="BS18" s="515"/>
      <c r="BT18" s="515"/>
      <c r="BU18" s="515"/>
      <c r="BV18" s="515"/>
      <c r="BW18" s="515"/>
      <c r="BX18" s="649"/>
      <c r="BY18" s="515"/>
      <c r="BZ18" s="542"/>
      <c r="CA18" s="556"/>
      <c r="CB18" s="516"/>
      <c r="CC18" s="542">
        <v>208</v>
      </c>
      <c r="CD18" s="516"/>
      <c r="CE18" s="515"/>
      <c r="CF18" s="515"/>
      <c r="CG18" s="515"/>
      <c r="CH18" s="515"/>
      <c r="CI18" s="515"/>
      <c r="CJ18" s="515"/>
      <c r="CK18" s="519">
        <f t="shared" si="8"/>
        <v>-208</v>
      </c>
      <c r="CL18" s="519"/>
      <c r="CM18" s="543"/>
      <c r="CN18" s="541"/>
      <c r="CO18" s="543"/>
      <c r="CP18" s="541"/>
      <c r="CQ18" s="542">
        <v>208</v>
      </c>
      <c r="CR18" s="541"/>
      <c r="CS18" s="541"/>
      <c r="CT18" s="541"/>
      <c r="CU18" s="541"/>
      <c r="CV18" s="541"/>
      <c r="CW18" s="541"/>
      <c r="CX18" s="541"/>
      <c r="CY18" s="519">
        <f t="shared" si="9"/>
        <v>-208</v>
      </c>
      <c r="CZ18" s="525"/>
      <c r="DA18" s="525"/>
      <c r="DB18" s="525"/>
      <c r="DC18" s="541"/>
      <c r="DD18" s="542">
        <v>208</v>
      </c>
      <c r="DE18" s="533"/>
      <c r="DF18" s="525"/>
      <c r="DG18" s="525"/>
      <c r="DH18" s="525"/>
      <c r="DI18" s="527"/>
      <c r="DJ18" s="527"/>
      <c r="DK18" s="527"/>
      <c r="DL18" s="528">
        <f t="shared" si="10"/>
        <v>-208</v>
      </c>
      <c r="DY18" s="519">
        <f t="shared" si="11"/>
        <v>0</v>
      </c>
    </row>
    <row r="19" spans="2:129" ht="15">
      <c r="B19" s="482" t="s">
        <v>599</v>
      </c>
      <c r="C19" s="579"/>
      <c r="D19" s="579"/>
      <c r="E19" s="579"/>
      <c r="F19" s="579"/>
      <c r="G19" s="579"/>
      <c r="H19" s="579"/>
      <c r="I19" s="579"/>
      <c r="J19" s="579"/>
      <c r="K19" s="579"/>
      <c r="L19" s="579"/>
      <c r="M19" s="538"/>
      <c r="N19" s="538"/>
      <c r="O19" s="575"/>
      <c r="P19" s="647"/>
      <c r="Q19" s="647"/>
      <c r="R19" s="647"/>
      <c r="S19" s="647"/>
      <c r="T19" s="647"/>
      <c r="U19" s="647"/>
      <c r="V19" s="647"/>
      <c r="W19" s="647"/>
      <c r="X19" s="647"/>
      <c r="Y19" s="647"/>
      <c r="Z19" s="647"/>
      <c r="AA19" s="647"/>
      <c r="AB19" s="519"/>
      <c r="AC19" s="647"/>
      <c r="AD19" s="647"/>
      <c r="AE19" s="647"/>
      <c r="AF19" s="647"/>
      <c r="AG19" s="647"/>
      <c r="AH19" s="647"/>
      <c r="AI19" s="647"/>
      <c r="AJ19" s="647"/>
      <c r="AK19" s="582"/>
      <c r="AL19" s="647"/>
      <c r="AM19" s="647"/>
      <c r="AN19" s="647"/>
      <c r="AO19" s="647"/>
      <c r="AP19" s="647"/>
      <c r="AQ19" s="647"/>
      <c r="AR19" s="647"/>
      <c r="AS19" s="647"/>
      <c r="AT19" s="647"/>
      <c r="AU19" s="647"/>
      <c r="AV19" s="647"/>
      <c r="AW19" s="647"/>
      <c r="AX19" s="582"/>
      <c r="AY19" s="532"/>
      <c r="AZ19" s="515"/>
      <c r="BA19" s="515"/>
      <c r="BB19" s="515"/>
      <c r="BC19" s="515"/>
      <c r="BD19" s="515"/>
      <c r="BE19" s="515"/>
      <c r="BF19" s="515"/>
      <c r="BG19" s="515"/>
      <c r="BH19" s="515"/>
      <c r="BI19" s="515"/>
      <c r="BJ19" s="515"/>
      <c r="BK19" s="582"/>
      <c r="BL19" s="515"/>
      <c r="BM19" s="515"/>
      <c r="BN19" s="576"/>
      <c r="BO19" s="515"/>
      <c r="BP19" s="515"/>
      <c r="BQ19" s="515"/>
      <c r="BR19" s="515"/>
      <c r="BS19" s="515"/>
      <c r="BT19" s="515"/>
      <c r="BU19" s="515"/>
      <c r="BV19" s="515"/>
      <c r="BW19" s="515"/>
      <c r="BX19" s="649"/>
      <c r="BY19" s="515"/>
      <c r="BZ19" s="542"/>
      <c r="CA19" s="556"/>
      <c r="CB19" s="516"/>
      <c r="CC19" s="542"/>
      <c r="CD19" s="516"/>
      <c r="CE19" s="515"/>
      <c r="CF19" s="515"/>
      <c r="CG19" s="515"/>
      <c r="CH19" s="515"/>
      <c r="CI19" s="515"/>
      <c r="CJ19" s="515"/>
      <c r="CK19" s="519">
        <f t="shared" si="8"/>
        <v>0</v>
      </c>
      <c r="CL19" s="519"/>
      <c r="CM19" s="543"/>
      <c r="CN19" s="541"/>
      <c r="CO19" s="543"/>
      <c r="CP19" s="541"/>
      <c r="CQ19" s="542"/>
      <c r="CR19" s="541"/>
      <c r="CS19" s="541"/>
      <c r="CT19" s="68">
        <f>30+120</f>
        <v>150</v>
      </c>
      <c r="CU19" s="541"/>
      <c r="CV19" s="541"/>
      <c r="CW19" s="541"/>
      <c r="CX19" s="541"/>
      <c r="CY19" s="519">
        <f t="shared" si="9"/>
        <v>-150</v>
      </c>
      <c r="CZ19" s="525"/>
      <c r="DA19" s="525"/>
      <c r="DB19" s="525"/>
      <c r="DC19" s="525"/>
      <c r="DD19" s="525"/>
      <c r="DE19" s="525"/>
      <c r="DF19" s="525"/>
      <c r="DG19" s="525"/>
      <c r="DH19" s="525"/>
      <c r="DI19" s="527"/>
      <c r="DJ19" s="527"/>
      <c r="DK19" s="527"/>
      <c r="DL19" s="528">
        <f t="shared" si="10"/>
        <v>0</v>
      </c>
      <c r="DY19" s="519">
        <f t="shared" si="11"/>
        <v>0</v>
      </c>
    </row>
    <row r="20" spans="2:129" ht="15">
      <c r="B20" s="480" t="s">
        <v>366</v>
      </c>
      <c r="C20" s="579"/>
      <c r="D20" s="579"/>
      <c r="E20" s="579"/>
      <c r="F20" s="579"/>
      <c r="G20" s="579"/>
      <c r="H20" s="579"/>
      <c r="I20" s="579"/>
      <c r="J20" s="579"/>
      <c r="K20" s="579"/>
      <c r="L20" s="579"/>
      <c r="M20" s="538"/>
      <c r="N20" s="538"/>
      <c r="O20" s="575"/>
      <c r="P20" s="647"/>
      <c r="Q20" s="647"/>
      <c r="R20" s="647"/>
      <c r="S20" s="647"/>
      <c r="T20" s="647"/>
      <c r="U20" s="647"/>
      <c r="V20" s="647"/>
      <c r="W20" s="647"/>
      <c r="X20" s="647"/>
      <c r="Y20" s="647"/>
      <c r="Z20" s="647"/>
      <c r="AA20" s="647"/>
      <c r="AB20" s="519"/>
      <c r="AC20" s="647"/>
      <c r="AD20" s="647"/>
      <c r="AE20" s="647"/>
      <c r="AF20" s="647"/>
      <c r="AG20" s="647"/>
      <c r="AH20" s="647"/>
      <c r="AI20" s="647"/>
      <c r="AJ20" s="647"/>
      <c r="AK20" s="582"/>
      <c r="AL20" s="647"/>
      <c r="AM20" s="647"/>
      <c r="AN20" s="647"/>
      <c r="AO20" s="647"/>
      <c r="AP20" s="647"/>
      <c r="AQ20" s="647"/>
      <c r="AR20" s="647"/>
      <c r="AS20" s="647"/>
      <c r="AT20" s="647"/>
      <c r="AU20" s="647"/>
      <c r="AV20" s="647"/>
      <c r="AW20" s="647"/>
      <c r="AX20" s="582"/>
      <c r="AY20" s="532"/>
      <c r="AZ20" s="515"/>
      <c r="BA20" s="515"/>
      <c r="BB20" s="515"/>
      <c r="BC20" s="515"/>
      <c r="BD20" s="515"/>
      <c r="BE20" s="515"/>
      <c r="BF20" s="515"/>
      <c r="BG20" s="515"/>
      <c r="BH20" s="515"/>
      <c r="BI20" s="515"/>
      <c r="BJ20" s="515"/>
      <c r="BK20" s="582"/>
      <c r="BL20" s="515"/>
      <c r="BM20" s="515"/>
      <c r="BN20" s="576"/>
      <c r="BO20" s="515"/>
      <c r="BP20" s="515"/>
      <c r="BQ20" s="515"/>
      <c r="BR20" s="515"/>
      <c r="BS20" s="515"/>
      <c r="BT20" s="515"/>
      <c r="BU20" s="515"/>
      <c r="BV20" s="515"/>
      <c r="BW20" s="515"/>
      <c r="BX20" s="649"/>
      <c r="BY20" s="542"/>
      <c r="BZ20" s="516"/>
      <c r="CA20" s="532">
        <f>6185.7+1853.5+1623.6+1422.85</f>
        <v>11085.65</v>
      </c>
      <c r="CB20" s="532">
        <f>-1422.85-6185.7-1853.5-1623.6</f>
        <v>-11085.65</v>
      </c>
      <c r="CC20" s="716">
        <f>522.29+11082.61+(9671.83+10234.68-9671.83-10234.68)</f>
        <v>11604.900000000003</v>
      </c>
      <c r="CD20" s="717">
        <f>6629.4+6517.44+12734.56</f>
        <v>25881.4</v>
      </c>
      <c r="CE20" s="717">
        <f>10541.71</f>
        <v>10541.71</v>
      </c>
      <c r="CF20" s="718"/>
      <c r="CG20" s="717">
        <f>(4202-101.18)+11194.8+10214.42</f>
        <v>25510.04</v>
      </c>
      <c r="CH20" s="717">
        <f>5027.48-185.49+6164.32</f>
        <v>11006.31</v>
      </c>
      <c r="CI20" s="717">
        <f>(5233.25)+(8751.6+272.25)</f>
        <v>14257.1</v>
      </c>
      <c r="CJ20" s="717">
        <f>-4841.99-6164.32-4100.82-11194.8-10214.42-12734.56-10541.75-9023.85-5233.25</f>
        <v>-74049.759999999995</v>
      </c>
      <c r="CK20" s="519">
        <f t="shared" si="8"/>
        <v>-24751.700000000012</v>
      </c>
      <c r="CL20" s="596"/>
      <c r="CM20" s="543"/>
      <c r="CN20" s="717">
        <f>1974.5+6636.06+(1460.05+4377.97)</f>
        <v>14448.580000000002</v>
      </c>
      <c r="CO20" s="543"/>
      <c r="CP20" s="541"/>
      <c r="CQ20" s="541"/>
      <c r="CR20" s="541"/>
      <c r="CS20" s="541"/>
      <c r="CT20" s="717">
        <f>-1974.5-6636.06-5838.02</f>
        <v>-14448.580000000002</v>
      </c>
      <c r="CU20" s="541"/>
      <c r="CV20" s="68">
        <v>155.41</v>
      </c>
      <c r="CW20" s="541"/>
      <c r="CX20" s="541"/>
      <c r="CY20" s="519">
        <f t="shared" si="9"/>
        <v>-155.41</v>
      </c>
      <c r="CZ20" s="525"/>
      <c r="DA20" s="525"/>
      <c r="DB20" s="525"/>
      <c r="DC20" s="525"/>
      <c r="DD20" s="525"/>
      <c r="DE20" s="541"/>
      <c r="DF20" s="525"/>
      <c r="DG20" s="525"/>
      <c r="DH20" s="525"/>
      <c r="DI20" s="527"/>
      <c r="DJ20" s="527"/>
      <c r="DK20" s="527"/>
      <c r="DL20" s="528">
        <f t="shared" si="10"/>
        <v>0</v>
      </c>
      <c r="DY20" s="519">
        <f t="shared" si="11"/>
        <v>0</v>
      </c>
    </row>
    <row r="21" spans="2:129" ht="15">
      <c r="B21" s="480" t="s">
        <v>368</v>
      </c>
      <c r="C21" s="502"/>
      <c r="D21" s="502"/>
      <c r="E21" s="502"/>
      <c r="F21" s="502"/>
      <c r="G21" s="502"/>
      <c r="H21" s="502"/>
      <c r="I21" s="502"/>
      <c r="J21" s="502"/>
      <c r="K21" s="502"/>
      <c r="L21" s="502"/>
      <c r="M21" s="501"/>
      <c r="N21" s="501"/>
      <c r="O21" s="712"/>
      <c r="P21" s="647"/>
      <c r="Q21" s="647"/>
      <c r="R21" s="647"/>
      <c r="S21" s="647"/>
      <c r="T21" s="647"/>
      <c r="U21" s="647"/>
      <c r="V21" s="647"/>
      <c r="W21" s="647"/>
      <c r="X21" s="647"/>
      <c r="Y21" s="647"/>
      <c r="Z21" s="647"/>
      <c r="AA21" s="647"/>
      <c r="AB21" s="519"/>
      <c r="AC21" s="647"/>
      <c r="AD21" s="647"/>
      <c r="AE21" s="647"/>
      <c r="AF21" s="647"/>
      <c r="AG21" s="647"/>
      <c r="AH21" s="647"/>
      <c r="AI21" s="647"/>
      <c r="AJ21" s="647"/>
      <c r="AK21" s="582"/>
      <c r="AL21" s="647"/>
      <c r="AM21" s="647"/>
      <c r="AN21" s="647"/>
      <c r="AO21" s="647"/>
      <c r="AP21" s="647"/>
      <c r="AQ21" s="647"/>
      <c r="AR21" s="647"/>
      <c r="AS21" s="647"/>
      <c r="AT21" s="647"/>
      <c r="AU21" s="647"/>
      <c r="AV21" s="647"/>
      <c r="AW21" s="647"/>
      <c r="AX21" s="582"/>
      <c r="AY21" s="532"/>
      <c r="AZ21" s="515"/>
      <c r="BA21" s="515"/>
      <c r="BB21" s="515"/>
      <c r="BC21" s="515"/>
      <c r="BD21" s="515"/>
      <c r="BE21" s="515"/>
      <c r="BF21" s="515"/>
      <c r="BG21" s="515"/>
      <c r="BH21" s="515"/>
      <c r="BI21" s="515"/>
      <c r="BJ21" s="515"/>
      <c r="BK21" s="582"/>
      <c r="BL21" s="515"/>
      <c r="BM21" s="515"/>
      <c r="BN21" s="576"/>
      <c r="BO21" s="515"/>
      <c r="BP21" s="515"/>
      <c r="BQ21" s="515"/>
      <c r="BR21" s="515"/>
      <c r="BS21" s="515"/>
      <c r="BT21" s="515"/>
      <c r="BU21" s="515"/>
      <c r="BV21" s="515"/>
      <c r="BW21" s="515"/>
      <c r="BX21" s="649"/>
      <c r="BY21" s="542">
        <v>363</v>
      </c>
      <c r="BZ21" s="542">
        <v>363</v>
      </c>
      <c r="CA21" s="556">
        <f>364.79</f>
        <v>364.79</v>
      </c>
      <c r="CB21" s="542">
        <f>(300+4.8)*1.21</f>
        <v>368.80799999999999</v>
      </c>
      <c r="CC21" s="542"/>
      <c r="CD21" s="515"/>
      <c r="CE21" s="515"/>
      <c r="CF21" s="515"/>
      <c r="CG21" s="515"/>
      <c r="CH21" s="515"/>
      <c r="CI21" s="515"/>
      <c r="CJ21" s="515"/>
      <c r="CK21" s="519">
        <f t="shared" si="8"/>
        <v>-1459.598</v>
      </c>
      <c r="CL21" s="519"/>
      <c r="CM21" s="543"/>
      <c r="CN21" s="541"/>
      <c r="CO21" s="543"/>
      <c r="CP21" s="541"/>
      <c r="CQ21" s="541"/>
      <c r="CR21" s="541"/>
      <c r="CS21" s="818">
        <v>-160.19</v>
      </c>
      <c r="CT21" s="541"/>
      <c r="CU21" s="541"/>
      <c r="CV21" s="541"/>
      <c r="CW21" s="541"/>
      <c r="CX21" s="541"/>
      <c r="CY21" s="519">
        <f t="shared" si="9"/>
        <v>160.19</v>
      </c>
      <c r="CZ21" s="525"/>
      <c r="DA21" s="525"/>
      <c r="DB21" s="525"/>
      <c r="DC21" s="525"/>
      <c r="DD21" s="525"/>
      <c r="DE21" s="525"/>
      <c r="DF21" s="525"/>
      <c r="DG21" s="525"/>
      <c r="DH21" s="525"/>
      <c r="DI21" s="527"/>
      <c r="DJ21" s="527"/>
      <c r="DK21" s="527"/>
      <c r="DL21" s="528">
        <f t="shared" si="10"/>
        <v>0</v>
      </c>
      <c r="DY21" s="519">
        <f t="shared" si="11"/>
        <v>0</v>
      </c>
    </row>
    <row r="22" spans="2:129" ht="15">
      <c r="B22" s="719" t="s">
        <v>369</v>
      </c>
      <c r="C22" s="502"/>
      <c r="D22" s="502"/>
      <c r="E22" s="502"/>
      <c r="F22" s="502"/>
      <c r="G22" s="502"/>
      <c r="H22" s="502"/>
      <c r="I22" s="502"/>
      <c r="J22" s="502"/>
      <c r="K22" s="502"/>
      <c r="L22" s="502"/>
      <c r="M22" s="501"/>
      <c r="N22" s="501"/>
      <c r="O22" s="712"/>
      <c r="P22" s="647"/>
      <c r="Q22" s="647"/>
      <c r="R22" s="647"/>
      <c r="S22" s="647"/>
      <c r="T22" s="647"/>
      <c r="U22" s="647"/>
      <c r="V22" s="647"/>
      <c r="W22" s="647"/>
      <c r="X22" s="647"/>
      <c r="Y22" s="647"/>
      <c r="Z22" s="647"/>
      <c r="AA22" s="647"/>
      <c r="AB22" s="519"/>
      <c r="AC22" s="647"/>
      <c r="AD22" s="647"/>
      <c r="AE22" s="647"/>
      <c r="AF22" s="647"/>
      <c r="AG22" s="647"/>
      <c r="AH22" s="647"/>
      <c r="AI22" s="647"/>
      <c r="AJ22" s="647"/>
      <c r="AK22" s="582"/>
      <c r="AL22" s="647"/>
      <c r="AM22" s="647"/>
      <c r="AN22" s="647"/>
      <c r="AO22" s="647"/>
      <c r="AP22" s="647"/>
      <c r="AQ22" s="647"/>
      <c r="AR22" s="647"/>
      <c r="AS22" s="647"/>
      <c r="AT22" s="647"/>
      <c r="AU22" s="647"/>
      <c r="AV22" s="647"/>
      <c r="AW22" s="647"/>
      <c r="AX22" s="582"/>
      <c r="AY22" s="532"/>
      <c r="AZ22" s="515"/>
      <c r="BA22" s="515"/>
      <c r="BB22" s="515"/>
      <c r="BC22" s="515"/>
      <c r="BD22" s="515"/>
      <c r="BE22" s="515"/>
      <c r="BF22" s="515"/>
      <c r="BG22" s="515"/>
      <c r="BH22" s="515"/>
      <c r="BI22" s="515"/>
      <c r="BJ22" s="515"/>
      <c r="BK22" s="582"/>
      <c r="BL22" s="515"/>
      <c r="BM22" s="515"/>
      <c r="BN22" s="576"/>
      <c r="BO22" s="515"/>
      <c r="BP22" s="515"/>
      <c r="BQ22" s="515"/>
      <c r="BR22" s="515"/>
      <c r="BS22" s="515"/>
      <c r="BT22" s="515"/>
      <c r="BU22" s="515"/>
      <c r="BV22" s="515"/>
      <c r="BW22" s="515"/>
      <c r="BX22" s="649"/>
      <c r="BY22" s="532">
        <f>1150.07+160.94+2008.15+150.25</f>
        <v>3469.41</v>
      </c>
      <c r="BZ22" s="532">
        <f>144.21</f>
        <v>144.21</v>
      </c>
      <c r="CA22" s="576"/>
      <c r="CB22" s="515"/>
      <c r="CC22" s="717">
        <f>1326.42+2893.7</f>
        <v>4220.12</v>
      </c>
      <c r="CD22" s="515"/>
      <c r="CE22" s="515"/>
      <c r="CF22" s="515"/>
      <c r="CG22" s="515"/>
      <c r="CH22" s="515"/>
      <c r="CI22" s="515"/>
      <c r="CJ22" s="515"/>
      <c r="CK22" s="519">
        <f t="shared" si="8"/>
        <v>-7833.74</v>
      </c>
      <c r="CL22" s="519"/>
      <c r="CM22" s="543"/>
      <c r="CN22" s="541"/>
      <c r="CO22" s="543"/>
      <c r="CP22" s="541"/>
      <c r="CQ22" s="541"/>
      <c r="CR22" s="541"/>
      <c r="CS22" s="541"/>
      <c r="CT22" s="541"/>
      <c r="CU22" s="541"/>
      <c r="CV22" s="541"/>
      <c r="CW22" s="541"/>
      <c r="CX22" s="541"/>
      <c r="CY22" s="519">
        <f t="shared" si="9"/>
        <v>0</v>
      </c>
      <c r="CZ22" s="525"/>
      <c r="DA22" s="525"/>
      <c r="DB22" s="525"/>
      <c r="DC22" s="525"/>
      <c r="DD22" s="525"/>
      <c r="DE22" s="542">
        <v>1996.37</v>
      </c>
      <c r="DF22" s="525"/>
      <c r="DG22" s="525"/>
      <c r="DH22" s="525"/>
      <c r="DI22" s="527"/>
      <c r="DJ22" s="527"/>
      <c r="DK22" s="527"/>
      <c r="DL22" s="528">
        <f t="shared" si="10"/>
        <v>-1996.37</v>
      </c>
      <c r="DY22" s="519">
        <f t="shared" si="11"/>
        <v>0</v>
      </c>
    </row>
    <row r="23" spans="2:129" ht="15">
      <c r="B23" s="719" t="s">
        <v>367</v>
      </c>
      <c r="C23" s="502"/>
      <c r="D23" s="502"/>
      <c r="E23" s="502"/>
      <c r="F23" s="502"/>
      <c r="G23" s="502"/>
      <c r="H23" s="502"/>
      <c r="I23" s="502"/>
      <c r="J23" s="502"/>
      <c r="K23" s="502"/>
      <c r="L23" s="502"/>
      <c r="M23" s="501"/>
      <c r="N23" s="501"/>
      <c r="O23" s="712"/>
      <c r="P23" s="647"/>
      <c r="Q23" s="647"/>
      <c r="R23" s="647"/>
      <c r="S23" s="647"/>
      <c r="T23" s="647"/>
      <c r="U23" s="647"/>
      <c r="V23" s="647"/>
      <c r="W23" s="647"/>
      <c r="X23" s="647"/>
      <c r="Y23" s="647"/>
      <c r="Z23" s="647"/>
      <c r="AA23" s="647"/>
      <c r="AB23" s="519"/>
      <c r="AC23" s="647"/>
      <c r="AD23" s="647"/>
      <c r="AE23" s="647"/>
      <c r="AF23" s="647"/>
      <c r="AG23" s="647"/>
      <c r="AH23" s="647"/>
      <c r="AI23" s="647"/>
      <c r="AJ23" s="647"/>
      <c r="AK23" s="582"/>
      <c r="AL23" s="647"/>
      <c r="AM23" s="647"/>
      <c r="AN23" s="647"/>
      <c r="AO23" s="647"/>
      <c r="AP23" s="647"/>
      <c r="AQ23" s="647"/>
      <c r="AR23" s="647"/>
      <c r="AS23" s="647"/>
      <c r="AT23" s="647"/>
      <c r="AU23" s="647"/>
      <c r="AV23" s="647"/>
      <c r="AW23" s="647"/>
      <c r="AX23" s="582"/>
      <c r="AY23" s="532"/>
      <c r="AZ23" s="515"/>
      <c r="BA23" s="515"/>
      <c r="BB23" s="515"/>
      <c r="BC23" s="515"/>
      <c r="BD23" s="515"/>
      <c r="BE23" s="515"/>
      <c r="BF23" s="515"/>
      <c r="BG23" s="515"/>
      <c r="BH23" s="515"/>
      <c r="BI23" s="515"/>
      <c r="BJ23" s="515"/>
      <c r="BK23" s="582"/>
      <c r="BL23" s="515"/>
      <c r="BM23" s="515"/>
      <c r="BN23" s="576"/>
      <c r="BO23" s="515"/>
      <c r="BP23" s="515"/>
      <c r="BQ23" s="515"/>
      <c r="BR23" s="515"/>
      <c r="BS23" s="515"/>
      <c r="BT23" s="515"/>
      <c r="BU23" s="515"/>
      <c r="BV23" s="515"/>
      <c r="BW23" s="515"/>
      <c r="BX23" s="649"/>
      <c r="BY23" s="542"/>
      <c r="BZ23" s="516"/>
      <c r="CA23" s="576"/>
      <c r="CB23" s="515"/>
      <c r="CC23" s="515"/>
      <c r="CD23" s="515"/>
      <c r="CE23" s="515"/>
      <c r="CF23" s="515"/>
      <c r="CG23" s="515"/>
      <c r="CH23" s="515"/>
      <c r="CI23" s="515"/>
      <c r="CJ23" s="515"/>
      <c r="CK23" s="519">
        <f t="shared" si="8"/>
        <v>0</v>
      </c>
      <c r="CL23" s="519"/>
      <c r="CM23" s="543"/>
      <c r="CN23" s="541"/>
      <c r="CO23" s="543"/>
      <c r="CP23" s="541"/>
      <c r="CQ23" s="541"/>
      <c r="CR23" s="541"/>
      <c r="CS23" s="541"/>
      <c r="CT23" s="541"/>
      <c r="CU23" s="541"/>
      <c r="CV23" s="541"/>
      <c r="CW23" s="541"/>
      <c r="CX23" s="541"/>
      <c r="CY23" s="519">
        <f>-SUM(CM23:CX23)</f>
        <v>0</v>
      </c>
      <c r="CZ23" s="525"/>
      <c r="DA23" s="525"/>
      <c r="DB23" s="525"/>
      <c r="DC23" s="525"/>
      <c r="DD23" s="525"/>
      <c r="DE23" s="525"/>
      <c r="DF23" s="525"/>
      <c r="DG23" s="525"/>
      <c r="DH23" s="525"/>
      <c r="DI23" s="527"/>
      <c r="DJ23" s="527"/>
      <c r="DK23" s="527"/>
      <c r="DL23" s="528">
        <f t="shared" si="10"/>
        <v>0</v>
      </c>
      <c r="DY23" s="519">
        <f t="shared" si="11"/>
        <v>0</v>
      </c>
    </row>
    <row r="24" spans="2:129" ht="15">
      <c r="B24" s="685" t="s">
        <v>370</v>
      </c>
      <c r="C24" s="502"/>
      <c r="D24" s="502"/>
      <c r="E24" s="502"/>
      <c r="F24" s="502"/>
      <c r="G24" s="502"/>
      <c r="H24" s="502"/>
      <c r="I24" s="502"/>
      <c r="J24" s="502"/>
      <c r="K24" s="502"/>
      <c r="L24" s="502"/>
      <c r="M24" s="501"/>
      <c r="N24" s="501"/>
      <c r="O24" s="712"/>
      <c r="P24" s="686"/>
      <c r="Q24" s="686"/>
      <c r="R24" s="686"/>
      <c r="S24" s="686"/>
      <c r="T24" s="686"/>
      <c r="U24" s="686"/>
      <c r="V24" s="686"/>
      <c r="W24" s="686"/>
      <c r="X24" s="686"/>
      <c r="Y24" s="686"/>
      <c r="Z24" s="686"/>
      <c r="AA24" s="686"/>
      <c r="AB24" s="664"/>
      <c r="AC24" s="686"/>
      <c r="AD24" s="686"/>
      <c r="AE24" s="686"/>
      <c r="AF24" s="686"/>
      <c r="AG24" s="686"/>
      <c r="AH24" s="686"/>
      <c r="AI24" s="686"/>
      <c r="AJ24" s="686"/>
      <c r="AK24" s="689"/>
      <c r="AL24" s="686"/>
      <c r="AM24" s="686"/>
      <c r="AN24" s="686"/>
      <c r="AO24" s="686"/>
      <c r="AP24" s="686"/>
      <c r="AQ24" s="686"/>
      <c r="AR24" s="686"/>
      <c r="AS24" s="686"/>
      <c r="AT24" s="686"/>
      <c r="AU24" s="686"/>
      <c r="AV24" s="686"/>
      <c r="AW24" s="686"/>
      <c r="AX24" s="689"/>
      <c r="AY24" s="504"/>
      <c r="AZ24" s="690"/>
      <c r="BA24" s="690"/>
      <c r="BB24" s="690"/>
      <c r="BC24" s="690"/>
      <c r="BD24" s="690"/>
      <c r="BE24" s="690"/>
      <c r="BF24" s="690"/>
      <c r="BG24" s="690"/>
      <c r="BH24" s="690"/>
      <c r="BI24" s="690"/>
      <c r="BJ24" s="690"/>
      <c r="BK24" s="689"/>
      <c r="BL24" s="690"/>
      <c r="BM24" s="690"/>
      <c r="BN24" s="692"/>
      <c r="BO24" s="690"/>
      <c r="BP24" s="690"/>
      <c r="BQ24" s="690"/>
      <c r="BR24" s="690"/>
      <c r="BS24" s="690"/>
      <c r="BT24" s="690"/>
      <c r="BU24" s="690"/>
      <c r="BV24" s="690"/>
      <c r="BW24" s="690"/>
      <c r="BX24" s="720"/>
      <c r="BY24" s="721"/>
      <c r="BZ24" s="722"/>
      <c r="CA24" s="692"/>
      <c r="CB24" s="504">
        <f>250*1.21</f>
        <v>302.5</v>
      </c>
      <c r="CC24" s="721">
        <v>55</v>
      </c>
      <c r="CD24" s="723">
        <f>1282.6</f>
        <v>1282.5999999999999</v>
      </c>
      <c r="CE24" s="690"/>
      <c r="CF24" s="541"/>
      <c r="CG24" s="541"/>
      <c r="CH24" s="690"/>
      <c r="CI24" s="690"/>
      <c r="CJ24" s="690"/>
      <c r="CK24" s="664">
        <f t="shared" si="8"/>
        <v>-1640.1</v>
      </c>
      <c r="CL24" s="664"/>
      <c r="CM24" s="694"/>
      <c r="CN24" s="663"/>
      <c r="CO24" s="694"/>
      <c r="CP24" s="663"/>
      <c r="CQ24" s="663"/>
      <c r="CR24" s="663"/>
      <c r="CS24" s="663"/>
      <c r="CT24" s="663"/>
      <c r="CU24" s="663"/>
      <c r="CV24" s="663"/>
      <c r="CW24" s="663"/>
      <c r="CX24" s="663"/>
      <c r="CY24" s="664">
        <f>-SUM(CM24:CX24)</f>
        <v>0</v>
      </c>
      <c r="CZ24" s="788"/>
      <c r="DA24" s="788"/>
      <c r="DB24" s="788"/>
      <c r="DC24" s="788"/>
      <c r="DD24" s="788"/>
      <c r="DE24" s="788"/>
      <c r="DF24" s="788"/>
      <c r="DG24" s="788"/>
      <c r="DH24" s="788"/>
      <c r="DI24" s="793"/>
      <c r="DJ24" s="793"/>
      <c r="DK24" s="793"/>
      <c r="DL24" s="790">
        <f>-SUM(CZ24:DK24)</f>
        <v>0</v>
      </c>
      <c r="DY24" s="664">
        <f>-SUM(DM24:DX24)</f>
        <v>0</v>
      </c>
    </row>
    <row r="25" spans="2:129" ht="15.75">
      <c r="B25" s="724" t="s">
        <v>534</v>
      </c>
      <c r="C25" s="725"/>
      <c r="D25" s="725"/>
      <c r="E25" s="725"/>
      <c r="F25" s="725"/>
      <c r="G25" s="725"/>
      <c r="H25" s="725"/>
      <c r="I25" s="725"/>
      <c r="J25" s="725"/>
      <c r="K25" s="725"/>
      <c r="L25" s="725"/>
      <c r="M25" s="726"/>
      <c r="N25" s="726"/>
      <c r="O25" s="681"/>
      <c r="P25" s="647"/>
      <c r="Q25" s="647"/>
      <c r="R25" s="647"/>
      <c r="S25" s="647"/>
      <c r="T25" s="647"/>
      <c r="U25" s="647"/>
      <c r="V25" s="647"/>
      <c r="W25" s="647"/>
      <c r="X25" s="647"/>
      <c r="Y25" s="647"/>
      <c r="Z25" s="647"/>
      <c r="AA25" s="647"/>
      <c r="AB25" s="517"/>
      <c r="AC25" s="648"/>
      <c r="AD25" s="647"/>
      <c r="AE25" s="647"/>
      <c r="AF25" s="647"/>
      <c r="AG25" s="647"/>
      <c r="AH25" s="647"/>
      <c r="AI25" s="647"/>
      <c r="AJ25" s="647"/>
      <c r="AK25" s="582"/>
      <c r="AL25" s="647"/>
      <c r="AM25" s="647"/>
      <c r="AN25" s="647"/>
      <c r="AO25" s="647"/>
      <c r="AP25" s="647"/>
      <c r="AQ25" s="647"/>
      <c r="AR25" s="647"/>
      <c r="AS25" s="647"/>
      <c r="AT25" s="647"/>
      <c r="AU25" s="647"/>
      <c r="AV25" s="647"/>
      <c r="AW25" s="647"/>
      <c r="AX25" s="517"/>
      <c r="AY25" s="532"/>
      <c r="AZ25" s="515"/>
      <c r="BA25" s="515"/>
      <c r="BB25" s="515"/>
      <c r="BC25" s="515"/>
      <c r="BD25" s="515"/>
      <c r="BE25" s="515"/>
      <c r="BF25" s="515"/>
      <c r="BG25" s="515"/>
      <c r="BH25" s="515"/>
      <c r="BI25" s="515"/>
      <c r="BJ25" s="515"/>
      <c r="BK25" s="517"/>
      <c r="BL25" s="518"/>
      <c r="BM25" s="515"/>
      <c r="BN25" s="576"/>
      <c r="BO25" s="515"/>
      <c r="BP25" s="515"/>
      <c r="BQ25" s="515"/>
      <c r="BR25" s="515"/>
      <c r="BS25" s="515"/>
      <c r="BT25" s="515"/>
      <c r="BU25" s="515"/>
      <c r="BV25" s="515"/>
      <c r="BW25" s="515"/>
      <c r="BX25" s="517"/>
      <c r="BY25" s="706">
        <f>-SUM(BY14:BY24)</f>
        <v>-3918.4399999999996</v>
      </c>
      <c r="BZ25" s="705">
        <f t="shared" ref="BZ25:CD25" si="12">-SUM(BZ14:BZ24)</f>
        <v>-1455.14</v>
      </c>
      <c r="CA25" s="705">
        <f t="shared" si="12"/>
        <v>-12751.89</v>
      </c>
      <c r="CB25" s="705">
        <f t="shared" si="12"/>
        <v>5944.8719999999994</v>
      </c>
      <c r="CC25" s="705">
        <f t="shared" si="12"/>
        <v>-14522.010000000002</v>
      </c>
      <c r="CD25" s="705">
        <f t="shared" si="12"/>
        <v>-26572.38</v>
      </c>
      <c r="CE25" s="705">
        <f>-SUM(CE14:CE24)</f>
        <v>-10541.71</v>
      </c>
      <c r="CF25" s="705">
        <f t="shared" ref="CF25:CJ25" si="13">-SUM(CF14:CF24)</f>
        <v>0</v>
      </c>
      <c r="CG25" s="705">
        <f>-SUM(CG14:CG24)</f>
        <v>-25897.24</v>
      </c>
      <c r="CH25" s="705">
        <f>-SUM(CH14:CH24)</f>
        <v>-11006.31</v>
      </c>
      <c r="CI25" s="705">
        <f t="shared" si="13"/>
        <v>-14257.1</v>
      </c>
      <c r="CJ25" s="705">
        <f t="shared" si="13"/>
        <v>74049.759999999995</v>
      </c>
      <c r="CK25" s="708">
        <f t="shared" ref="CK25" si="14">SUM(CK14:CK24)</f>
        <v>-40927.588000000011</v>
      </c>
      <c r="CL25" s="727"/>
      <c r="CM25" s="799">
        <f>-SUM(CM14:CM24)</f>
        <v>0</v>
      </c>
      <c r="CN25" s="705">
        <f>-SUM(CN14:CN24)</f>
        <v>-14448.580000000002</v>
      </c>
      <c r="CO25" s="707">
        <f>-SUM(CO14:CO24)</f>
        <v>0</v>
      </c>
      <c r="CP25" s="705">
        <f t="shared" ref="CP25" si="15">-SUM(CP14:CP24)</f>
        <v>0</v>
      </c>
      <c r="CQ25" s="705">
        <f t="shared" ref="CQ25" si="16">-SUM(CQ14:CQ24)</f>
        <v>-208</v>
      </c>
      <c r="CR25" s="705">
        <f t="shared" ref="CR25" si="17">-SUM(CR14:CR24)</f>
        <v>0</v>
      </c>
      <c r="CS25" s="705">
        <f>-SUM(CS14:CS24)</f>
        <v>160.19</v>
      </c>
      <c r="CT25" s="705">
        <f t="shared" ref="CT25" si="18">-SUM(CT14:CT24)</f>
        <v>14298.580000000002</v>
      </c>
      <c r="CU25" s="705">
        <f t="shared" ref="CU25" si="19">-SUM(CU14:CU24)</f>
        <v>0</v>
      </c>
      <c r="CV25" s="705">
        <f t="shared" ref="CV25" si="20">-SUM(CV14:CV24)</f>
        <v>-155.41</v>
      </c>
      <c r="CW25" s="705">
        <f t="shared" ref="CW25" si="21">-SUM(CW14:CW24)</f>
        <v>0</v>
      </c>
      <c r="CX25" s="705">
        <f t="shared" ref="CX25" si="22">-SUM(CX14:CX24)</f>
        <v>0</v>
      </c>
      <c r="CY25" s="803">
        <f>SUM(CY14:CY24)</f>
        <v>-353.21999999999997</v>
      </c>
      <c r="CZ25" s="894">
        <f>-SUM(CZ14:CZ24)</f>
        <v>0</v>
      </c>
      <c r="DA25" s="901">
        <f t="shared" ref="DA25:DE25" si="23">-SUM(DA14:DA24)</f>
        <v>0</v>
      </c>
      <c r="DB25" s="901">
        <f t="shared" si="23"/>
        <v>-315</v>
      </c>
      <c r="DC25" s="901">
        <f t="shared" si="23"/>
        <v>0</v>
      </c>
      <c r="DD25" s="901">
        <f t="shared" si="23"/>
        <v>-4798</v>
      </c>
      <c r="DE25" s="901">
        <f t="shared" si="23"/>
        <v>-1996.37</v>
      </c>
      <c r="DF25" s="901">
        <f>-SUM(DF14:DF24)</f>
        <v>0</v>
      </c>
      <c r="DG25" s="901">
        <f t="shared" ref="DG25:DK25" si="24">-SUM(DG14:DG24)</f>
        <v>0</v>
      </c>
      <c r="DH25" s="901">
        <f t="shared" si="24"/>
        <v>0</v>
      </c>
      <c r="DI25" s="895">
        <f t="shared" si="24"/>
        <v>0</v>
      </c>
      <c r="DJ25" s="895">
        <f t="shared" si="24"/>
        <v>0</v>
      </c>
      <c r="DK25" s="895">
        <f t="shared" si="24"/>
        <v>0</v>
      </c>
      <c r="DL25" s="603">
        <f>SUM(DL14:DL24)</f>
        <v>-7109.37</v>
      </c>
      <c r="DM25" s="702">
        <f>-SUM(DM14:DM24)</f>
        <v>0</v>
      </c>
      <c r="DN25" s="704">
        <f t="shared" ref="DN25:DR25" si="25">-SUM(DN14:DN24)</f>
        <v>0</v>
      </c>
      <c r="DO25" s="704">
        <f t="shared" si="25"/>
        <v>0</v>
      </c>
      <c r="DP25" s="704">
        <f t="shared" si="25"/>
        <v>0</v>
      </c>
      <c r="DQ25" s="704">
        <f t="shared" si="25"/>
        <v>0</v>
      </c>
      <c r="DR25" s="704">
        <f t="shared" si="25"/>
        <v>0</v>
      </c>
      <c r="DS25" s="704">
        <f>-SUM(DS14:DS24)</f>
        <v>0</v>
      </c>
      <c r="DT25" s="704">
        <f t="shared" ref="DT25:DX25" si="26">-SUM(DT14:DT24)</f>
        <v>0</v>
      </c>
      <c r="DU25" s="704">
        <f t="shared" si="26"/>
        <v>0</v>
      </c>
      <c r="DV25" s="704">
        <f t="shared" si="26"/>
        <v>0</v>
      </c>
      <c r="DW25" s="704">
        <f t="shared" si="26"/>
        <v>0</v>
      </c>
      <c r="DX25" s="704">
        <f t="shared" si="26"/>
        <v>0</v>
      </c>
      <c r="DY25" s="708">
        <f>SUM(DY14:DY24)</f>
        <v>0</v>
      </c>
    </row>
    <row r="26" spans="2:129" ht="15.75">
      <c r="B26" s="728" t="s">
        <v>535</v>
      </c>
      <c r="C26" s="725"/>
      <c r="D26" s="725"/>
      <c r="E26" s="725"/>
      <c r="F26" s="725"/>
      <c r="G26" s="725"/>
      <c r="H26" s="725"/>
      <c r="I26" s="725"/>
      <c r="J26" s="725"/>
      <c r="K26" s="725"/>
      <c r="L26" s="725"/>
      <c r="M26" s="726"/>
      <c r="N26" s="726"/>
      <c r="O26" s="681"/>
      <c r="P26" s="666"/>
      <c r="Q26" s="666"/>
      <c r="R26" s="666"/>
      <c r="S26" s="666"/>
      <c r="T26" s="666"/>
      <c r="U26" s="666"/>
      <c r="V26" s="666"/>
      <c r="W26" s="666"/>
      <c r="X26" s="666"/>
      <c r="Y26" s="666"/>
      <c r="Z26" s="666"/>
      <c r="AA26" s="666"/>
      <c r="AB26" s="669"/>
      <c r="AC26" s="666"/>
      <c r="AD26" s="666"/>
      <c r="AE26" s="666"/>
      <c r="AF26" s="666"/>
      <c r="AG26" s="666"/>
      <c r="AH26" s="666"/>
      <c r="AI26" s="666"/>
      <c r="AJ26" s="666"/>
      <c r="AK26" s="669"/>
      <c r="AL26" s="666"/>
      <c r="AM26" s="666"/>
      <c r="AN26" s="666"/>
      <c r="AO26" s="666"/>
      <c r="AP26" s="666"/>
      <c r="AQ26" s="666"/>
      <c r="AR26" s="666"/>
      <c r="AS26" s="666"/>
      <c r="AT26" s="666"/>
      <c r="AU26" s="666"/>
      <c r="AV26" s="666"/>
      <c r="AW26" s="666"/>
      <c r="AX26" s="669"/>
      <c r="AY26" s="670"/>
      <c r="AZ26" s="671"/>
      <c r="BA26" s="671"/>
      <c r="BB26" s="671"/>
      <c r="BC26" s="671"/>
      <c r="BD26" s="671"/>
      <c r="BE26" s="671"/>
      <c r="BF26" s="671"/>
      <c r="BG26" s="671"/>
      <c r="BH26" s="671"/>
      <c r="BI26" s="671"/>
      <c r="BJ26" s="671"/>
      <c r="BK26" s="669"/>
      <c r="BL26" s="671"/>
      <c r="BM26" s="671"/>
      <c r="BN26" s="673"/>
      <c r="BO26" s="671"/>
      <c r="BP26" s="671"/>
      <c r="BQ26" s="671"/>
      <c r="BR26" s="671"/>
      <c r="BS26" s="671"/>
      <c r="BT26" s="671"/>
      <c r="BU26" s="671"/>
      <c r="BV26" s="671"/>
      <c r="BW26" s="671"/>
      <c r="BX26" s="669"/>
      <c r="BY26" s="532">
        <f>SUM(BY11,BY25)</f>
        <v>-1641.4099999999994</v>
      </c>
      <c r="BZ26" s="532">
        <f t="shared" ref="BZ26:CJ26" si="27">SUM(BZ11,BZ25)</f>
        <v>-1455.14</v>
      </c>
      <c r="CA26" s="568">
        <f t="shared" si="27"/>
        <v>-12751.89</v>
      </c>
      <c r="CB26" s="532">
        <f t="shared" si="27"/>
        <v>5944.8719999999994</v>
      </c>
      <c r="CC26" s="532">
        <f t="shared" si="27"/>
        <v>-14012.840000000002</v>
      </c>
      <c r="CD26" s="532">
        <f t="shared" si="27"/>
        <v>-26437.8</v>
      </c>
      <c r="CE26" s="532">
        <f t="shared" si="27"/>
        <v>-10541.71</v>
      </c>
      <c r="CF26" s="532">
        <f t="shared" si="27"/>
        <v>0</v>
      </c>
      <c r="CG26" s="532">
        <f t="shared" si="27"/>
        <v>-25897.24</v>
      </c>
      <c r="CH26" s="532">
        <f t="shared" si="27"/>
        <v>-11006.31</v>
      </c>
      <c r="CI26" s="532">
        <f t="shared" si="27"/>
        <v>-14257.1</v>
      </c>
      <c r="CJ26" s="532">
        <f t="shared" si="27"/>
        <v>74049.759999999995</v>
      </c>
      <c r="CK26" s="729"/>
      <c r="CL26" s="730"/>
      <c r="CM26" s="801">
        <f>SUM(CM11,CM25)</f>
        <v>0</v>
      </c>
      <c r="CN26" s="532">
        <f t="shared" ref="CN26" si="28">SUM(CN11,CN25)</f>
        <v>-14448.580000000002</v>
      </c>
      <c r="CO26" s="568">
        <f t="shared" ref="CO26" si="29">SUM(CO11,CO25)</f>
        <v>0</v>
      </c>
      <c r="CP26" s="532">
        <f t="shared" ref="CP26" si="30">SUM(CP11,CP25)</f>
        <v>18560</v>
      </c>
      <c r="CQ26" s="532">
        <f t="shared" ref="CQ26" si="31">SUM(CQ11,CQ25)</f>
        <v>2764.85</v>
      </c>
      <c r="CR26" s="532">
        <f t="shared" ref="CR26" si="32">SUM(CR11,CR25)</f>
        <v>0</v>
      </c>
      <c r="CS26" s="532">
        <f t="shared" ref="CS26" si="33">SUM(CS11,CS25)</f>
        <v>160.19</v>
      </c>
      <c r="CT26" s="532">
        <f t="shared" ref="CT26" si="34">SUM(CT11,CT25)</f>
        <v>14298.580000000002</v>
      </c>
      <c r="CU26" s="532">
        <f t="shared" ref="CU26" si="35">SUM(CU11,CU25)</f>
        <v>0</v>
      </c>
      <c r="CV26" s="532">
        <f t="shared" ref="CV26" si="36">SUM(CV11,CV25)</f>
        <v>-155.41</v>
      </c>
      <c r="CW26" s="532">
        <f t="shared" ref="CW26" si="37">SUM(CW11,CW25)</f>
        <v>0</v>
      </c>
      <c r="CX26" s="532">
        <f t="shared" ref="CX26" si="38">SUM(CX11,CX25)</f>
        <v>0</v>
      </c>
      <c r="CY26" s="803"/>
      <c r="CZ26" s="534">
        <f>SUM(CZ11,CZ25)</f>
        <v>0</v>
      </c>
      <c r="DA26" s="534">
        <f t="shared" ref="DA26:DK26" si="39">SUM(DA11,DA25)</f>
        <v>0</v>
      </c>
      <c r="DB26" s="534">
        <f t="shared" si="39"/>
        <v>-315</v>
      </c>
      <c r="DC26" s="534">
        <f t="shared" si="39"/>
        <v>0</v>
      </c>
      <c r="DD26" s="534">
        <f t="shared" si="39"/>
        <v>-4798</v>
      </c>
      <c r="DE26" s="534">
        <f t="shared" si="39"/>
        <v>-1996.37</v>
      </c>
      <c r="DF26" s="534">
        <f t="shared" si="39"/>
        <v>0</v>
      </c>
      <c r="DG26" s="534">
        <f t="shared" si="39"/>
        <v>0</v>
      </c>
      <c r="DH26" s="534">
        <f t="shared" si="39"/>
        <v>0</v>
      </c>
      <c r="DI26" s="782">
        <f t="shared" si="39"/>
        <v>737.53</v>
      </c>
      <c r="DJ26" s="782">
        <f t="shared" si="39"/>
        <v>0</v>
      </c>
      <c r="DK26" s="782">
        <f t="shared" si="39"/>
        <v>0</v>
      </c>
      <c r="DL26" s="898"/>
      <c r="DM26" s="729">
        <f>SUM(DM11,DM25)</f>
        <v>0</v>
      </c>
      <c r="DN26" s="729">
        <f t="shared" ref="DN26:DX26" si="40">SUM(DN11,DN25)</f>
        <v>158084</v>
      </c>
      <c r="DO26" s="729">
        <f t="shared" si="40"/>
        <v>0</v>
      </c>
      <c r="DP26" s="729">
        <f t="shared" si="40"/>
        <v>78549.899999999994</v>
      </c>
      <c r="DQ26" s="729">
        <f t="shared" si="40"/>
        <v>0</v>
      </c>
      <c r="DR26" s="729">
        <f t="shared" si="40"/>
        <v>0</v>
      </c>
      <c r="DS26" s="729">
        <f t="shared" si="40"/>
        <v>0</v>
      </c>
      <c r="DT26" s="729">
        <f t="shared" si="40"/>
        <v>0</v>
      </c>
      <c r="DU26" s="729">
        <f t="shared" si="40"/>
        <v>0</v>
      </c>
      <c r="DV26" s="729">
        <f t="shared" si="40"/>
        <v>0</v>
      </c>
      <c r="DW26" s="729">
        <f t="shared" si="40"/>
        <v>0</v>
      </c>
      <c r="DX26" s="729">
        <f t="shared" si="40"/>
        <v>0</v>
      </c>
      <c r="DY26" s="803"/>
    </row>
    <row r="27" spans="2:129" ht="15.75">
      <c r="B27" s="728" t="s">
        <v>536</v>
      </c>
      <c r="C27" s="579"/>
      <c r="D27" s="579"/>
      <c r="E27" s="579"/>
      <c r="F27" s="579"/>
      <c r="G27" s="579"/>
      <c r="H27" s="579"/>
      <c r="I27" s="579"/>
      <c r="J27" s="579"/>
      <c r="K27" s="579"/>
      <c r="L27" s="579"/>
      <c r="M27" s="538"/>
      <c r="N27" s="538"/>
      <c r="O27" s="575"/>
      <c r="P27" s="647"/>
      <c r="Q27" s="647"/>
      <c r="R27" s="647"/>
      <c r="S27" s="647"/>
      <c r="T27" s="647"/>
      <c r="U27" s="647"/>
      <c r="V27" s="647"/>
      <c r="W27" s="647"/>
      <c r="X27" s="647"/>
      <c r="Y27" s="647"/>
      <c r="Z27" s="647"/>
      <c r="AA27" s="647"/>
      <c r="AB27" s="582"/>
      <c r="AC27" s="647"/>
      <c r="AD27" s="647"/>
      <c r="AE27" s="647"/>
      <c r="AF27" s="647"/>
      <c r="AG27" s="647"/>
      <c r="AH27" s="647"/>
      <c r="AI27" s="647"/>
      <c r="AJ27" s="647"/>
      <c r="AK27" s="582"/>
      <c r="AL27" s="647"/>
      <c r="AM27" s="647"/>
      <c r="AN27" s="647"/>
      <c r="AO27" s="647"/>
      <c r="AP27" s="647"/>
      <c r="AQ27" s="647"/>
      <c r="AR27" s="647"/>
      <c r="AS27" s="647"/>
      <c r="AT27" s="647"/>
      <c r="AU27" s="647"/>
      <c r="AV27" s="647"/>
      <c r="AW27" s="647"/>
      <c r="AX27" s="582"/>
      <c r="AY27" s="532"/>
      <c r="AZ27" s="515"/>
      <c r="BA27" s="515"/>
      <c r="BB27" s="515"/>
      <c r="BC27" s="515"/>
      <c r="BD27" s="515"/>
      <c r="BE27" s="515"/>
      <c r="BF27" s="515"/>
      <c r="BG27" s="515"/>
      <c r="BH27" s="515"/>
      <c r="BI27" s="515"/>
      <c r="BJ27" s="515"/>
      <c r="BK27" s="582"/>
      <c r="BL27" s="515"/>
      <c r="BM27" s="515"/>
      <c r="BN27" s="576"/>
      <c r="BO27" s="515"/>
      <c r="BP27" s="515"/>
      <c r="BQ27" s="515"/>
      <c r="BR27" s="515"/>
      <c r="BS27" s="515"/>
      <c r="BT27" s="515"/>
      <c r="BU27" s="515"/>
      <c r="BV27" s="515"/>
      <c r="BW27" s="515"/>
      <c r="BX27" s="582"/>
      <c r="BY27" s="532">
        <f>+BY26</f>
        <v>-1641.4099999999994</v>
      </c>
      <c r="BZ27" s="532">
        <f>+BZ26+BY27</f>
        <v>-3096.5499999999993</v>
      </c>
      <c r="CA27" s="568">
        <f t="shared" ref="CA27:CJ27" si="41">+CA26+BZ27</f>
        <v>-15848.439999999999</v>
      </c>
      <c r="CB27" s="532">
        <f t="shared" si="41"/>
        <v>-9903.5679999999993</v>
      </c>
      <c r="CC27" s="532">
        <f t="shared" si="41"/>
        <v>-23916.408000000003</v>
      </c>
      <c r="CD27" s="532">
        <f t="shared" si="41"/>
        <v>-50354.207999999999</v>
      </c>
      <c r="CE27" s="532">
        <f t="shared" si="41"/>
        <v>-60895.917999999998</v>
      </c>
      <c r="CF27" s="532">
        <f t="shared" si="41"/>
        <v>-60895.917999999998</v>
      </c>
      <c r="CG27" s="532">
        <f t="shared" si="41"/>
        <v>-86793.157999999996</v>
      </c>
      <c r="CH27" s="532">
        <f t="shared" si="41"/>
        <v>-97799.467999999993</v>
      </c>
      <c r="CI27" s="532">
        <f t="shared" si="41"/>
        <v>-112056.568</v>
      </c>
      <c r="CJ27" s="532">
        <f t="shared" si="41"/>
        <v>-38006.808000000005</v>
      </c>
      <c r="CK27" s="729"/>
      <c r="CL27" s="729"/>
      <c r="CM27" s="802">
        <f>+CM26</f>
        <v>0</v>
      </c>
      <c r="CN27" s="532">
        <f>+CN26+CM27</f>
        <v>-14448.580000000002</v>
      </c>
      <c r="CO27" s="568">
        <f t="shared" ref="CO27" si="42">+CO26+CN27</f>
        <v>-14448.580000000002</v>
      </c>
      <c r="CP27" s="532">
        <f t="shared" ref="CP27" si="43">+CP26+CO27</f>
        <v>4111.4199999999983</v>
      </c>
      <c r="CQ27" s="532">
        <f t="shared" ref="CQ27" si="44">+CQ26+CP27</f>
        <v>6876.2699999999986</v>
      </c>
      <c r="CR27" s="532">
        <f t="shared" ref="CR27" si="45">+CR26+CQ27</f>
        <v>6876.2699999999986</v>
      </c>
      <c r="CS27" s="532">
        <f t="shared" ref="CS27" si="46">+CS26+CR27</f>
        <v>7036.4599999999982</v>
      </c>
      <c r="CT27" s="532">
        <f t="shared" ref="CT27" si="47">+CT26+CS27</f>
        <v>21335.040000000001</v>
      </c>
      <c r="CU27" s="532">
        <f t="shared" ref="CU27" si="48">+CU26+CT27</f>
        <v>21335.040000000001</v>
      </c>
      <c r="CV27" s="532">
        <f t="shared" ref="CV27" si="49">+CV26+CU27</f>
        <v>21179.63</v>
      </c>
      <c r="CW27" s="532">
        <f t="shared" ref="CW27" si="50">+CW26+CV27</f>
        <v>21179.63</v>
      </c>
      <c r="CX27" s="532">
        <f t="shared" ref="CX27" si="51">+CX26+CW27</f>
        <v>21179.63</v>
      </c>
      <c r="CY27" s="804"/>
      <c r="CZ27" s="534">
        <f>+CZ26</f>
        <v>0</v>
      </c>
      <c r="DA27" s="534">
        <f>+DA26+CZ27</f>
        <v>0</v>
      </c>
      <c r="DB27" s="534">
        <f t="shared" ref="DB27" si="52">+DB26+DA27</f>
        <v>-315</v>
      </c>
      <c r="DC27" s="534">
        <f t="shared" ref="DC27" si="53">+DC26+DB27</f>
        <v>-315</v>
      </c>
      <c r="DD27" s="534">
        <f t="shared" ref="DD27" si="54">+DD26+DC27</f>
        <v>-5113</v>
      </c>
      <c r="DE27" s="534">
        <f t="shared" ref="DE27" si="55">+DE26+DD27</f>
        <v>-7109.37</v>
      </c>
      <c r="DF27" s="534">
        <f t="shared" ref="DF27" si="56">+DF26+DE27</f>
        <v>-7109.37</v>
      </c>
      <c r="DG27" s="534">
        <f t="shared" ref="DG27" si="57">+DG26+DF27</f>
        <v>-7109.37</v>
      </c>
      <c r="DH27" s="534">
        <f t="shared" ref="DH27" si="58">+DH26+DG27</f>
        <v>-7109.37</v>
      </c>
      <c r="DI27" s="782">
        <f t="shared" ref="DI27" si="59">+DI26+DH27</f>
        <v>-6371.84</v>
      </c>
      <c r="DJ27" s="782">
        <f t="shared" ref="DJ27" si="60">+DJ26+DI27</f>
        <v>-6371.84</v>
      </c>
      <c r="DK27" s="782">
        <f t="shared" ref="DK27" si="61">+DK26+DJ27</f>
        <v>-6371.84</v>
      </c>
      <c r="DL27" s="783"/>
      <c r="DM27" s="729">
        <f>+DM26</f>
        <v>0</v>
      </c>
      <c r="DN27" s="729">
        <f>+DN26+DM27</f>
        <v>158084</v>
      </c>
      <c r="DO27" s="729">
        <f t="shared" ref="DO27" si="62">+DO26+DN27</f>
        <v>158084</v>
      </c>
      <c r="DP27" s="729">
        <f t="shared" ref="DP27" si="63">+DP26+DO27</f>
        <v>236633.9</v>
      </c>
      <c r="DQ27" s="729">
        <f t="shared" ref="DQ27" si="64">+DQ26+DP27</f>
        <v>236633.9</v>
      </c>
      <c r="DR27" s="729">
        <f t="shared" ref="DR27" si="65">+DR26+DQ27</f>
        <v>236633.9</v>
      </c>
      <c r="DS27" s="729">
        <f t="shared" ref="DS27" si="66">+DS26+DR27</f>
        <v>236633.9</v>
      </c>
      <c r="DT27" s="729">
        <f t="shared" ref="DT27" si="67">+DT26+DS27</f>
        <v>236633.9</v>
      </c>
      <c r="DU27" s="729">
        <f t="shared" ref="DU27" si="68">+DU26+DT27</f>
        <v>236633.9</v>
      </c>
      <c r="DV27" s="729">
        <f t="shared" ref="DV27" si="69">+DV26+DU27</f>
        <v>236633.9</v>
      </c>
      <c r="DW27" s="729">
        <f t="shared" ref="DW27" si="70">+DW26+DV27</f>
        <v>236633.9</v>
      </c>
      <c r="DX27" s="729">
        <f t="shared" ref="DX27" si="71">+DX26+DW27</f>
        <v>236633.9</v>
      </c>
      <c r="DY27" s="804"/>
    </row>
    <row r="28" spans="2:129" ht="15.75">
      <c r="B28" s="728"/>
      <c r="C28" s="579"/>
      <c r="D28" s="579"/>
      <c r="E28" s="579"/>
      <c r="F28" s="579"/>
      <c r="G28" s="579"/>
      <c r="H28" s="579"/>
      <c r="I28" s="579"/>
      <c r="J28" s="579"/>
      <c r="K28" s="579"/>
      <c r="L28" s="579"/>
      <c r="M28" s="538"/>
      <c r="N28" s="538"/>
      <c r="O28" s="575"/>
      <c r="P28" s="647"/>
      <c r="Q28" s="647"/>
      <c r="R28" s="647"/>
      <c r="S28" s="647"/>
      <c r="T28" s="647"/>
      <c r="U28" s="647"/>
      <c r="V28" s="647"/>
      <c r="W28" s="647"/>
      <c r="X28" s="647"/>
      <c r="Y28" s="647"/>
      <c r="Z28" s="647"/>
      <c r="AA28" s="647"/>
      <c r="AB28" s="582"/>
      <c r="AC28" s="647"/>
      <c r="AD28" s="647"/>
      <c r="AE28" s="647"/>
      <c r="AF28" s="647"/>
      <c r="AG28" s="647"/>
      <c r="AH28" s="647"/>
      <c r="AI28" s="647"/>
      <c r="AJ28" s="647"/>
      <c r="AK28" s="582"/>
      <c r="AL28" s="647"/>
      <c r="AM28" s="647"/>
      <c r="AN28" s="647"/>
      <c r="AO28" s="647"/>
      <c r="AP28" s="647"/>
      <c r="AQ28" s="647"/>
      <c r="AR28" s="647"/>
      <c r="AS28" s="647"/>
      <c r="AT28" s="647"/>
      <c r="AU28" s="647"/>
      <c r="AV28" s="647"/>
      <c r="AW28" s="647"/>
      <c r="AX28" s="582"/>
      <c r="AY28" s="532"/>
      <c r="AZ28" s="515"/>
      <c r="BA28" s="515"/>
      <c r="BB28" s="515"/>
      <c r="BC28" s="515"/>
      <c r="BD28" s="515"/>
      <c r="BE28" s="515"/>
      <c r="BF28" s="515"/>
      <c r="BG28" s="515"/>
      <c r="BH28" s="515"/>
      <c r="BI28" s="515"/>
      <c r="BJ28" s="515"/>
      <c r="BK28" s="582"/>
      <c r="BL28" s="515"/>
      <c r="BM28" s="515"/>
      <c r="BN28" s="576"/>
      <c r="BO28" s="515"/>
      <c r="BP28" s="515"/>
      <c r="BQ28" s="515"/>
      <c r="BR28" s="515"/>
      <c r="BS28" s="515"/>
      <c r="BT28" s="515"/>
      <c r="BU28" s="515"/>
      <c r="BV28" s="515"/>
      <c r="BW28" s="515"/>
      <c r="BX28" s="582"/>
      <c r="BY28" s="532"/>
      <c r="BZ28" s="532"/>
      <c r="CA28" s="568"/>
      <c r="CB28" s="532"/>
      <c r="CC28" s="532"/>
      <c r="CD28" s="532"/>
      <c r="CE28" s="532"/>
      <c r="CF28" s="532"/>
      <c r="CG28" s="532"/>
      <c r="CH28" s="532"/>
      <c r="CI28" s="532"/>
      <c r="CJ28" s="532"/>
      <c r="CK28" s="729"/>
      <c r="CL28" s="729"/>
      <c r="CM28" s="802"/>
      <c r="CN28" s="532"/>
      <c r="CO28" s="568"/>
      <c r="CP28" s="532"/>
      <c r="CQ28" s="532"/>
      <c r="CR28" s="532"/>
      <c r="CS28" s="532"/>
      <c r="CT28" s="532"/>
      <c r="CU28" s="532"/>
      <c r="CV28" s="532"/>
      <c r="CW28" s="532"/>
      <c r="CX28" s="532"/>
      <c r="CY28" s="804"/>
      <c r="CZ28" s="525"/>
      <c r="DA28" s="525"/>
      <c r="DB28" s="525"/>
      <c r="DC28" s="525"/>
      <c r="DD28" s="525"/>
      <c r="DE28" s="525"/>
      <c r="DF28" s="525"/>
      <c r="DG28" s="525"/>
      <c r="DH28" s="525"/>
      <c r="DI28" s="527"/>
      <c r="DJ28" s="527"/>
      <c r="DK28" s="527"/>
      <c r="DL28" s="783"/>
      <c r="DY28" s="804"/>
    </row>
    <row r="29" spans="2:129" s="510" customFormat="1" ht="15">
      <c r="B29" s="731" t="s">
        <v>371</v>
      </c>
      <c r="C29" s="502"/>
      <c r="D29" s="502"/>
      <c r="E29" s="502"/>
      <c r="F29" s="502"/>
      <c r="G29" s="502"/>
      <c r="H29" s="502"/>
      <c r="I29" s="502"/>
      <c r="J29" s="502"/>
      <c r="K29" s="502"/>
      <c r="L29" s="502"/>
      <c r="M29" s="501"/>
      <c r="N29" s="501"/>
      <c r="O29" s="712"/>
      <c r="P29" s="686"/>
      <c r="Q29" s="686"/>
      <c r="R29" s="686"/>
      <c r="S29" s="686"/>
      <c r="T29" s="686"/>
      <c r="U29" s="686"/>
      <c r="V29" s="686"/>
      <c r="W29" s="686"/>
      <c r="X29" s="686"/>
      <c r="Y29" s="686"/>
      <c r="Z29" s="686"/>
      <c r="AA29" s="686"/>
      <c r="AB29" s="687"/>
      <c r="AC29" s="688"/>
      <c r="AD29" s="686"/>
      <c r="AE29" s="686"/>
      <c r="AF29" s="686"/>
      <c r="AG29" s="686"/>
      <c r="AH29" s="686"/>
      <c r="AI29" s="686"/>
      <c r="AJ29" s="686"/>
      <c r="AK29" s="689"/>
      <c r="AL29" s="686"/>
      <c r="AM29" s="686"/>
      <c r="AN29" s="686"/>
      <c r="AO29" s="686"/>
      <c r="AP29" s="686"/>
      <c r="AQ29" s="686"/>
      <c r="AR29" s="686"/>
      <c r="AS29" s="686"/>
      <c r="AT29" s="686"/>
      <c r="AU29" s="686"/>
      <c r="AV29" s="686"/>
      <c r="AW29" s="686"/>
      <c r="AX29" s="687"/>
      <c r="AY29" s="504"/>
      <c r="AZ29" s="690"/>
      <c r="BA29" s="690"/>
      <c r="BB29" s="690"/>
      <c r="BC29" s="690"/>
      <c r="BD29" s="690"/>
      <c r="BE29" s="690"/>
      <c r="BF29" s="690"/>
      <c r="BG29" s="690"/>
      <c r="BH29" s="690"/>
      <c r="BI29" s="690"/>
      <c r="BJ29" s="690"/>
      <c r="BK29" s="687"/>
      <c r="BL29" s="691"/>
      <c r="BM29" s="690"/>
      <c r="BN29" s="692"/>
      <c r="BO29" s="690"/>
      <c r="BP29" s="690"/>
      <c r="BQ29" s="690"/>
      <c r="BR29" s="690"/>
      <c r="BS29" s="690"/>
      <c r="BT29" s="690"/>
      <c r="BU29" s="690"/>
      <c r="BV29" s="690"/>
      <c r="BW29" s="690"/>
      <c r="BX29" s="689"/>
      <c r="BY29" s="690"/>
      <c r="BZ29" s="690"/>
      <c r="CA29" s="692"/>
      <c r="CB29" s="690"/>
      <c r="CC29" s="690"/>
      <c r="CD29" s="690"/>
      <c r="CE29" s="690"/>
      <c r="CF29" s="690"/>
      <c r="CG29" s="690"/>
      <c r="CH29" s="690"/>
      <c r="CI29" s="690"/>
      <c r="CJ29" s="690"/>
      <c r="CK29" s="689"/>
      <c r="CL29" s="720"/>
      <c r="CM29" s="692"/>
      <c r="CN29" s="690"/>
      <c r="CO29" s="692"/>
      <c r="CP29" s="690"/>
      <c r="CQ29" s="690"/>
      <c r="CR29" s="690"/>
      <c r="CS29" s="690"/>
      <c r="CT29" s="690"/>
      <c r="CU29" s="690"/>
      <c r="CV29" s="690"/>
      <c r="CW29" s="690"/>
      <c r="CX29" s="690"/>
      <c r="CY29" s="664"/>
      <c r="CZ29" s="788"/>
      <c r="DA29" s="788"/>
      <c r="DB29" s="788"/>
      <c r="DC29" s="788"/>
      <c r="DD29" s="788"/>
      <c r="DE29" s="788"/>
      <c r="DF29" s="788"/>
      <c r="DG29" s="788"/>
      <c r="DH29" s="788"/>
      <c r="DI29" s="793"/>
      <c r="DJ29" s="793"/>
      <c r="DK29" s="793"/>
      <c r="DL29" s="790"/>
      <c r="DY29" s="664"/>
    </row>
    <row r="30" spans="2:129" ht="15">
      <c r="B30" s="482" t="s">
        <v>458</v>
      </c>
      <c r="C30" s="579"/>
      <c r="D30" s="579"/>
      <c r="E30" s="579"/>
      <c r="F30" s="579"/>
      <c r="G30" s="579"/>
      <c r="H30" s="579"/>
      <c r="I30" s="579"/>
      <c r="J30" s="579"/>
      <c r="K30" s="579"/>
      <c r="L30" s="579"/>
      <c r="M30" s="538"/>
      <c r="N30" s="538"/>
      <c r="O30" s="575"/>
      <c r="P30" s="647"/>
      <c r="Q30" s="647"/>
      <c r="R30" s="647"/>
      <c r="S30" s="647"/>
      <c r="T30" s="647"/>
      <c r="U30" s="647"/>
      <c r="V30" s="647"/>
      <c r="W30" s="647"/>
      <c r="X30" s="647"/>
      <c r="Y30" s="647"/>
      <c r="Z30" s="647"/>
      <c r="AA30" s="647"/>
      <c r="AB30" s="517"/>
      <c r="AC30" s="648"/>
      <c r="AD30" s="647"/>
      <c r="AE30" s="647"/>
      <c r="AF30" s="647"/>
      <c r="AG30" s="647"/>
      <c r="AH30" s="647"/>
      <c r="AI30" s="647"/>
      <c r="AJ30" s="647"/>
      <c r="AK30" s="582"/>
      <c r="AL30" s="647"/>
      <c r="AM30" s="647"/>
      <c r="AN30" s="647"/>
      <c r="AO30" s="647"/>
      <c r="AP30" s="647"/>
      <c r="AQ30" s="647"/>
      <c r="AR30" s="647"/>
      <c r="AS30" s="647"/>
      <c r="AT30" s="647"/>
      <c r="AU30" s="647"/>
      <c r="AV30" s="647"/>
      <c r="AW30" s="647"/>
      <c r="AX30" s="517"/>
      <c r="AY30" s="532"/>
      <c r="AZ30" s="515"/>
      <c r="BA30" s="515"/>
      <c r="BB30" s="515"/>
      <c r="BC30" s="515"/>
      <c r="BD30" s="515"/>
      <c r="BE30" s="515"/>
      <c r="BF30" s="515"/>
      <c r="BG30" s="515"/>
      <c r="BH30" s="515"/>
      <c r="BI30" s="515"/>
      <c r="BJ30" s="515"/>
      <c r="BK30" s="517"/>
      <c r="BL30" s="518"/>
      <c r="BM30" s="515"/>
      <c r="BN30" s="576"/>
      <c r="BO30" s="515"/>
      <c r="BP30" s="515"/>
      <c r="BQ30" s="515"/>
      <c r="BR30" s="515"/>
      <c r="BS30" s="515"/>
      <c r="BT30" s="515"/>
      <c r="BU30" s="515"/>
      <c r="BV30" s="515"/>
      <c r="BW30" s="515"/>
      <c r="BX30" s="519"/>
      <c r="BY30" s="548">
        <f>(113.09+32.51)</f>
        <v>145.6</v>
      </c>
      <c r="BZ30" s="542">
        <f>(113.09+32.51)</f>
        <v>145.6</v>
      </c>
      <c r="CA30" s="576"/>
      <c r="CB30" s="515"/>
      <c r="CC30" s="532">
        <f>261.99+374.99</f>
        <v>636.98</v>
      </c>
      <c r="CD30" s="515"/>
      <c r="CE30" s="515"/>
      <c r="CF30" s="515"/>
      <c r="CG30" s="515"/>
      <c r="CH30" s="515"/>
      <c r="CI30" s="515"/>
      <c r="CJ30" s="520"/>
      <c r="CK30" s="519">
        <f>-SUM(BY30:CJ30)</f>
        <v>-928.18000000000006</v>
      </c>
      <c r="CL30" s="519"/>
      <c r="CM30" s="862">
        <f>(113.09+32.51)</f>
        <v>145.6</v>
      </c>
      <c r="CN30" s="542">
        <f>(113.09+32.51)</f>
        <v>145.6</v>
      </c>
      <c r="CO30" s="576"/>
      <c r="CP30" s="542">
        <f>305.15+425.05</f>
        <v>730.2</v>
      </c>
      <c r="CQ30" s="542">
        <f>-305.15-425.05</f>
        <v>-730.2</v>
      </c>
      <c r="CR30" s="515"/>
      <c r="CS30" s="515"/>
      <c r="CT30" s="515"/>
      <c r="CU30" s="515"/>
      <c r="CV30" s="515"/>
      <c r="CW30" s="515"/>
      <c r="CX30" s="515"/>
      <c r="CY30" s="519">
        <f t="shared" ref="CY30:CY35" si="72">-SUM(CM30:CX30)</f>
        <v>-291.20000000000005</v>
      </c>
      <c r="CZ30" s="544">
        <f>(113.09+32.51)</f>
        <v>145.6</v>
      </c>
      <c r="DA30" s="544">
        <f>(113.09+32.51)</f>
        <v>145.6</v>
      </c>
      <c r="DB30" s="525"/>
      <c r="DC30" s="525"/>
      <c r="DD30" s="533"/>
      <c r="DE30" s="525"/>
      <c r="DF30" s="525"/>
      <c r="DG30" s="525"/>
      <c r="DH30" s="525"/>
      <c r="DI30" s="527"/>
      <c r="DJ30" s="527"/>
      <c r="DK30" s="856"/>
      <c r="DL30" s="528">
        <f>-SUM(CZ30:DK30)</f>
        <v>-291.2</v>
      </c>
      <c r="DM30" s="537">
        <f>(113.09+32.51)</f>
        <v>145.6</v>
      </c>
      <c r="DN30" s="546">
        <f>(113.09+32.51)</f>
        <v>145.6</v>
      </c>
      <c r="DO30" s="582"/>
      <c r="DP30" s="582"/>
      <c r="DQ30" s="546">
        <f>261.99+374.99</f>
        <v>636.98</v>
      </c>
      <c r="DR30" s="582"/>
      <c r="DS30" s="582"/>
      <c r="DT30" s="582"/>
      <c r="DU30" s="582"/>
      <c r="DV30" s="582"/>
      <c r="DW30" s="582"/>
      <c r="DX30" s="649"/>
      <c r="DY30" s="519">
        <f>-SUM(DM30:DX30)</f>
        <v>-928.18000000000006</v>
      </c>
    </row>
    <row r="31" spans="2:129" ht="15">
      <c r="B31" s="482" t="s">
        <v>526</v>
      </c>
      <c r="C31" s="532"/>
      <c r="D31" s="515"/>
      <c r="E31" s="515"/>
      <c r="F31" s="515"/>
      <c r="G31" s="515"/>
      <c r="H31" s="515"/>
      <c r="I31" s="515"/>
      <c r="J31" s="515"/>
      <c r="K31" s="542"/>
      <c r="L31" s="515"/>
      <c r="M31" s="515"/>
      <c r="N31" s="732"/>
      <c r="O31" s="733">
        <f t="shared" ref="O31" si="73">SUM(C31:N31)</f>
        <v>0</v>
      </c>
      <c r="P31" s="734"/>
      <c r="Q31" s="515"/>
      <c r="R31" s="515"/>
      <c r="S31" s="515"/>
      <c r="T31" s="515"/>
      <c r="U31" s="515"/>
      <c r="V31" s="515"/>
      <c r="W31" s="515"/>
      <c r="X31" s="522"/>
      <c r="Y31" s="515"/>
      <c r="Z31" s="515"/>
      <c r="AA31" s="732"/>
      <c r="AB31" s="733">
        <f t="shared" ref="AB31" si="74">SUM(P31:AA31)</f>
        <v>0</v>
      </c>
      <c r="AC31" s="735"/>
      <c r="AE31" s="734"/>
      <c r="AF31" s="515"/>
      <c r="AG31" s="515"/>
      <c r="AH31" s="515"/>
      <c r="AI31" s="515"/>
      <c r="AJ31" s="515"/>
      <c r="AK31" s="515"/>
      <c r="AL31" s="515"/>
      <c r="AM31" s="522"/>
      <c r="AN31" s="546">
        <v>639.26</v>
      </c>
      <c r="AO31" s="582"/>
      <c r="AP31" s="736"/>
      <c r="AQ31" s="733">
        <f t="shared" ref="AQ31" si="75">SUM(AE31:AP31)</f>
        <v>639.26</v>
      </c>
      <c r="AS31" s="737"/>
      <c r="AU31" s="738"/>
      <c r="AV31" s="582"/>
      <c r="AW31" s="582"/>
      <c r="AX31" s="582"/>
      <c r="AY31" s="582"/>
      <c r="AZ31" s="582"/>
      <c r="BA31" s="582"/>
      <c r="BB31" s="582"/>
      <c r="BC31" s="546">
        <v>639.26</v>
      </c>
      <c r="BD31" s="582"/>
      <c r="BE31" s="582"/>
      <c r="BF31" s="736"/>
      <c r="BG31" s="733">
        <f t="shared" ref="BG31" si="76">SUM(AU31:BF31)</f>
        <v>639.26</v>
      </c>
      <c r="BH31" s="582"/>
      <c r="BI31" s="481"/>
      <c r="BJ31" s="482"/>
      <c r="BY31" s="541"/>
      <c r="BZ31" s="541"/>
      <c r="CA31" s="541"/>
      <c r="CB31" s="541"/>
      <c r="CC31" s="541"/>
      <c r="CD31" s="541"/>
      <c r="CE31" s="541"/>
      <c r="CF31" s="541"/>
      <c r="CG31" s="542">
        <v>703.19</v>
      </c>
      <c r="CH31" s="541"/>
      <c r="CI31" s="541"/>
      <c r="CJ31" s="541"/>
      <c r="CK31" s="519">
        <f>-SUM(BY31:CJ31)</f>
        <v>-703.19</v>
      </c>
      <c r="CL31" s="519"/>
      <c r="CM31" s="576"/>
      <c r="CN31" s="515"/>
      <c r="CO31" s="543"/>
      <c r="CP31" s="541"/>
      <c r="CQ31" s="541"/>
      <c r="CR31" s="541"/>
      <c r="CS31" s="541"/>
      <c r="CT31" s="541"/>
      <c r="CU31" s="542">
        <f>773.5-773.5</f>
        <v>0</v>
      </c>
      <c r="CV31" s="541"/>
      <c r="CW31" s="541"/>
      <c r="CX31" s="541"/>
      <c r="CY31" s="519">
        <f t="shared" si="72"/>
        <v>0</v>
      </c>
      <c r="CZ31" s="525"/>
      <c r="DA31" s="525"/>
      <c r="DB31" s="525"/>
      <c r="DC31" s="525"/>
      <c r="DD31" s="525"/>
      <c r="DE31" s="525"/>
      <c r="DF31" s="525"/>
      <c r="DG31" s="525"/>
      <c r="DH31" s="525"/>
      <c r="DI31" s="527"/>
      <c r="DJ31" s="527"/>
      <c r="DK31" s="527"/>
      <c r="DL31" s="528">
        <f>-SUM(CZ31:DK31)</f>
        <v>0</v>
      </c>
      <c r="DY31" s="519">
        <f>-SUM(DM31:DX31)</f>
        <v>0</v>
      </c>
    </row>
    <row r="32" spans="2:129" ht="15">
      <c r="B32" s="482" t="s">
        <v>372</v>
      </c>
      <c r="C32" s="579"/>
      <c r="D32" s="579"/>
      <c r="E32" s="579"/>
      <c r="F32" s="579"/>
      <c r="G32" s="579"/>
      <c r="H32" s="579"/>
      <c r="I32" s="579"/>
      <c r="J32" s="579"/>
      <c r="K32" s="579"/>
      <c r="L32" s="579"/>
      <c r="M32" s="538"/>
      <c r="N32" s="538"/>
      <c r="O32" s="575"/>
      <c r="P32" s="647"/>
      <c r="Q32" s="647"/>
      <c r="R32" s="647"/>
      <c r="S32" s="647"/>
      <c r="T32" s="647"/>
      <c r="U32" s="647"/>
      <c r="V32" s="647"/>
      <c r="W32" s="647"/>
      <c r="X32" s="647"/>
      <c r="Y32" s="647"/>
      <c r="Z32" s="647"/>
      <c r="AA32" s="647"/>
      <c r="AB32" s="517"/>
      <c r="AC32" s="648"/>
      <c r="AD32" s="647"/>
      <c r="AE32" s="647"/>
      <c r="AF32" s="647"/>
      <c r="AG32" s="647"/>
      <c r="AH32" s="647"/>
      <c r="AI32" s="647"/>
      <c r="AJ32" s="647"/>
      <c r="AK32" s="582"/>
      <c r="AL32" s="647"/>
      <c r="AM32" s="647"/>
      <c r="AN32" s="647"/>
      <c r="AO32" s="647"/>
      <c r="AP32" s="647"/>
      <c r="AQ32" s="647"/>
      <c r="AR32" s="647"/>
      <c r="AS32" s="647"/>
      <c r="AT32" s="647"/>
      <c r="AU32" s="647"/>
      <c r="AV32" s="647"/>
      <c r="AW32" s="647"/>
      <c r="AX32" s="517"/>
      <c r="AY32" s="532"/>
      <c r="AZ32" s="515"/>
      <c r="BA32" s="515"/>
      <c r="BB32" s="515"/>
      <c r="BC32" s="515"/>
      <c r="BD32" s="515"/>
      <c r="BE32" s="515"/>
      <c r="BF32" s="515"/>
      <c r="BG32" s="515"/>
      <c r="BH32" s="515"/>
      <c r="BI32" s="515"/>
      <c r="BJ32" s="515"/>
      <c r="BK32" s="517"/>
      <c r="BL32" s="518"/>
      <c r="BM32" s="515"/>
      <c r="BN32" s="576"/>
      <c r="BO32" s="515"/>
      <c r="BP32" s="515"/>
      <c r="BQ32" s="515"/>
      <c r="BR32" s="515"/>
      <c r="BS32" s="515"/>
      <c r="BT32" s="515"/>
      <c r="BU32" s="515"/>
      <c r="BV32" s="515"/>
      <c r="BW32" s="515"/>
      <c r="BX32" s="519"/>
      <c r="BY32" s="515"/>
      <c r="BZ32" s="515"/>
      <c r="CA32" s="542">
        <f>165.15+88.21</f>
        <v>253.36</v>
      </c>
      <c r="CB32" s="541"/>
      <c r="CC32" s="542">
        <v>107.53</v>
      </c>
      <c r="CD32" s="541"/>
      <c r="CE32" s="541"/>
      <c r="CF32" s="541"/>
      <c r="CG32" s="542">
        <f>61+130.93+172.12</f>
        <v>364.05</v>
      </c>
      <c r="CH32" s="541"/>
      <c r="CI32" s="522"/>
      <c r="CJ32" s="516"/>
      <c r="CK32" s="519">
        <f>-SUM(BY32:CJ32)</f>
        <v>-724.94</v>
      </c>
      <c r="CL32" s="519"/>
      <c r="CM32" s="556">
        <v>176.53</v>
      </c>
      <c r="CN32" s="542">
        <f>(172.73+88.21)+13.76+58.66+115.89</f>
        <v>449.25</v>
      </c>
      <c r="CO32" s="543"/>
      <c r="CP32" s="541"/>
      <c r="CQ32" s="542">
        <v>338.46</v>
      </c>
      <c r="CR32" s="541"/>
      <c r="CS32" s="541"/>
      <c r="CT32" s="541"/>
      <c r="CU32" s="542">
        <f>127.66+172.12+172.12</f>
        <v>471.9</v>
      </c>
      <c r="CV32" s="541"/>
      <c r="CW32" s="522"/>
      <c r="CX32" s="516"/>
      <c r="CY32" s="519">
        <f t="shared" si="72"/>
        <v>-1436.1399999999999</v>
      </c>
      <c r="CZ32" s="544">
        <f>(7.27+14.05)+(28.15+34.67+100.02+19.42+13.1+8.71+8.85+12.41)+(25.63+124.95+1.38+1.06)+(88.21)+(2.61)</f>
        <v>490.48999999999995</v>
      </c>
      <c r="DA32" s="533"/>
      <c r="DB32" s="541"/>
      <c r="DC32" s="544">
        <v>338.46</v>
      </c>
      <c r="DD32" s="563"/>
      <c r="DE32" s="541"/>
      <c r="DF32" s="541"/>
      <c r="DG32" s="544">
        <v>152.44</v>
      </c>
      <c r="DH32" s="544">
        <f>127.66+172.12+172.12</f>
        <v>471.9</v>
      </c>
      <c r="DI32" s="572">
        <f>92.88+23.41+284.28</f>
        <v>400.56999999999994</v>
      </c>
      <c r="DJ32" s="536"/>
      <c r="DK32" s="536">
        <f>92.88+23.41+284.28</f>
        <v>400.56999999999994</v>
      </c>
      <c r="DL32" s="528">
        <f>-SUM(CZ32:DK32)</f>
        <v>-2254.4299999999998</v>
      </c>
      <c r="DM32" s="536">
        <f>(7.27+14.05)+(28.15+34.67+100.02+19.42+13.1+8.71+8.85+12.41)+(25.63+124.95+1.38+1.06)+(88.21)+(2.61)</f>
        <v>490.48999999999995</v>
      </c>
      <c r="DN32" s="536">
        <v>307.69</v>
      </c>
      <c r="DO32" s="546"/>
      <c r="DP32" s="546">
        <f>149.62</f>
        <v>149.62</v>
      </c>
      <c r="DQ32" s="546"/>
      <c r="DR32" s="546"/>
      <c r="DS32" s="582"/>
      <c r="DT32" s="546"/>
      <c r="DU32" s="546">
        <v>126.34</v>
      </c>
      <c r="DV32" s="582"/>
      <c r="DW32" s="546"/>
      <c r="DX32" s="582"/>
      <c r="DY32" s="519">
        <f t="shared" ref="DY32:DY45" si="77">-SUM(DM32:DX32)</f>
        <v>-1074.1399999999999</v>
      </c>
    </row>
    <row r="33" spans="2:129" ht="15">
      <c r="B33" s="482" t="s">
        <v>373</v>
      </c>
      <c r="C33" s="579"/>
      <c r="D33" s="579"/>
      <c r="E33" s="579"/>
      <c r="F33" s="579"/>
      <c r="G33" s="579"/>
      <c r="H33" s="579"/>
      <c r="I33" s="579"/>
      <c r="J33" s="579"/>
      <c r="K33" s="579"/>
      <c r="L33" s="579"/>
      <c r="M33" s="538"/>
      <c r="N33" s="538"/>
      <c r="O33" s="575"/>
      <c r="P33" s="647"/>
      <c r="Q33" s="647"/>
      <c r="R33" s="647"/>
      <c r="S33" s="647"/>
      <c r="T33" s="647"/>
      <c r="U33" s="647"/>
      <c r="V33" s="647"/>
      <c r="W33" s="647"/>
      <c r="X33" s="647"/>
      <c r="Y33" s="647"/>
      <c r="Z33" s="647"/>
      <c r="AA33" s="647"/>
      <c r="AB33" s="517"/>
      <c r="AC33" s="648"/>
      <c r="AD33" s="647"/>
      <c r="AE33" s="647"/>
      <c r="AF33" s="647"/>
      <c r="AG33" s="647"/>
      <c r="AH33" s="647"/>
      <c r="AI33" s="647"/>
      <c r="AJ33" s="647"/>
      <c r="AK33" s="582"/>
      <c r="AL33" s="647"/>
      <c r="AM33" s="647"/>
      <c r="AN33" s="647"/>
      <c r="AO33" s="647"/>
      <c r="AP33" s="647"/>
      <c r="AQ33" s="647"/>
      <c r="AR33" s="647"/>
      <c r="AS33" s="647"/>
      <c r="AT33" s="647"/>
      <c r="AU33" s="647"/>
      <c r="AV33" s="647"/>
      <c r="AW33" s="647"/>
      <c r="AX33" s="517"/>
      <c r="AY33" s="532"/>
      <c r="AZ33" s="515"/>
      <c r="BA33" s="515"/>
      <c r="BB33" s="515"/>
      <c r="BC33" s="515"/>
      <c r="BD33" s="515"/>
      <c r="BE33" s="515"/>
      <c r="BF33" s="515"/>
      <c r="BG33" s="515"/>
      <c r="BH33" s="515"/>
      <c r="BI33" s="515"/>
      <c r="BJ33" s="515"/>
      <c r="BK33" s="517"/>
      <c r="BL33" s="518"/>
      <c r="BM33" s="515"/>
      <c r="BN33" s="576"/>
      <c r="BO33" s="515"/>
      <c r="BP33" s="515"/>
      <c r="BQ33" s="515"/>
      <c r="BR33" s="515"/>
      <c r="BS33" s="515"/>
      <c r="BT33" s="515"/>
      <c r="BU33" s="515"/>
      <c r="BV33" s="515"/>
      <c r="BW33" s="515"/>
      <c r="BX33" s="519"/>
      <c r="BY33" s="532">
        <f>1575.79+133.61</f>
        <v>1709.4</v>
      </c>
      <c r="BZ33" s="516"/>
      <c r="CA33" s="542">
        <v>36.44</v>
      </c>
      <c r="CB33" s="515"/>
      <c r="CC33" s="515"/>
      <c r="CD33" s="515"/>
      <c r="CE33" s="532"/>
      <c r="CF33" s="515"/>
      <c r="CG33" s="515"/>
      <c r="CH33" s="515"/>
      <c r="CI33" s="515"/>
      <c r="CJ33" s="515"/>
      <c r="CK33" s="519">
        <f t="shared" ref="CK33:CK44" si="78">-SUM(BY33:CJ33)</f>
        <v>-1745.8400000000001</v>
      </c>
      <c r="CL33" s="519"/>
      <c r="CM33" s="543"/>
      <c r="CN33" s="541"/>
      <c r="CO33" s="576"/>
      <c r="CP33" s="515"/>
      <c r="CQ33" s="717">
        <f>3069.15+151.25</f>
        <v>3220.4</v>
      </c>
      <c r="CR33" s="541"/>
      <c r="CS33" s="532">
        <v>844.65</v>
      </c>
      <c r="CT33" s="532">
        <f>1173.7+4898.08</f>
        <v>6071.78</v>
      </c>
      <c r="CU33" s="542">
        <f>3324.41</f>
        <v>3324.41</v>
      </c>
      <c r="CV33" s="542">
        <f>1781.03+435.6</f>
        <v>2216.63</v>
      </c>
      <c r="CW33" s="515"/>
      <c r="CX33" s="532">
        <v>4809.08</v>
      </c>
      <c r="CY33" s="519">
        <f t="shared" si="72"/>
        <v>-20486.949999999997</v>
      </c>
      <c r="CZ33" s="533"/>
      <c r="DA33" s="533"/>
      <c r="DB33" s="533"/>
      <c r="DC33" s="533"/>
      <c r="DD33" s="534">
        <f>621.26+1301.22</f>
        <v>1922.48</v>
      </c>
      <c r="DE33" s="533"/>
      <c r="DF33" s="544">
        <v>15419.9</v>
      </c>
      <c r="DG33" s="533"/>
      <c r="DH33" s="541"/>
      <c r="DI33" s="572">
        <v>9713.41</v>
      </c>
      <c r="DJ33" s="536">
        <v>1200</v>
      </c>
      <c r="DK33" s="536">
        <v>1200</v>
      </c>
      <c r="DL33" s="528">
        <f t="shared" ref="DL33:DL45" si="79">-SUM(CZ33:DK33)</f>
        <v>-29455.79</v>
      </c>
      <c r="DM33" s="582"/>
      <c r="DN33" s="582"/>
      <c r="DO33" s="582"/>
      <c r="DP33" s="582"/>
      <c r="DQ33" s="582"/>
      <c r="DR33" s="582"/>
      <c r="DS33" s="582"/>
      <c r="DT33" s="582"/>
      <c r="DU33" s="582"/>
      <c r="DV33" s="582"/>
      <c r="DW33" s="582"/>
      <c r="DX33" s="582"/>
      <c r="DY33" s="519">
        <f t="shared" si="77"/>
        <v>0</v>
      </c>
    </row>
    <row r="34" spans="2:129" ht="15">
      <c r="B34" s="482" t="s">
        <v>632</v>
      </c>
      <c r="C34" s="579"/>
      <c r="D34" s="579"/>
      <c r="E34" s="579"/>
      <c r="F34" s="579"/>
      <c r="G34" s="579"/>
      <c r="H34" s="579"/>
      <c r="I34" s="579"/>
      <c r="J34" s="579"/>
      <c r="K34" s="579"/>
      <c r="L34" s="579"/>
      <c r="M34" s="538"/>
      <c r="N34" s="538"/>
      <c r="O34" s="575"/>
      <c r="P34" s="647"/>
      <c r="Q34" s="647"/>
      <c r="R34" s="647"/>
      <c r="S34" s="647"/>
      <c r="T34" s="647"/>
      <c r="U34" s="647"/>
      <c r="V34" s="647"/>
      <c r="W34" s="647"/>
      <c r="X34" s="647"/>
      <c r="Y34" s="647"/>
      <c r="Z34" s="647"/>
      <c r="AA34" s="647"/>
      <c r="AB34" s="517"/>
      <c r="AC34" s="648"/>
      <c r="AD34" s="647"/>
      <c r="AE34" s="647"/>
      <c r="AF34" s="647"/>
      <c r="AG34" s="647"/>
      <c r="AH34" s="647"/>
      <c r="AI34" s="647"/>
      <c r="AJ34" s="647"/>
      <c r="AK34" s="582"/>
      <c r="AL34" s="647"/>
      <c r="AM34" s="647"/>
      <c r="AN34" s="647"/>
      <c r="AO34" s="647"/>
      <c r="AP34" s="647"/>
      <c r="AQ34" s="647"/>
      <c r="AR34" s="647"/>
      <c r="AS34" s="647"/>
      <c r="AT34" s="647"/>
      <c r="AU34" s="647"/>
      <c r="AV34" s="647"/>
      <c r="AW34" s="647"/>
      <c r="AX34" s="517"/>
      <c r="AY34" s="532"/>
      <c r="AZ34" s="515"/>
      <c r="BA34" s="515"/>
      <c r="BB34" s="515"/>
      <c r="BC34" s="515"/>
      <c r="BD34" s="515"/>
      <c r="BE34" s="515"/>
      <c r="BF34" s="515"/>
      <c r="BG34" s="515"/>
      <c r="BH34" s="515"/>
      <c r="BI34" s="515"/>
      <c r="BJ34" s="515"/>
      <c r="BK34" s="517"/>
      <c r="BL34" s="518"/>
      <c r="BM34" s="515"/>
      <c r="BN34" s="576"/>
      <c r="BO34" s="515"/>
      <c r="BP34" s="515"/>
      <c r="BQ34" s="515"/>
      <c r="BR34" s="515"/>
      <c r="BS34" s="515"/>
      <c r="BT34" s="515"/>
      <c r="BU34" s="515"/>
      <c r="BV34" s="515"/>
      <c r="BW34" s="515"/>
      <c r="BX34" s="519"/>
      <c r="BY34" s="532"/>
      <c r="BZ34" s="516"/>
      <c r="CA34" s="542"/>
      <c r="CB34" s="515"/>
      <c r="CC34" s="515"/>
      <c r="CD34" s="515"/>
      <c r="CE34" s="532"/>
      <c r="CF34" s="515"/>
      <c r="CG34" s="515"/>
      <c r="CH34" s="515"/>
      <c r="CI34" s="515"/>
      <c r="CJ34" s="515"/>
      <c r="CK34" s="519">
        <f t="shared" si="78"/>
        <v>0</v>
      </c>
      <c r="CL34" s="519"/>
      <c r="CM34" s="543"/>
      <c r="CN34" s="541"/>
      <c r="CO34" s="576"/>
      <c r="CP34" s="515"/>
      <c r="CQ34" s="532"/>
      <c r="CR34" s="532">
        <f>2717.06</f>
        <v>2717.06</v>
      </c>
      <c r="CS34" s="532"/>
      <c r="CT34" s="532"/>
      <c r="CU34" s="542"/>
      <c r="CV34" s="542"/>
      <c r="CW34" s="515"/>
      <c r="CX34" s="532">
        <f>(5890-1683.75)*1.21</f>
        <v>5089.5625</v>
      </c>
      <c r="CY34" s="519">
        <f t="shared" si="72"/>
        <v>-7806.6224999999995</v>
      </c>
      <c r="CZ34" s="533"/>
      <c r="DA34" s="533"/>
      <c r="DB34" s="541"/>
      <c r="DC34" s="534">
        <f>5890*1.21</f>
        <v>7126.9</v>
      </c>
      <c r="DD34" s="533"/>
      <c r="DE34" s="541"/>
      <c r="DF34" s="534">
        <f>5890*1.21</f>
        <v>7126.9</v>
      </c>
      <c r="DG34" s="533"/>
      <c r="DH34" s="541"/>
      <c r="DI34" s="527">
        <f>5890*1.21</f>
        <v>7126.9</v>
      </c>
      <c r="DJ34" s="536"/>
      <c r="DK34" s="536">
        <f>5890*1.21</f>
        <v>7126.9</v>
      </c>
      <c r="DL34" s="528">
        <f t="shared" si="79"/>
        <v>-28507.599999999999</v>
      </c>
      <c r="DM34" s="582"/>
      <c r="DN34" s="582"/>
      <c r="DO34" s="582"/>
      <c r="DP34" s="582"/>
      <c r="DQ34" s="582"/>
      <c r="DR34" s="582"/>
      <c r="DS34" s="582"/>
      <c r="DT34" s="582"/>
      <c r="DU34" s="582"/>
      <c r="DV34" s="582"/>
      <c r="DW34" s="582"/>
      <c r="DX34" s="582"/>
      <c r="DY34" s="519"/>
    </row>
    <row r="35" spans="2:129" ht="15">
      <c r="B35" s="482" t="s">
        <v>374</v>
      </c>
      <c r="C35" s="579"/>
      <c r="D35" s="579"/>
      <c r="E35" s="579"/>
      <c r="F35" s="579"/>
      <c r="G35" s="579"/>
      <c r="H35" s="579"/>
      <c r="I35" s="579"/>
      <c r="J35" s="579"/>
      <c r="K35" s="579"/>
      <c r="L35" s="579"/>
      <c r="M35" s="538"/>
      <c r="N35" s="538"/>
      <c r="O35" s="575"/>
      <c r="P35" s="647"/>
      <c r="Q35" s="647"/>
      <c r="R35" s="647"/>
      <c r="S35" s="647"/>
      <c r="T35" s="647"/>
      <c r="U35" s="647"/>
      <c r="V35" s="647"/>
      <c r="W35" s="647"/>
      <c r="X35" s="647"/>
      <c r="Y35" s="647"/>
      <c r="Z35" s="647"/>
      <c r="AA35" s="647"/>
      <c r="AB35" s="517"/>
      <c r="AC35" s="648"/>
      <c r="AD35" s="647"/>
      <c r="AE35" s="647"/>
      <c r="AF35" s="647"/>
      <c r="AG35" s="647"/>
      <c r="AH35" s="647"/>
      <c r="AI35" s="647"/>
      <c r="AJ35" s="647"/>
      <c r="AK35" s="582"/>
      <c r="AL35" s="647"/>
      <c r="AM35" s="647"/>
      <c r="AN35" s="647"/>
      <c r="AO35" s="647"/>
      <c r="AP35" s="647"/>
      <c r="AQ35" s="647"/>
      <c r="AR35" s="647"/>
      <c r="AS35" s="647"/>
      <c r="AT35" s="647"/>
      <c r="AU35" s="647"/>
      <c r="AV35" s="647"/>
      <c r="AW35" s="647"/>
      <c r="AX35" s="517"/>
      <c r="AY35" s="532"/>
      <c r="AZ35" s="515"/>
      <c r="BA35" s="515"/>
      <c r="BB35" s="515"/>
      <c r="BC35" s="515"/>
      <c r="BD35" s="515"/>
      <c r="BE35" s="515"/>
      <c r="BF35" s="515"/>
      <c r="BG35" s="515"/>
      <c r="BH35" s="515"/>
      <c r="BI35" s="515"/>
      <c r="BJ35" s="515"/>
      <c r="BK35" s="517"/>
      <c r="BL35" s="518"/>
      <c r="BM35" s="515"/>
      <c r="BN35" s="576"/>
      <c r="BO35" s="515"/>
      <c r="BP35" s="515"/>
      <c r="BQ35" s="515"/>
      <c r="BR35" s="515"/>
      <c r="BS35" s="515"/>
      <c r="BT35" s="515"/>
      <c r="BU35" s="515"/>
      <c r="BV35" s="515"/>
      <c r="BW35" s="515"/>
      <c r="BX35" s="519"/>
      <c r="BY35" s="532">
        <f>20+80+17.85+60+40+94.02+96.76</f>
        <v>408.63</v>
      </c>
      <c r="BZ35" s="542">
        <f>96.81+106.47</f>
        <v>203.28</v>
      </c>
      <c r="CA35" s="542">
        <f>91.17+96.3</f>
        <v>187.47</v>
      </c>
      <c r="CB35" s="515"/>
      <c r="CC35" s="515"/>
      <c r="CD35" s="515"/>
      <c r="CE35" s="515"/>
      <c r="CF35" s="515"/>
      <c r="CG35" s="515"/>
      <c r="CH35" s="515"/>
      <c r="CI35" s="515"/>
      <c r="CJ35" s="515"/>
      <c r="CK35" s="519">
        <f t="shared" si="78"/>
        <v>-799.38</v>
      </c>
      <c r="CL35" s="519"/>
      <c r="CM35" s="576"/>
      <c r="CN35" s="515"/>
      <c r="CO35" s="576"/>
      <c r="CP35" s="515"/>
      <c r="CQ35" s="515"/>
      <c r="CR35" s="515"/>
      <c r="CS35" s="515"/>
      <c r="CT35" s="515"/>
      <c r="CU35" s="515"/>
      <c r="CV35" s="515"/>
      <c r="CW35" s="515"/>
      <c r="CX35" s="515"/>
      <c r="CY35" s="519">
        <f t="shared" si="72"/>
        <v>0</v>
      </c>
      <c r="CZ35" s="525"/>
      <c r="DA35" s="525"/>
      <c r="DB35" s="525"/>
      <c r="DC35" s="525"/>
      <c r="DD35" s="525"/>
      <c r="DE35" s="525"/>
      <c r="DF35" s="525"/>
      <c r="DG35" s="525"/>
      <c r="DH35" s="525"/>
      <c r="DI35" s="527"/>
      <c r="DJ35" s="527"/>
      <c r="DK35" s="527"/>
      <c r="DL35" s="528">
        <f t="shared" si="79"/>
        <v>0</v>
      </c>
      <c r="DM35" s="582"/>
      <c r="DN35" s="582"/>
      <c r="DO35" s="582"/>
      <c r="DP35" s="582"/>
      <c r="DQ35" s="582"/>
      <c r="DR35" s="582"/>
      <c r="DS35" s="582"/>
      <c r="DT35" s="582"/>
      <c r="DU35" s="582"/>
      <c r="DV35" s="582"/>
      <c r="DW35" s="582"/>
      <c r="DX35" s="582"/>
      <c r="DY35" s="519">
        <f t="shared" si="77"/>
        <v>0</v>
      </c>
    </row>
    <row r="36" spans="2:129" ht="15">
      <c r="B36" s="739" t="s">
        <v>437</v>
      </c>
      <c r="C36" s="579"/>
      <c r="D36" s="579"/>
      <c r="E36" s="579"/>
      <c r="F36" s="579"/>
      <c r="G36" s="579"/>
      <c r="H36" s="579"/>
      <c r="I36" s="579"/>
      <c r="J36" s="579"/>
      <c r="K36" s="579"/>
      <c r="L36" s="579"/>
      <c r="M36" s="538"/>
      <c r="N36" s="538"/>
      <c r="O36" s="575"/>
      <c r="P36" s="647"/>
      <c r="Q36" s="647"/>
      <c r="R36" s="647"/>
      <c r="S36" s="647"/>
      <c r="T36" s="647"/>
      <c r="U36" s="647"/>
      <c r="V36" s="647"/>
      <c r="W36" s="647"/>
      <c r="X36" s="647"/>
      <c r="Y36" s="647"/>
      <c r="Z36" s="647"/>
      <c r="AA36" s="647"/>
      <c r="AB36" s="517"/>
      <c r="AC36" s="648"/>
      <c r="AD36" s="647"/>
      <c r="AE36" s="647"/>
      <c r="AF36" s="647"/>
      <c r="AG36" s="647"/>
      <c r="AH36" s="647"/>
      <c r="AI36" s="647"/>
      <c r="AJ36" s="647"/>
      <c r="AK36" s="582"/>
      <c r="AL36" s="647"/>
      <c r="AM36" s="647"/>
      <c r="AN36" s="647"/>
      <c r="AO36" s="647"/>
      <c r="AP36" s="647"/>
      <c r="AQ36" s="647"/>
      <c r="AR36" s="647"/>
      <c r="AS36" s="647"/>
      <c r="AT36" s="647"/>
      <c r="AU36" s="647"/>
      <c r="AV36" s="647"/>
      <c r="AW36" s="647"/>
      <c r="AX36" s="517"/>
      <c r="AY36" s="532"/>
      <c r="AZ36" s="515"/>
      <c r="BA36" s="515"/>
      <c r="BB36" s="515"/>
      <c r="BC36" s="515"/>
      <c r="BD36" s="515"/>
      <c r="BE36" s="515"/>
      <c r="BF36" s="515"/>
      <c r="BG36" s="515"/>
      <c r="BH36" s="515"/>
      <c r="BI36" s="515"/>
      <c r="BJ36" s="515"/>
      <c r="BK36" s="517"/>
      <c r="BL36" s="518"/>
      <c r="BM36" s="515"/>
      <c r="BN36" s="576"/>
      <c r="BO36" s="515"/>
      <c r="BP36" s="515"/>
      <c r="BQ36" s="515"/>
      <c r="BR36" s="515"/>
      <c r="BS36" s="515"/>
      <c r="BT36" s="515"/>
      <c r="BU36" s="515"/>
      <c r="BV36" s="515"/>
      <c r="BW36" s="515"/>
      <c r="BX36" s="519"/>
      <c r="BY36" s="740">
        <f>1200+1200</f>
        <v>2400</v>
      </c>
      <c r="BZ36" s="515"/>
      <c r="CA36" s="576"/>
      <c r="CB36" s="515"/>
      <c r="CC36" s="515"/>
      <c r="CD36" s="515"/>
      <c r="CE36" s="515"/>
      <c r="CF36" s="515"/>
      <c r="CG36" s="515"/>
      <c r="CH36" s="515"/>
      <c r="CI36" s="515"/>
      <c r="CJ36" s="515"/>
      <c r="CK36" s="519">
        <f t="shared" si="78"/>
        <v>-2400</v>
      </c>
      <c r="CL36" s="519"/>
      <c r="CM36" s="576"/>
      <c r="CN36" s="515"/>
      <c r="CO36" s="576"/>
      <c r="CP36" s="515"/>
      <c r="CQ36" s="515"/>
      <c r="CR36" s="515"/>
      <c r="CS36" s="515"/>
      <c r="CT36" s="515"/>
      <c r="CU36" s="515"/>
      <c r="CV36" s="515"/>
      <c r="CW36" s="515"/>
      <c r="CX36" s="515"/>
      <c r="CY36" s="519">
        <f t="shared" ref="CY36:CY45" si="80">-SUM(CM36:CX36)</f>
        <v>0</v>
      </c>
      <c r="CZ36" s="525"/>
      <c r="DA36" s="525"/>
      <c r="DB36" s="525"/>
      <c r="DC36" s="525"/>
      <c r="DD36" s="525"/>
      <c r="DE36" s="525"/>
      <c r="DF36" s="525"/>
      <c r="DG36" s="525"/>
      <c r="DH36" s="525"/>
      <c r="DI36" s="527"/>
      <c r="DJ36" s="527"/>
      <c r="DK36" s="527"/>
      <c r="DL36" s="528">
        <f t="shared" si="79"/>
        <v>0</v>
      </c>
      <c r="DM36" s="582"/>
      <c r="DN36" s="582"/>
      <c r="DO36" s="582"/>
      <c r="DP36" s="582"/>
      <c r="DQ36" s="582"/>
      <c r="DR36" s="582"/>
      <c r="DS36" s="582"/>
      <c r="DT36" s="582"/>
      <c r="DU36" s="582"/>
      <c r="DV36" s="582"/>
      <c r="DW36" s="582"/>
      <c r="DX36" s="582"/>
      <c r="DY36" s="519">
        <f t="shared" si="77"/>
        <v>0</v>
      </c>
    </row>
    <row r="37" spans="2:129" ht="15">
      <c r="B37" s="741" t="s">
        <v>375</v>
      </c>
      <c r="C37" s="579"/>
      <c r="D37" s="579"/>
      <c r="E37" s="579"/>
      <c r="F37" s="579"/>
      <c r="G37" s="579"/>
      <c r="H37" s="579"/>
      <c r="I37" s="579"/>
      <c r="J37" s="579"/>
      <c r="K37" s="579"/>
      <c r="L37" s="579"/>
      <c r="M37" s="538"/>
      <c r="N37" s="538"/>
      <c r="O37" s="575"/>
      <c r="P37" s="647"/>
      <c r="Q37" s="647"/>
      <c r="R37" s="647"/>
      <c r="S37" s="647"/>
      <c r="T37" s="647"/>
      <c r="U37" s="647"/>
      <c r="V37" s="647"/>
      <c r="W37" s="647"/>
      <c r="X37" s="647"/>
      <c r="Y37" s="647"/>
      <c r="Z37" s="647"/>
      <c r="AA37" s="647"/>
      <c r="AB37" s="517"/>
      <c r="AC37" s="648"/>
      <c r="AD37" s="647"/>
      <c r="AE37" s="647"/>
      <c r="AF37" s="647"/>
      <c r="AG37" s="647"/>
      <c r="AH37" s="647"/>
      <c r="AI37" s="647"/>
      <c r="AJ37" s="647"/>
      <c r="AK37" s="582"/>
      <c r="AL37" s="647"/>
      <c r="AM37" s="647"/>
      <c r="AN37" s="647"/>
      <c r="AO37" s="647"/>
      <c r="AP37" s="647"/>
      <c r="AQ37" s="647"/>
      <c r="AR37" s="647"/>
      <c r="AS37" s="647"/>
      <c r="AT37" s="647"/>
      <c r="AU37" s="647"/>
      <c r="AV37" s="647"/>
      <c r="AW37" s="647"/>
      <c r="AX37" s="517"/>
      <c r="AY37" s="532"/>
      <c r="AZ37" s="515"/>
      <c r="BA37" s="515"/>
      <c r="BB37" s="515"/>
      <c r="BC37" s="515"/>
      <c r="BD37" s="515"/>
      <c r="BE37" s="515"/>
      <c r="BF37" s="515"/>
      <c r="BG37" s="515"/>
      <c r="BH37" s="515"/>
      <c r="BI37" s="515"/>
      <c r="BJ37" s="515"/>
      <c r="BK37" s="517"/>
      <c r="BL37" s="518"/>
      <c r="BM37" s="515"/>
      <c r="BN37" s="576"/>
      <c r="BO37" s="515"/>
      <c r="BP37" s="515"/>
      <c r="BQ37" s="515"/>
      <c r="BR37" s="515"/>
      <c r="BS37" s="515"/>
      <c r="BT37" s="515"/>
      <c r="BU37" s="515"/>
      <c r="BV37" s="515"/>
      <c r="BW37" s="515"/>
      <c r="BX37" s="519"/>
      <c r="BY37" s="542">
        <v>10.91</v>
      </c>
      <c r="BZ37" s="541"/>
      <c r="CA37" s="568">
        <f>(112.5)*1.21</f>
        <v>136.125</v>
      </c>
      <c r="CB37" s="532">
        <f>408.38+350*1.21</f>
        <v>831.88</v>
      </c>
      <c r="CC37" s="532">
        <f>605</f>
        <v>605</v>
      </c>
      <c r="CD37" s="515"/>
      <c r="CE37" s="515"/>
      <c r="CF37" s="515"/>
      <c r="CG37" s="515"/>
      <c r="CH37" s="515"/>
      <c r="CI37" s="541"/>
      <c r="CJ37" s="516"/>
      <c r="CK37" s="519">
        <f t="shared" si="78"/>
        <v>-1583.915</v>
      </c>
      <c r="CL37" s="575">
        <f>105.94+42.31+(100.56+79.38+38.51+216.5-525)-700</f>
        <v>-641.79999999999995</v>
      </c>
      <c r="CM37" s="543"/>
      <c r="CN37" s="541"/>
      <c r="CO37" s="717">
        <v>181.5</v>
      </c>
      <c r="CP37" s="541"/>
      <c r="CQ37" s="541"/>
      <c r="CR37" s="541"/>
      <c r="CS37" s="541"/>
      <c r="CT37" s="541"/>
      <c r="CU37" s="516"/>
      <c r="CV37" s="541"/>
      <c r="CW37" s="515"/>
      <c r="CX37" s="515"/>
      <c r="CY37" s="519">
        <f>-SUM(CM37:CX37)</f>
        <v>-181.5</v>
      </c>
      <c r="CZ37" s="525"/>
      <c r="DA37" s="541"/>
      <c r="DB37" s="541"/>
      <c r="DC37" s="541"/>
      <c r="DD37" s="541"/>
      <c r="DE37" s="541"/>
      <c r="DF37" s="541"/>
      <c r="DG37" s="541"/>
      <c r="DH37" s="525"/>
      <c r="DJ37" s="527"/>
      <c r="DK37" s="899">
        <f>(100.56+79.38+38.51+216.5-525)-700</f>
        <v>-790.05</v>
      </c>
      <c r="DL37" s="528">
        <f>-SUM(CZ37:DK37)</f>
        <v>790.05</v>
      </c>
      <c r="DM37" s="582"/>
      <c r="DN37" s="575"/>
      <c r="DO37" s="582"/>
      <c r="DP37" s="582"/>
      <c r="DQ37" s="582"/>
      <c r="DR37" s="582"/>
      <c r="DS37" s="582"/>
      <c r="DT37" s="582"/>
      <c r="DU37" s="582"/>
      <c r="DV37" s="582"/>
      <c r="DW37" s="582"/>
      <c r="DX37" s="582"/>
      <c r="DY37" s="519">
        <f t="shared" si="77"/>
        <v>0</v>
      </c>
    </row>
    <row r="38" spans="2:129" ht="15">
      <c r="B38" s="739" t="s">
        <v>376</v>
      </c>
      <c r="C38" s="579"/>
      <c r="D38" s="579"/>
      <c r="E38" s="579"/>
      <c r="F38" s="579"/>
      <c r="G38" s="579"/>
      <c r="H38" s="579"/>
      <c r="I38" s="579"/>
      <c r="J38" s="579"/>
      <c r="K38" s="579"/>
      <c r="L38" s="579"/>
      <c r="M38" s="538"/>
      <c r="N38" s="538"/>
      <c r="O38" s="575"/>
      <c r="P38" s="647"/>
      <c r="Q38" s="647"/>
      <c r="R38" s="647"/>
      <c r="S38" s="647"/>
      <c r="T38" s="647"/>
      <c r="U38" s="647"/>
      <c r="V38" s="647"/>
      <c r="W38" s="647"/>
      <c r="X38" s="647"/>
      <c r="Y38" s="647"/>
      <c r="Z38" s="647"/>
      <c r="AA38" s="647"/>
      <c r="AB38" s="517"/>
      <c r="AC38" s="648"/>
      <c r="AD38" s="647"/>
      <c r="AE38" s="647"/>
      <c r="AF38" s="647"/>
      <c r="AG38" s="647"/>
      <c r="AH38" s="647"/>
      <c r="AI38" s="647"/>
      <c r="AJ38" s="647"/>
      <c r="AK38" s="582"/>
      <c r="AL38" s="647"/>
      <c r="AM38" s="647"/>
      <c r="AN38" s="647"/>
      <c r="AO38" s="647"/>
      <c r="AP38" s="647"/>
      <c r="AQ38" s="647"/>
      <c r="AR38" s="647"/>
      <c r="AS38" s="647"/>
      <c r="AT38" s="647"/>
      <c r="AU38" s="647"/>
      <c r="AV38" s="647"/>
      <c r="AW38" s="647"/>
      <c r="AX38" s="517"/>
      <c r="AY38" s="532"/>
      <c r="AZ38" s="515"/>
      <c r="BA38" s="515"/>
      <c r="BB38" s="515"/>
      <c r="BC38" s="515"/>
      <c r="BD38" s="515"/>
      <c r="BE38" s="515"/>
      <c r="BF38" s="515"/>
      <c r="BG38" s="515"/>
      <c r="BH38" s="515"/>
      <c r="BI38" s="515"/>
      <c r="BJ38" s="515"/>
      <c r="BK38" s="517"/>
      <c r="BL38" s="518"/>
      <c r="BM38" s="515"/>
      <c r="BN38" s="576"/>
      <c r="BO38" s="515"/>
      <c r="BP38" s="515"/>
      <c r="BQ38" s="515"/>
      <c r="BR38" s="515"/>
      <c r="BS38" s="515"/>
      <c r="BT38" s="515"/>
      <c r="BU38" s="515"/>
      <c r="BV38" s="515"/>
      <c r="BW38" s="515"/>
      <c r="BX38" s="519"/>
      <c r="BY38" s="522"/>
      <c r="BZ38" s="542">
        <f>93.17+82.28</f>
        <v>175.45</v>
      </c>
      <c r="CA38" s="556">
        <v>82.28</v>
      </c>
      <c r="CB38" s="541"/>
      <c r="CC38" s="542">
        <f>93.17</f>
        <v>93.17</v>
      </c>
      <c r="CD38" s="542">
        <f>96.16</f>
        <v>96.16</v>
      </c>
      <c r="CE38" s="542">
        <f>107.4</f>
        <v>107.4</v>
      </c>
      <c r="CF38" s="542">
        <v>152.36000000000001</v>
      </c>
      <c r="CG38" s="542">
        <f>141.12+141.12</f>
        <v>282.24</v>
      </c>
      <c r="CH38" s="541"/>
      <c r="CI38" s="542">
        <f>96.16</f>
        <v>96.16</v>
      </c>
      <c r="CJ38" s="542">
        <f>253.46+96.16</f>
        <v>349.62</v>
      </c>
      <c r="CK38" s="519">
        <f t="shared" si="78"/>
        <v>-1434.8400000000001</v>
      </c>
      <c r="CL38" s="519"/>
      <c r="CM38" s="522"/>
      <c r="CN38" s="542">
        <f>96.16+96.16</f>
        <v>192.32</v>
      </c>
      <c r="CO38" s="542">
        <v>129.88</v>
      </c>
      <c r="CP38" s="522"/>
      <c r="CQ38" s="542">
        <f>129.88+132.71</f>
        <v>262.59000000000003</v>
      </c>
      <c r="CR38" s="541"/>
      <c r="CS38" s="542">
        <f>98.26+98.26</f>
        <v>196.52</v>
      </c>
      <c r="CT38" s="542">
        <f>98.26</f>
        <v>98.26</v>
      </c>
      <c r="CU38" s="542">
        <f>98.26</f>
        <v>98.26</v>
      </c>
      <c r="CV38" s="541"/>
      <c r="CW38" s="542">
        <f>254.95</f>
        <v>254.95</v>
      </c>
      <c r="CX38" s="542">
        <f>267.05</f>
        <v>267.05</v>
      </c>
      <c r="CY38" s="519">
        <f>-SUM(CM38:CX38)</f>
        <v>-1499.83</v>
      </c>
      <c r="CZ38" s="544">
        <f>109.75</f>
        <v>109.75</v>
      </c>
      <c r="DA38" s="542">
        <f>98.26+98.26</f>
        <v>196.52</v>
      </c>
      <c r="DB38" s="542">
        <f>98.26</f>
        <v>98.26</v>
      </c>
      <c r="DC38" s="541"/>
      <c r="DD38" s="542">
        <f>98.26+89.31</f>
        <v>187.57</v>
      </c>
      <c r="DE38" s="533"/>
      <c r="DF38" s="544">
        <f>101.13+101.13</f>
        <v>202.26</v>
      </c>
      <c r="DG38" s="544">
        <v>101.13</v>
      </c>
      <c r="DH38" s="544">
        <v>137.43</v>
      </c>
      <c r="DI38" s="536">
        <v>109.75</v>
      </c>
      <c r="DJ38" s="536">
        <v>109.75</v>
      </c>
      <c r="DK38" s="536">
        <v>109.75</v>
      </c>
      <c r="DL38" s="528">
        <f>-SUM(CZ38:DK38)</f>
        <v>-1362.1699999999998</v>
      </c>
      <c r="DM38" s="546">
        <v>96.16</v>
      </c>
      <c r="DN38" s="546">
        <v>96.16</v>
      </c>
      <c r="DO38" s="546">
        <v>96.16</v>
      </c>
      <c r="DP38" s="546">
        <v>96.16</v>
      </c>
      <c r="DQ38" s="546">
        <v>96.16</v>
      </c>
      <c r="DR38" s="546">
        <v>96.16</v>
      </c>
      <c r="DS38" s="546">
        <v>96.16</v>
      </c>
      <c r="DT38" s="546">
        <v>96.16</v>
      </c>
      <c r="DU38" s="546">
        <v>96.16</v>
      </c>
      <c r="DV38" s="546">
        <v>96.16</v>
      </c>
      <c r="DW38" s="546">
        <v>96.16</v>
      </c>
      <c r="DX38" s="546">
        <v>96.16</v>
      </c>
      <c r="DY38" s="519">
        <f t="shared" si="77"/>
        <v>-1153.9199999999998</v>
      </c>
    </row>
    <row r="39" spans="2:129" ht="15">
      <c r="B39" s="739" t="s">
        <v>651</v>
      </c>
      <c r="C39" s="579"/>
      <c r="D39" s="579"/>
      <c r="E39" s="579"/>
      <c r="F39" s="579"/>
      <c r="G39" s="579"/>
      <c r="H39" s="579"/>
      <c r="I39" s="579"/>
      <c r="J39" s="579"/>
      <c r="K39" s="579"/>
      <c r="L39" s="579"/>
      <c r="M39" s="538"/>
      <c r="N39" s="538"/>
      <c r="O39" s="575"/>
      <c r="P39" s="647"/>
      <c r="Q39" s="647"/>
      <c r="R39" s="647"/>
      <c r="S39" s="647"/>
      <c r="T39" s="647"/>
      <c r="U39" s="647"/>
      <c r="V39" s="647"/>
      <c r="W39" s="647"/>
      <c r="X39" s="647"/>
      <c r="Y39" s="647"/>
      <c r="Z39" s="647"/>
      <c r="AA39" s="647"/>
      <c r="AB39" s="517"/>
      <c r="AC39" s="648"/>
      <c r="AD39" s="647"/>
      <c r="AE39" s="647"/>
      <c r="AF39" s="647"/>
      <c r="AG39" s="647"/>
      <c r="AH39" s="647"/>
      <c r="AI39" s="647"/>
      <c r="AJ39" s="647"/>
      <c r="AK39" s="582"/>
      <c r="AL39" s="647"/>
      <c r="AM39" s="647"/>
      <c r="AN39" s="647"/>
      <c r="AO39" s="647"/>
      <c r="AP39" s="647"/>
      <c r="AQ39" s="647"/>
      <c r="AR39" s="647"/>
      <c r="AS39" s="647"/>
      <c r="AT39" s="647"/>
      <c r="AU39" s="647"/>
      <c r="AV39" s="647"/>
      <c r="AW39" s="647"/>
      <c r="AX39" s="517"/>
      <c r="AY39" s="532"/>
      <c r="AZ39" s="515"/>
      <c r="BA39" s="515"/>
      <c r="BB39" s="515"/>
      <c r="BC39" s="515"/>
      <c r="BD39" s="515"/>
      <c r="BE39" s="515"/>
      <c r="BF39" s="515"/>
      <c r="BG39" s="515"/>
      <c r="BH39" s="515"/>
      <c r="BI39" s="515"/>
      <c r="BJ39" s="515"/>
      <c r="BK39" s="517"/>
      <c r="BL39" s="518"/>
      <c r="BM39" s="515"/>
      <c r="BN39" s="576"/>
      <c r="BO39" s="515"/>
      <c r="BP39" s="515"/>
      <c r="BQ39" s="515"/>
      <c r="BR39" s="515"/>
      <c r="BS39" s="515"/>
      <c r="BT39" s="515"/>
      <c r="BU39" s="515"/>
      <c r="BV39" s="515"/>
      <c r="BW39" s="515"/>
      <c r="BX39" s="519"/>
      <c r="BY39" s="522"/>
      <c r="BZ39" s="542"/>
      <c r="CA39" s="556"/>
      <c r="CB39" s="541"/>
      <c r="CC39" s="542"/>
      <c r="CD39" s="542"/>
      <c r="CE39" s="542"/>
      <c r="CF39" s="542"/>
      <c r="CG39" s="542"/>
      <c r="CH39" s="541"/>
      <c r="CI39" s="542"/>
      <c r="CJ39" s="542"/>
      <c r="CK39" s="519"/>
      <c r="CL39" s="519"/>
      <c r="CM39" s="522"/>
      <c r="CN39" s="542"/>
      <c r="CO39" s="542"/>
      <c r="CP39" s="522"/>
      <c r="CQ39" s="542"/>
      <c r="CR39" s="541"/>
      <c r="CS39" s="542"/>
      <c r="CT39" s="542"/>
      <c r="CU39" s="542"/>
      <c r="CV39" s="541"/>
      <c r="CW39" s="542"/>
      <c r="CX39" s="542"/>
      <c r="CY39" s="519">
        <f>-SUM(CM39:CX39)</f>
        <v>0</v>
      </c>
      <c r="CZ39" s="544"/>
      <c r="DA39" s="542"/>
      <c r="DB39" s="544">
        <f>615.93*3</f>
        <v>1847.79</v>
      </c>
      <c r="DC39" s="541"/>
      <c r="DD39" s="533"/>
      <c r="DE39" s="533"/>
      <c r="DF39" s="533"/>
      <c r="DG39" s="533"/>
      <c r="DH39" s="533"/>
      <c r="DI39" s="536"/>
      <c r="DJ39" s="536"/>
      <c r="DK39" s="536"/>
      <c r="DL39" s="528">
        <f t="shared" si="79"/>
        <v>-1847.79</v>
      </c>
      <c r="DM39" s="546"/>
      <c r="DN39" s="546"/>
      <c r="DO39" s="546"/>
      <c r="DP39" s="546"/>
      <c r="DQ39" s="546"/>
      <c r="DR39" s="546"/>
      <c r="DS39" s="546"/>
      <c r="DT39" s="546"/>
      <c r="DU39" s="546"/>
      <c r="DV39" s="546"/>
      <c r="DW39" s="546"/>
      <c r="DX39" s="546"/>
      <c r="DY39" s="519"/>
    </row>
    <row r="40" spans="2:129" ht="15">
      <c r="B40" s="739" t="s">
        <v>377</v>
      </c>
      <c r="C40" s="579"/>
      <c r="D40" s="579"/>
      <c r="E40" s="579"/>
      <c r="F40" s="579"/>
      <c r="G40" s="579"/>
      <c r="H40" s="579"/>
      <c r="I40" s="579"/>
      <c r="J40" s="579"/>
      <c r="K40" s="579"/>
      <c r="L40" s="579"/>
      <c r="M40" s="538"/>
      <c r="N40" s="538"/>
      <c r="O40" s="575"/>
      <c r="P40" s="647"/>
      <c r="Q40" s="647"/>
      <c r="R40" s="647"/>
      <c r="S40" s="647"/>
      <c r="T40" s="647"/>
      <c r="U40" s="647"/>
      <c r="V40" s="647"/>
      <c r="W40" s="647"/>
      <c r="X40" s="647"/>
      <c r="Y40" s="647"/>
      <c r="Z40" s="647"/>
      <c r="AA40" s="647"/>
      <c r="AB40" s="517"/>
      <c r="AC40" s="648"/>
      <c r="AD40" s="647"/>
      <c r="AE40" s="647"/>
      <c r="AF40" s="647"/>
      <c r="AG40" s="647"/>
      <c r="AH40" s="647"/>
      <c r="AI40" s="647"/>
      <c r="AJ40" s="647"/>
      <c r="AK40" s="582"/>
      <c r="AL40" s="647"/>
      <c r="AM40" s="647"/>
      <c r="AN40" s="647"/>
      <c r="AO40" s="647"/>
      <c r="AP40" s="647"/>
      <c r="AQ40" s="647"/>
      <c r="AR40" s="647"/>
      <c r="AS40" s="647"/>
      <c r="AT40" s="647"/>
      <c r="AU40" s="647"/>
      <c r="AV40" s="647"/>
      <c r="AW40" s="647"/>
      <c r="AX40" s="517"/>
      <c r="AY40" s="532"/>
      <c r="AZ40" s="515"/>
      <c r="BA40" s="515"/>
      <c r="BB40" s="515"/>
      <c r="BC40" s="515"/>
      <c r="BD40" s="515"/>
      <c r="BE40" s="515"/>
      <c r="BF40" s="515"/>
      <c r="BG40" s="515"/>
      <c r="BH40" s="515"/>
      <c r="BI40" s="515"/>
      <c r="BJ40" s="515"/>
      <c r="BK40" s="517"/>
      <c r="BL40" s="518"/>
      <c r="BM40" s="515"/>
      <c r="BN40" s="576"/>
      <c r="BO40" s="515"/>
      <c r="BP40" s="515"/>
      <c r="BQ40" s="515"/>
      <c r="BR40" s="515"/>
      <c r="BS40" s="515"/>
      <c r="BT40" s="515"/>
      <c r="BU40" s="515"/>
      <c r="BV40" s="515"/>
      <c r="BW40" s="515"/>
      <c r="BX40" s="519"/>
      <c r="BY40" s="590">
        <f>52.03+30+196.18+500+22650+(5969.42+2386.11+4772.22)</f>
        <v>36555.96</v>
      </c>
      <c r="BZ40" s="542">
        <f>22.48+49.05+116.69+114.72+176.77+16.66+16.66+224.95+16.5</f>
        <v>754.48</v>
      </c>
      <c r="CA40" s="542">
        <f>22.44+185.1</f>
        <v>207.54</v>
      </c>
      <c r="CB40" s="590">
        <f>30+2.28+(10244.8)+3</f>
        <v>10280.08</v>
      </c>
      <c r="CC40" s="542">
        <f>69.74+189.34+3</f>
        <v>262.08</v>
      </c>
      <c r="CD40" s="542">
        <f>175.14+81.14+106.5-615.57+10</f>
        <v>-242.79000000000008</v>
      </c>
      <c r="CE40" s="542">
        <f>147.54+1.89</f>
        <v>149.42999999999998</v>
      </c>
      <c r="CF40" s="542">
        <f>59.07+30+10.78+5.23+292.61</f>
        <v>397.69</v>
      </c>
      <c r="CG40" s="542">
        <f>91.6+152.43</f>
        <v>244.03</v>
      </c>
      <c r="CH40" s="542">
        <f>30</f>
        <v>30</v>
      </c>
      <c r="CI40" s="542">
        <f>98.31+10</f>
        <v>108.31</v>
      </c>
      <c r="CJ40" s="522"/>
      <c r="CK40" s="519">
        <f t="shared" si="78"/>
        <v>-48746.810000000005</v>
      </c>
      <c r="CL40" s="519"/>
      <c r="CM40" s="556">
        <v>40</v>
      </c>
      <c r="CN40" s="542">
        <v>4538.28</v>
      </c>
      <c r="CO40" s="522"/>
      <c r="CP40" s="556">
        <v>40</v>
      </c>
      <c r="CQ40" s="532">
        <f>3+27.75+10</f>
        <v>40.75</v>
      </c>
      <c r="CR40" s="522"/>
      <c r="CS40" s="556">
        <f>40+3+2+42.35</f>
        <v>87.35</v>
      </c>
      <c r="CT40" s="542"/>
      <c r="CU40" s="542">
        <v>3</v>
      </c>
      <c r="CV40" s="556">
        <f>40+3+3</f>
        <v>46</v>
      </c>
      <c r="CW40" s="542">
        <f>10+(30+30+30+30+30)+300.55</f>
        <v>460.55</v>
      </c>
      <c r="CX40" s="522"/>
      <c r="CY40" s="519">
        <f>-SUM(CM40:CX40)</f>
        <v>-5255.93</v>
      </c>
      <c r="CZ40" s="544">
        <f>40</f>
        <v>40</v>
      </c>
      <c r="DA40" s="544">
        <f>4294.41+15.54</f>
        <v>4309.95</v>
      </c>
      <c r="DB40" s="533"/>
      <c r="DC40" s="544">
        <f>40</f>
        <v>40</v>
      </c>
      <c r="DD40" s="542">
        <f>10</f>
        <v>10</v>
      </c>
      <c r="DE40" s="544">
        <v>39.590000000000003</v>
      </c>
      <c r="DF40" s="544">
        <f>40+13.64</f>
        <v>53.64</v>
      </c>
      <c r="DG40" s="533"/>
      <c r="DH40" s="544">
        <v>3.64</v>
      </c>
      <c r="DI40" s="536">
        <v>200</v>
      </c>
      <c r="DJ40" s="536">
        <v>200</v>
      </c>
      <c r="DK40" s="536">
        <v>200</v>
      </c>
      <c r="DL40" s="528">
        <f t="shared" si="79"/>
        <v>-5096.8200000000006</v>
      </c>
      <c r="DM40" s="546">
        <v>200</v>
      </c>
      <c r="DN40" s="546">
        <v>200</v>
      </c>
      <c r="DO40" s="546">
        <v>200</v>
      </c>
      <c r="DP40" s="546">
        <v>200</v>
      </c>
      <c r="DQ40" s="546">
        <v>200</v>
      </c>
      <c r="DR40" s="546">
        <v>200</v>
      </c>
      <c r="DS40" s="546">
        <v>200</v>
      </c>
      <c r="DT40" s="546">
        <v>200</v>
      </c>
      <c r="DU40" s="546">
        <v>200</v>
      </c>
      <c r="DV40" s="546">
        <v>200</v>
      </c>
      <c r="DW40" s="546">
        <v>200</v>
      </c>
      <c r="DX40" s="546">
        <v>200</v>
      </c>
      <c r="DY40" s="519">
        <f t="shared" si="77"/>
        <v>-2400</v>
      </c>
    </row>
    <row r="41" spans="2:129" ht="15">
      <c r="B41" s="739" t="s">
        <v>333</v>
      </c>
      <c r="C41" s="579"/>
      <c r="D41" s="579"/>
      <c r="E41" s="579"/>
      <c r="F41" s="579"/>
      <c r="G41" s="579"/>
      <c r="H41" s="579"/>
      <c r="I41" s="579"/>
      <c r="J41" s="579"/>
      <c r="K41" s="579"/>
      <c r="L41" s="579"/>
      <c r="M41" s="538"/>
      <c r="N41" s="538"/>
      <c r="O41" s="575"/>
      <c r="P41" s="647"/>
      <c r="Q41" s="647"/>
      <c r="R41" s="647"/>
      <c r="S41" s="647"/>
      <c r="T41" s="647"/>
      <c r="U41" s="647"/>
      <c r="V41" s="647"/>
      <c r="W41" s="647"/>
      <c r="X41" s="647"/>
      <c r="Y41" s="647"/>
      <c r="Z41" s="647"/>
      <c r="AA41" s="647"/>
      <c r="AB41" s="517"/>
      <c r="AC41" s="648"/>
      <c r="AD41" s="647"/>
      <c r="AE41" s="647"/>
      <c r="AF41" s="647"/>
      <c r="AG41" s="647"/>
      <c r="AH41" s="647"/>
      <c r="AI41" s="647"/>
      <c r="AJ41" s="647"/>
      <c r="AK41" s="582"/>
      <c r="AL41" s="647"/>
      <c r="AM41" s="647"/>
      <c r="AN41" s="647"/>
      <c r="AO41" s="647"/>
      <c r="AP41" s="647"/>
      <c r="AQ41" s="647"/>
      <c r="AR41" s="647"/>
      <c r="AS41" s="647"/>
      <c r="AT41" s="647"/>
      <c r="AU41" s="647"/>
      <c r="AV41" s="647"/>
      <c r="AW41" s="647"/>
      <c r="AX41" s="517"/>
      <c r="AY41" s="532"/>
      <c r="AZ41" s="515"/>
      <c r="BA41" s="515"/>
      <c r="BB41" s="515"/>
      <c r="BC41" s="515"/>
      <c r="BD41" s="515"/>
      <c r="BE41" s="515"/>
      <c r="BF41" s="515"/>
      <c r="BG41" s="515"/>
      <c r="BH41" s="515"/>
      <c r="BI41" s="515"/>
      <c r="BJ41" s="515"/>
      <c r="BK41" s="517"/>
      <c r="BL41" s="518"/>
      <c r="BM41" s="515"/>
      <c r="BN41" s="576"/>
      <c r="BO41" s="515"/>
      <c r="BP41" s="515"/>
      <c r="BQ41" s="515"/>
      <c r="BR41" s="515"/>
      <c r="BS41" s="515"/>
      <c r="BT41" s="515"/>
      <c r="BU41" s="515"/>
      <c r="BV41" s="515"/>
      <c r="BW41" s="515"/>
      <c r="BX41" s="519"/>
      <c r="BY41" s="532">
        <v>103.2</v>
      </c>
      <c r="BZ41" s="542">
        <v>103.2</v>
      </c>
      <c r="CA41" s="556">
        <v>103.2</v>
      </c>
      <c r="CB41" s="542">
        <v>103.2</v>
      </c>
      <c r="CC41" s="542">
        <v>103.2</v>
      </c>
      <c r="CD41" s="542">
        <v>103.2</v>
      </c>
      <c r="CE41" s="542">
        <v>103.2</v>
      </c>
      <c r="CF41" s="542">
        <v>103.2</v>
      </c>
      <c r="CG41" s="542">
        <v>103.2</v>
      </c>
      <c r="CH41" s="542">
        <v>103.2</v>
      </c>
      <c r="CI41" s="542">
        <v>103.2</v>
      </c>
      <c r="CJ41" s="542">
        <v>103.2</v>
      </c>
      <c r="CK41" s="519">
        <f t="shared" si="78"/>
        <v>-1238.4000000000003</v>
      </c>
      <c r="CL41" s="519"/>
      <c r="CM41" s="556">
        <v>103.2</v>
      </c>
      <c r="CN41" s="542">
        <v>103.2</v>
      </c>
      <c r="CO41" s="542">
        <v>103.2</v>
      </c>
      <c r="CP41" s="542">
        <v>103.2</v>
      </c>
      <c r="CQ41" s="542">
        <v>103.2</v>
      </c>
      <c r="CR41" s="542">
        <v>103.2</v>
      </c>
      <c r="CS41" s="542">
        <v>103.2</v>
      </c>
      <c r="CT41" s="542">
        <v>103.2</v>
      </c>
      <c r="CU41" s="542">
        <v>103.2</v>
      </c>
      <c r="CV41" s="542">
        <v>103.2</v>
      </c>
      <c r="CW41" s="522"/>
      <c r="CX41" s="522"/>
      <c r="CY41" s="519">
        <f t="shared" si="80"/>
        <v>-1032.0000000000002</v>
      </c>
      <c r="CZ41" s="533"/>
      <c r="DA41" s="544">
        <v>-68.489999999999995</v>
      </c>
      <c r="DB41" s="533"/>
      <c r="DC41" s="533"/>
      <c r="DD41" s="533"/>
      <c r="DE41" s="533"/>
      <c r="DF41" s="533"/>
      <c r="DG41" s="533"/>
      <c r="DH41" s="533"/>
      <c r="DI41" s="536"/>
      <c r="DJ41" s="536"/>
      <c r="DK41" s="536"/>
      <c r="DL41" s="528">
        <f t="shared" si="79"/>
        <v>68.489999999999995</v>
      </c>
      <c r="DM41" s="546"/>
      <c r="DN41" s="546"/>
      <c r="DO41" s="546"/>
      <c r="DP41" s="546"/>
      <c r="DQ41" s="546"/>
      <c r="DR41" s="546"/>
      <c r="DS41" s="546"/>
      <c r="DT41" s="546"/>
      <c r="DU41" s="546"/>
      <c r="DV41" s="546"/>
      <c r="DW41" s="546"/>
      <c r="DX41" s="546"/>
      <c r="DY41" s="519">
        <f t="shared" si="77"/>
        <v>0</v>
      </c>
    </row>
    <row r="42" spans="2:129" ht="15">
      <c r="B42" s="741" t="s">
        <v>378</v>
      </c>
      <c r="C42" s="579"/>
      <c r="D42" s="579"/>
      <c r="E42" s="579"/>
      <c r="F42" s="579"/>
      <c r="G42" s="579"/>
      <c r="H42" s="579"/>
      <c r="I42" s="579"/>
      <c r="J42" s="579"/>
      <c r="K42" s="579"/>
      <c r="L42" s="579"/>
      <c r="M42" s="538"/>
      <c r="N42" s="538"/>
      <c r="O42" s="575"/>
      <c r="P42" s="647"/>
      <c r="Q42" s="647"/>
      <c r="R42" s="647"/>
      <c r="S42" s="647"/>
      <c r="T42" s="647"/>
      <c r="U42" s="647"/>
      <c r="V42" s="647"/>
      <c r="W42" s="647"/>
      <c r="X42" s="647"/>
      <c r="Y42" s="647"/>
      <c r="Z42" s="647"/>
      <c r="AA42" s="647"/>
      <c r="AB42" s="517"/>
      <c r="AC42" s="648"/>
      <c r="AD42" s="647"/>
      <c r="AE42" s="647"/>
      <c r="AF42" s="647"/>
      <c r="AG42" s="647"/>
      <c r="AH42" s="647"/>
      <c r="AI42" s="647"/>
      <c r="AJ42" s="647"/>
      <c r="AK42" s="582"/>
      <c r="AL42" s="647"/>
      <c r="AM42" s="647"/>
      <c r="AN42" s="647"/>
      <c r="AO42" s="647"/>
      <c r="AP42" s="647"/>
      <c r="AQ42" s="647"/>
      <c r="AR42" s="647"/>
      <c r="AS42" s="647"/>
      <c r="AT42" s="647"/>
      <c r="AU42" s="647"/>
      <c r="AV42" s="647"/>
      <c r="AW42" s="647"/>
      <c r="AX42" s="517"/>
      <c r="AY42" s="532"/>
      <c r="AZ42" s="515"/>
      <c r="BA42" s="515"/>
      <c r="BB42" s="515"/>
      <c r="BC42" s="515"/>
      <c r="BD42" s="515"/>
      <c r="BE42" s="515"/>
      <c r="BF42" s="515"/>
      <c r="BG42" s="515"/>
      <c r="BH42" s="515"/>
      <c r="BI42" s="515"/>
      <c r="BJ42" s="515"/>
      <c r="BK42" s="517"/>
      <c r="BL42" s="518"/>
      <c r="BM42" s="515"/>
      <c r="BN42" s="576"/>
      <c r="BO42" s="515"/>
      <c r="BP42" s="515"/>
      <c r="BQ42" s="515"/>
      <c r="BR42" s="515"/>
      <c r="BS42" s="515"/>
      <c r="BT42" s="515"/>
      <c r="BU42" s="515"/>
      <c r="BV42" s="515"/>
      <c r="BW42" s="515"/>
      <c r="BX42" s="519"/>
      <c r="BY42" s="515"/>
      <c r="BZ42" s="515"/>
      <c r="CA42" s="576"/>
      <c r="CB42" s="515"/>
      <c r="CC42" s="515"/>
      <c r="CD42" s="515"/>
      <c r="CE42" s="515"/>
      <c r="CF42" s="515"/>
      <c r="CG42" s="515"/>
      <c r="CH42" s="515"/>
      <c r="CI42" s="515"/>
      <c r="CJ42" s="515"/>
      <c r="CK42" s="519">
        <f t="shared" si="78"/>
        <v>0</v>
      </c>
      <c r="CL42" s="519"/>
      <c r="CM42" s="576"/>
      <c r="CN42" s="515"/>
      <c r="CO42" s="515"/>
      <c r="CP42" s="515"/>
      <c r="CQ42" s="515"/>
      <c r="CR42" s="515"/>
      <c r="CS42" s="515"/>
      <c r="CT42" s="515"/>
      <c r="CU42" s="515"/>
      <c r="CV42" s="515"/>
      <c r="CW42" s="515"/>
      <c r="CX42" s="515"/>
      <c r="CY42" s="519">
        <f t="shared" si="80"/>
        <v>0</v>
      </c>
      <c r="CZ42" s="525"/>
      <c r="DA42" s="525"/>
      <c r="DB42" s="525"/>
      <c r="DC42" s="525"/>
      <c r="DD42" s="525"/>
      <c r="DE42" s="525"/>
      <c r="DF42" s="525"/>
      <c r="DG42" s="525"/>
      <c r="DH42" s="525"/>
      <c r="DI42" s="527"/>
      <c r="DJ42" s="527"/>
      <c r="DK42" s="527"/>
      <c r="DL42" s="528">
        <f t="shared" si="79"/>
        <v>0</v>
      </c>
      <c r="DY42" s="519">
        <f t="shared" si="77"/>
        <v>0</v>
      </c>
    </row>
    <row r="43" spans="2:129" ht="15">
      <c r="B43" s="741" t="s">
        <v>379</v>
      </c>
      <c r="C43" s="579"/>
      <c r="D43" s="579"/>
      <c r="E43" s="579"/>
      <c r="F43" s="579"/>
      <c r="G43" s="579"/>
      <c r="H43" s="579"/>
      <c r="I43" s="579"/>
      <c r="J43" s="579"/>
      <c r="K43" s="579"/>
      <c r="L43" s="579"/>
      <c r="M43" s="538"/>
      <c r="N43" s="538"/>
      <c r="O43" s="575"/>
      <c r="P43" s="647"/>
      <c r="Q43" s="647"/>
      <c r="R43" s="647"/>
      <c r="S43" s="647"/>
      <c r="T43" s="647"/>
      <c r="U43" s="647"/>
      <c r="V43" s="647"/>
      <c r="W43" s="647"/>
      <c r="X43" s="647"/>
      <c r="Y43" s="647"/>
      <c r="Z43" s="647"/>
      <c r="AA43" s="647"/>
      <c r="AB43" s="517"/>
      <c r="AC43" s="648"/>
      <c r="AD43" s="647"/>
      <c r="AE43" s="647"/>
      <c r="AF43" s="647"/>
      <c r="AG43" s="647"/>
      <c r="AH43" s="647"/>
      <c r="AI43" s="647"/>
      <c r="AJ43" s="647"/>
      <c r="AK43" s="582"/>
      <c r="AL43" s="647"/>
      <c r="AM43" s="647"/>
      <c r="AN43" s="647"/>
      <c r="AO43" s="647"/>
      <c r="AP43" s="647"/>
      <c r="AQ43" s="647"/>
      <c r="AR43" s="647"/>
      <c r="AS43" s="647"/>
      <c r="AT43" s="647"/>
      <c r="AU43" s="647"/>
      <c r="AV43" s="647"/>
      <c r="AW43" s="647"/>
      <c r="AX43" s="517"/>
      <c r="AY43" s="532"/>
      <c r="AZ43" s="515"/>
      <c r="BA43" s="515"/>
      <c r="BB43" s="515"/>
      <c r="BC43" s="515"/>
      <c r="BD43" s="515"/>
      <c r="BE43" s="515"/>
      <c r="BF43" s="515"/>
      <c r="BG43" s="515"/>
      <c r="BH43" s="515"/>
      <c r="BI43" s="515"/>
      <c r="BJ43" s="515"/>
      <c r="BK43" s="517"/>
      <c r="BL43" s="518"/>
      <c r="BM43" s="515"/>
      <c r="BN43" s="576"/>
      <c r="BO43" s="515"/>
      <c r="BP43" s="515"/>
      <c r="BQ43" s="515"/>
      <c r="BR43" s="515"/>
      <c r="BS43" s="515"/>
      <c r="BT43" s="515"/>
      <c r="BU43" s="515"/>
      <c r="BV43" s="515"/>
      <c r="BW43" s="515"/>
      <c r="BX43" s="519"/>
      <c r="BY43" s="515"/>
      <c r="BZ43" s="515"/>
      <c r="CA43" s="576"/>
      <c r="CB43" s="515"/>
      <c r="CC43" s="515"/>
      <c r="CD43" s="515"/>
      <c r="CE43" s="515"/>
      <c r="CF43" s="515"/>
      <c r="CG43" s="515"/>
      <c r="CH43" s="515"/>
      <c r="CI43" s="515"/>
      <c r="CJ43" s="515"/>
      <c r="CK43" s="519">
        <f t="shared" si="78"/>
        <v>0</v>
      </c>
      <c r="CL43" s="519"/>
      <c r="CM43" s="576"/>
      <c r="CN43" s="515"/>
      <c r="CO43" s="515"/>
      <c r="CP43" s="515"/>
      <c r="CQ43" s="515"/>
      <c r="CR43" s="515"/>
      <c r="CS43" s="515"/>
      <c r="CT43" s="515"/>
      <c r="CU43" s="515"/>
      <c r="CV43" s="515"/>
      <c r="CW43" s="515"/>
      <c r="CX43" s="515"/>
      <c r="CY43" s="519">
        <f t="shared" si="80"/>
        <v>0</v>
      </c>
      <c r="CZ43" s="525"/>
      <c r="DA43" s="525"/>
      <c r="DB43" s="525"/>
      <c r="DC43" s="525"/>
      <c r="DD43" s="525"/>
      <c r="DE43" s="525"/>
      <c r="DF43" s="525"/>
      <c r="DG43" s="525"/>
      <c r="DH43" s="525"/>
      <c r="DI43" s="527"/>
      <c r="DJ43" s="527"/>
      <c r="DK43" s="527"/>
      <c r="DL43" s="528">
        <f t="shared" si="79"/>
        <v>0</v>
      </c>
      <c r="DY43" s="519">
        <f t="shared" si="77"/>
        <v>0</v>
      </c>
    </row>
    <row r="44" spans="2:129" ht="15">
      <c r="B44" s="741" t="s">
        <v>380</v>
      </c>
      <c r="C44" s="579"/>
      <c r="D44" s="579"/>
      <c r="E44" s="579"/>
      <c r="F44" s="579"/>
      <c r="G44" s="579"/>
      <c r="H44" s="579"/>
      <c r="I44" s="579"/>
      <c r="J44" s="579"/>
      <c r="K44" s="579"/>
      <c r="L44" s="579"/>
      <c r="M44" s="538"/>
      <c r="N44" s="538"/>
      <c r="O44" s="575"/>
      <c r="P44" s="647"/>
      <c r="Q44" s="647"/>
      <c r="R44" s="647"/>
      <c r="S44" s="647"/>
      <c r="T44" s="647"/>
      <c r="U44" s="647"/>
      <c r="V44" s="647"/>
      <c r="W44" s="647"/>
      <c r="X44" s="647"/>
      <c r="Y44" s="647"/>
      <c r="Z44" s="647"/>
      <c r="AA44" s="647"/>
      <c r="AB44" s="517"/>
      <c r="AC44" s="648"/>
      <c r="AD44" s="647"/>
      <c r="AE44" s="647"/>
      <c r="AF44" s="647"/>
      <c r="AG44" s="647"/>
      <c r="AH44" s="647"/>
      <c r="AI44" s="647"/>
      <c r="AJ44" s="647"/>
      <c r="AK44" s="582"/>
      <c r="AL44" s="647"/>
      <c r="AM44" s="647"/>
      <c r="AN44" s="647"/>
      <c r="AO44" s="647"/>
      <c r="AP44" s="647"/>
      <c r="AQ44" s="647"/>
      <c r="AR44" s="647"/>
      <c r="AS44" s="647"/>
      <c r="AT44" s="647"/>
      <c r="AU44" s="647"/>
      <c r="AV44" s="647"/>
      <c r="AW44" s="647"/>
      <c r="AX44" s="517"/>
      <c r="AY44" s="532"/>
      <c r="AZ44" s="515"/>
      <c r="BA44" s="515"/>
      <c r="BB44" s="515"/>
      <c r="BC44" s="515"/>
      <c r="BD44" s="515"/>
      <c r="BE44" s="515"/>
      <c r="BF44" s="515"/>
      <c r="BG44" s="515"/>
      <c r="BH44" s="515"/>
      <c r="BI44" s="515"/>
      <c r="BJ44" s="515"/>
      <c r="BK44" s="517"/>
      <c r="BL44" s="518"/>
      <c r="BM44" s="515"/>
      <c r="BN44" s="576"/>
      <c r="BO44" s="515"/>
      <c r="BP44" s="515"/>
      <c r="BQ44" s="515"/>
      <c r="BR44" s="515"/>
      <c r="BS44" s="515"/>
      <c r="BT44" s="515"/>
      <c r="BU44" s="515"/>
      <c r="BV44" s="515"/>
      <c r="BW44" s="515"/>
      <c r="BX44" s="519"/>
      <c r="BY44" s="518"/>
      <c r="BZ44" s="542">
        <f>16.45+31.6+31.6</f>
        <v>79.650000000000006</v>
      </c>
      <c r="CA44" s="576"/>
      <c r="CB44" s="515"/>
      <c r="CC44" s="515"/>
      <c r="CD44" s="515"/>
      <c r="CE44" s="515"/>
      <c r="CF44" s="515"/>
      <c r="CG44" s="515"/>
      <c r="CH44" s="515"/>
      <c r="CI44" s="515"/>
      <c r="CJ44" s="520"/>
      <c r="CK44" s="519">
        <f t="shared" si="78"/>
        <v>-79.650000000000006</v>
      </c>
      <c r="CL44" s="519"/>
      <c r="CM44" s="576"/>
      <c r="CN44" s="515"/>
      <c r="CO44" s="515"/>
      <c r="CP44" s="515"/>
      <c r="CQ44" s="515"/>
      <c r="CR44" s="515"/>
      <c r="CS44" s="515"/>
      <c r="CT44" s="515"/>
      <c r="CU44" s="515"/>
      <c r="CV44" s="515"/>
      <c r="CW44" s="515"/>
      <c r="CX44" s="520"/>
      <c r="CY44" s="519">
        <f t="shared" si="80"/>
        <v>0</v>
      </c>
      <c r="CZ44" s="525"/>
      <c r="DA44" s="525"/>
      <c r="DB44" s="525"/>
      <c r="DC44" s="525"/>
      <c r="DD44" s="525"/>
      <c r="DE44" s="525"/>
      <c r="DF44" s="525"/>
      <c r="DG44" s="525"/>
      <c r="DH44" s="525"/>
      <c r="DI44" s="527"/>
      <c r="DJ44" s="527"/>
      <c r="DK44" s="856"/>
      <c r="DL44" s="528">
        <f t="shared" si="79"/>
        <v>0</v>
      </c>
      <c r="DY44" s="519">
        <f t="shared" si="77"/>
        <v>0</v>
      </c>
    </row>
    <row r="45" spans="2:129" s="510" customFormat="1" ht="15">
      <c r="B45" s="742" t="s">
        <v>381</v>
      </c>
      <c r="C45" s="502"/>
      <c r="D45" s="502"/>
      <c r="E45" s="502"/>
      <c r="F45" s="502"/>
      <c r="G45" s="502"/>
      <c r="H45" s="502"/>
      <c r="I45" s="502"/>
      <c r="J45" s="502"/>
      <c r="K45" s="502"/>
      <c r="L45" s="502"/>
      <c r="M45" s="501"/>
      <c r="N45" s="501"/>
      <c r="O45" s="712"/>
      <c r="P45" s="686"/>
      <c r="Q45" s="686"/>
      <c r="R45" s="686"/>
      <c r="S45" s="686"/>
      <c r="T45" s="686"/>
      <c r="U45" s="686"/>
      <c r="V45" s="686"/>
      <c r="W45" s="686"/>
      <c r="X45" s="686"/>
      <c r="Y45" s="686"/>
      <c r="Z45" s="686"/>
      <c r="AA45" s="686"/>
      <c r="AB45" s="687"/>
      <c r="AC45" s="688"/>
      <c r="AD45" s="686"/>
      <c r="AE45" s="686"/>
      <c r="AF45" s="686"/>
      <c r="AG45" s="686"/>
      <c r="AH45" s="686"/>
      <c r="AI45" s="686"/>
      <c r="AJ45" s="686"/>
      <c r="AK45" s="689"/>
      <c r="AL45" s="686"/>
      <c r="AM45" s="686"/>
      <c r="AN45" s="686"/>
      <c r="AO45" s="686"/>
      <c r="AP45" s="686"/>
      <c r="AQ45" s="686"/>
      <c r="AR45" s="686"/>
      <c r="AS45" s="686"/>
      <c r="AT45" s="686"/>
      <c r="AU45" s="686"/>
      <c r="AV45" s="686"/>
      <c r="AW45" s="686"/>
      <c r="AX45" s="687"/>
      <c r="AY45" s="504"/>
      <c r="AZ45" s="690"/>
      <c r="BA45" s="690"/>
      <c r="BB45" s="690"/>
      <c r="BC45" s="690"/>
      <c r="BD45" s="690"/>
      <c r="BE45" s="690"/>
      <c r="BF45" s="690"/>
      <c r="BG45" s="690"/>
      <c r="BH45" s="690"/>
      <c r="BI45" s="690"/>
      <c r="BJ45" s="690"/>
      <c r="BK45" s="687"/>
      <c r="BL45" s="691"/>
      <c r="BM45" s="690"/>
      <c r="BN45" s="692"/>
      <c r="BO45" s="690"/>
      <c r="BP45" s="690"/>
      <c r="BQ45" s="690"/>
      <c r="BR45" s="690"/>
      <c r="BS45" s="690"/>
      <c r="BT45" s="690"/>
      <c r="BU45" s="690"/>
      <c r="BV45" s="690"/>
      <c r="BW45" s="690"/>
      <c r="BX45" s="664"/>
      <c r="BY45" s="743">
        <f>114.04+515.56+3702.78</f>
        <v>4332.38</v>
      </c>
      <c r="BZ45" s="504">
        <v>216.63</v>
      </c>
      <c r="CA45" s="504">
        <f>164.3+429.96</f>
        <v>594.26</v>
      </c>
      <c r="CB45" s="504">
        <f>223.31-(474.08+504.59)</f>
        <v>-755.3599999999999</v>
      </c>
      <c r="CC45" s="504">
        <f>(474.08+504.59)</f>
        <v>978.67</v>
      </c>
      <c r="CD45" s="721">
        <v>54.68</v>
      </c>
      <c r="CE45" s="690"/>
      <c r="CF45" s="663"/>
      <c r="CG45" s="690"/>
      <c r="CH45" s="690"/>
      <c r="CI45" s="690"/>
      <c r="CJ45" s="723">
        <f>3460.6+90.75</f>
        <v>3551.35</v>
      </c>
      <c r="CK45" s="664">
        <f t="shared" ref="CK45:CK50" si="81">-SUM(BY45:CJ45)</f>
        <v>-8972.61</v>
      </c>
      <c r="CL45" s="664"/>
      <c r="CM45" s="797"/>
      <c r="CN45" s="690"/>
      <c r="CO45" s="690"/>
      <c r="CP45" s="690"/>
      <c r="CQ45" s="663"/>
      <c r="CR45" s="504">
        <f>54.68</f>
        <v>54.68</v>
      </c>
      <c r="CS45" s="663"/>
      <c r="CT45" s="690"/>
      <c r="CU45" s="690"/>
      <c r="CV45" s="690"/>
      <c r="CW45" s="690"/>
      <c r="CX45" s="749"/>
      <c r="CY45" s="664">
        <f t="shared" si="80"/>
        <v>-54.68</v>
      </c>
      <c r="CZ45" s="507"/>
      <c r="DA45" s="788"/>
      <c r="DB45" s="663"/>
      <c r="DC45" s="940"/>
      <c r="DD45" s="504">
        <v>617</v>
      </c>
      <c r="DE45" s="788"/>
      <c r="DF45" s="788"/>
      <c r="DG45" s="788"/>
      <c r="DH45" s="788"/>
      <c r="DI45" s="793"/>
      <c r="DJ45" s="793"/>
      <c r="DK45" s="900"/>
      <c r="DL45" s="790">
        <f t="shared" si="79"/>
        <v>-617</v>
      </c>
      <c r="DY45" s="664">
        <f t="shared" si="77"/>
        <v>0</v>
      </c>
    </row>
    <row r="46" spans="2:129" ht="15">
      <c r="B46" s="480" t="s">
        <v>473</v>
      </c>
      <c r="C46" s="579"/>
      <c r="D46" s="579"/>
      <c r="E46" s="579"/>
      <c r="F46" s="579"/>
      <c r="G46" s="579"/>
      <c r="H46" s="579"/>
      <c r="I46" s="579"/>
      <c r="J46" s="579"/>
      <c r="K46" s="579"/>
      <c r="L46" s="579"/>
      <c r="M46" s="538"/>
      <c r="N46" s="538"/>
      <c r="O46" s="575"/>
      <c r="P46" s="647"/>
      <c r="Q46" s="647"/>
      <c r="R46" s="647"/>
      <c r="S46" s="647"/>
      <c r="T46" s="647"/>
      <c r="U46" s="647"/>
      <c r="V46" s="647"/>
      <c r="W46" s="647"/>
      <c r="X46" s="647"/>
      <c r="Y46" s="647"/>
      <c r="Z46" s="647"/>
      <c r="AA46" s="647"/>
      <c r="AB46" s="517"/>
      <c r="AC46" s="648"/>
      <c r="AD46" s="647"/>
      <c r="AE46" s="647"/>
      <c r="AF46" s="647"/>
      <c r="AG46" s="647"/>
      <c r="AH46" s="647"/>
      <c r="AI46" s="647"/>
      <c r="AJ46" s="647"/>
      <c r="AK46" s="582"/>
      <c r="AL46" s="647"/>
      <c r="AM46" s="647"/>
      <c r="AN46" s="647"/>
      <c r="AO46" s="647"/>
      <c r="AP46" s="647"/>
      <c r="AQ46" s="647"/>
      <c r="AR46" s="647"/>
      <c r="AS46" s="647"/>
      <c r="AT46" s="647"/>
      <c r="AU46" s="647"/>
      <c r="AV46" s="647"/>
      <c r="AW46" s="647"/>
      <c r="AX46" s="517"/>
      <c r="AY46" s="532"/>
      <c r="AZ46" s="515"/>
      <c r="BA46" s="515"/>
      <c r="BB46" s="515"/>
      <c r="BC46" s="515"/>
      <c r="BD46" s="515"/>
      <c r="BE46" s="515"/>
      <c r="BF46" s="515"/>
      <c r="BG46" s="515"/>
      <c r="BH46" s="515"/>
      <c r="BI46" s="515"/>
      <c r="BJ46" s="515"/>
      <c r="BK46" s="517"/>
      <c r="BL46" s="518"/>
      <c r="BM46" s="515"/>
      <c r="BN46" s="576"/>
      <c r="BO46" s="515"/>
      <c r="BP46" s="515"/>
      <c r="BQ46" s="515"/>
      <c r="BR46" s="515"/>
      <c r="BS46" s="515"/>
      <c r="BT46" s="515"/>
      <c r="BU46" s="515"/>
      <c r="BV46" s="515"/>
      <c r="BW46" s="515"/>
      <c r="BX46" s="519"/>
      <c r="BY46" s="515"/>
      <c r="BZ46" s="542">
        <f>-36.86+0.6</f>
        <v>-36.26</v>
      </c>
      <c r="CA46" s="683"/>
      <c r="CB46" s="515"/>
      <c r="CC46" s="515"/>
      <c r="CD46" s="515"/>
      <c r="CE46" s="515"/>
      <c r="CF46" s="515"/>
      <c r="CG46" s="515"/>
      <c r="CH46" s="515"/>
      <c r="CI46" s="515"/>
      <c r="CJ46" s="515"/>
      <c r="CK46" s="519">
        <f t="shared" si="81"/>
        <v>36.26</v>
      </c>
      <c r="CL46" s="519"/>
      <c r="CM46" s="576"/>
      <c r="CN46" s="516"/>
      <c r="CO46" s="516"/>
      <c r="CP46" s="515"/>
      <c r="CQ46" s="515"/>
      <c r="CR46" s="515"/>
      <c r="CS46" s="515"/>
      <c r="CT46" s="515"/>
      <c r="CU46" s="515"/>
      <c r="CV46" s="515"/>
      <c r="CW46" s="515"/>
      <c r="CX46" s="515"/>
      <c r="CY46" s="519">
        <f>-SUM(CM46:CX46)</f>
        <v>0</v>
      </c>
      <c r="CZ46" s="525"/>
      <c r="DA46" s="563"/>
      <c r="DB46" s="563"/>
      <c r="DC46" s="525"/>
      <c r="DD46" s="525"/>
      <c r="DE46" s="525"/>
      <c r="DF46" s="525"/>
      <c r="DG46" s="525"/>
      <c r="DH46" s="525"/>
      <c r="DI46" s="527"/>
      <c r="DJ46" s="527"/>
      <c r="DK46" s="527"/>
      <c r="DL46" s="528">
        <f>-SUM(CZ46:DK46)</f>
        <v>0</v>
      </c>
      <c r="DY46" s="519">
        <f>-SUM(DM46:DX46)</f>
        <v>0</v>
      </c>
    </row>
    <row r="47" spans="2:129" ht="15">
      <c r="B47" s="480" t="s">
        <v>544</v>
      </c>
      <c r="C47" s="579"/>
      <c r="D47" s="579"/>
      <c r="E47" s="579"/>
      <c r="F47" s="579"/>
      <c r="G47" s="579"/>
      <c r="H47" s="579"/>
      <c r="I47" s="579"/>
      <c r="J47" s="579"/>
      <c r="K47" s="579"/>
      <c r="L47" s="579"/>
      <c r="M47" s="538"/>
      <c r="N47" s="538"/>
      <c r="O47" s="575"/>
      <c r="P47" s="647"/>
      <c r="Q47" s="647"/>
      <c r="R47" s="647"/>
      <c r="S47" s="647"/>
      <c r="T47" s="647"/>
      <c r="U47" s="647"/>
      <c r="V47" s="647"/>
      <c r="W47" s="647"/>
      <c r="X47" s="647"/>
      <c r="Y47" s="647"/>
      <c r="Z47" s="647"/>
      <c r="AA47" s="647"/>
      <c r="AB47" s="517"/>
      <c r="AC47" s="648"/>
      <c r="AD47" s="647"/>
      <c r="AE47" s="647"/>
      <c r="AF47" s="647"/>
      <c r="AG47" s="647"/>
      <c r="AH47" s="647"/>
      <c r="AI47" s="647"/>
      <c r="AJ47" s="647"/>
      <c r="AK47" s="582"/>
      <c r="AL47" s="647"/>
      <c r="AM47" s="647"/>
      <c r="AN47" s="647"/>
      <c r="AO47" s="647"/>
      <c r="AP47" s="647"/>
      <c r="AQ47" s="647"/>
      <c r="AR47" s="647"/>
      <c r="AS47" s="647"/>
      <c r="AT47" s="647"/>
      <c r="AU47" s="647"/>
      <c r="AV47" s="647"/>
      <c r="AW47" s="647"/>
      <c r="AX47" s="517"/>
      <c r="AY47" s="532"/>
      <c r="AZ47" s="515"/>
      <c r="BA47" s="515"/>
      <c r="BB47" s="515"/>
      <c r="BC47" s="515"/>
      <c r="BD47" s="515"/>
      <c r="BE47" s="515"/>
      <c r="BF47" s="515"/>
      <c r="BG47" s="515"/>
      <c r="BH47" s="515"/>
      <c r="BI47" s="515"/>
      <c r="BJ47" s="515"/>
      <c r="BK47" s="517"/>
      <c r="BL47" s="518"/>
      <c r="BM47" s="515"/>
      <c r="BN47" s="576"/>
      <c r="BO47" s="515"/>
      <c r="BP47" s="515"/>
      <c r="BQ47" s="515"/>
      <c r="BR47" s="515"/>
      <c r="BS47" s="515"/>
      <c r="BT47" s="515"/>
      <c r="BU47" s="515"/>
      <c r="BV47" s="515"/>
      <c r="BW47" s="515"/>
      <c r="BX47" s="519"/>
      <c r="BY47" s="532">
        <f>2186</f>
        <v>2186</v>
      </c>
      <c r="BZ47" s="542">
        <f>15050.83</f>
        <v>15050.83</v>
      </c>
      <c r="CA47" s="568">
        <v>7635.16</v>
      </c>
      <c r="CB47" s="532">
        <f>29218.78-25845.6+5350.62</f>
        <v>8723.7999999999993</v>
      </c>
      <c r="CC47" s="542">
        <f>(720+360)*1.1+215*1.21+(13210*1.21)/2</f>
        <v>9440.2000000000007</v>
      </c>
      <c r="CD47" s="542">
        <f>(1310.4*1.1+611*1.21)+1020.01+896+800.05+800.01</f>
        <v>5696.8200000000006</v>
      </c>
      <c r="CE47" s="542">
        <f>656.15+725.01+815.01+675+1097.01</f>
        <v>3968.1800000000003</v>
      </c>
      <c r="CF47" s="542">
        <f>950.01+650+900.01+1070+387.72+773.85+179.52</f>
        <v>4911.1100000000006</v>
      </c>
      <c r="CG47" s="532">
        <f>509.46+404.66+404.66+205</f>
        <v>1523.78</v>
      </c>
      <c r="CH47" s="541"/>
      <c r="CI47" s="716">
        <f>(13210+510)*1.21-7992.05</f>
        <v>8609.1500000000015</v>
      </c>
      <c r="CJ47" s="717">
        <f>640.64+312.79</f>
        <v>953.43000000000006</v>
      </c>
      <c r="CK47" s="519">
        <f t="shared" si="81"/>
        <v>-68698.459999999992</v>
      </c>
      <c r="CL47" s="519">
        <f>4873.13+1666.17+4277.79</f>
        <v>10817.09</v>
      </c>
      <c r="CM47" s="717">
        <f>5380.87</f>
        <v>5380.87</v>
      </c>
      <c r="CN47" s="716">
        <f>7430*1.21</f>
        <v>8990.2999999999993</v>
      </c>
      <c r="CO47" s="522"/>
      <c r="CP47" s="515"/>
      <c r="CQ47" s="515"/>
      <c r="CR47" s="541"/>
      <c r="CS47" s="541"/>
      <c r="CT47" s="541"/>
      <c r="CU47" s="541"/>
      <c r="CV47" s="541"/>
      <c r="CW47" s="515"/>
      <c r="CX47" s="515"/>
      <c r="CY47" s="519">
        <f>-SUM(CM47:CX47)</f>
        <v>-14371.169999999998</v>
      </c>
      <c r="CZ47" s="525"/>
      <c r="DA47" s="541"/>
      <c r="DB47" s="541"/>
      <c r="DC47" s="541"/>
      <c r="DD47" s="541"/>
      <c r="DE47" s="541"/>
      <c r="DF47" s="541"/>
      <c r="DG47" s="541"/>
      <c r="DH47" s="541"/>
      <c r="DJ47" s="899">
        <f>0.03*177331*1.21</f>
        <v>6437.1152999999995</v>
      </c>
      <c r="DK47" s="527"/>
      <c r="DL47" s="528">
        <f>-SUM(CZ47:DK47)</f>
        <v>-6437.1152999999995</v>
      </c>
      <c r="DY47" s="519">
        <f>-SUM(DM47:DX47)</f>
        <v>0</v>
      </c>
    </row>
    <row r="48" spans="2:129" ht="15">
      <c r="B48" s="480" t="s">
        <v>540</v>
      </c>
      <c r="C48" s="579"/>
      <c r="D48" s="579"/>
      <c r="E48" s="579"/>
      <c r="F48" s="579"/>
      <c r="G48" s="579"/>
      <c r="H48" s="579"/>
      <c r="I48" s="579"/>
      <c r="J48" s="579"/>
      <c r="K48" s="579"/>
      <c r="L48" s="579"/>
      <c r="M48" s="538"/>
      <c r="N48" s="538"/>
      <c r="O48" s="575"/>
      <c r="P48" s="647"/>
      <c r="Q48" s="647"/>
      <c r="R48" s="647"/>
      <c r="S48" s="647"/>
      <c r="T48" s="647"/>
      <c r="U48" s="647"/>
      <c r="V48" s="647"/>
      <c r="W48" s="647"/>
      <c r="X48" s="647"/>
      <c r="Y48" s="647"/>
      <c r="Z48" s="647"/>
      <c r="AA48" s="647"/>
      <c r="AB48" s="517"/>
      <c r="AC48" s="648"/>
      <c r="AD48" s="647"/>
      <c r="AE48" s="647"/>
      <c r="AF48" s="647"/>
      <c r="AG48" s="647"/>
      <c r="AH48" s="647"/>
      <c r="AI48" s="647"/>
      <c r="AJ48" s="647"/>
      <c r="AK48" s="582"/>
      <c r="AL48" s="647"/>
      <c r="AM48" s="647"/>
      <c r="AN48" s="647"/>
      <c r="AO48" s="647"/>
      <c r="AP48" s="647"/>
      <c r="AQ48" s="647"/>
      <c r="AR48" s="647"/>
      <c r="AS48" s="647"/>
      <c r="AT48" s="647"/>
      <c r="AU48" s="647"/>
      <c r="AV48" s="647"/>
      <c r="AW48" s="647"/>
      <c r="AX48" s="517"/>
      <c r="AY48" s="532"/>
      <c r="AZ48" s="515"/>
      <c r="BA48" s="515"/>
      <c r="BB48" s="515"/>
      <c r="BC48" s="515"/>
      <c r="BD48" s="515"/>
      <c r="BE48" s="515"/>
      <c r="BF48" s="515"/>
      <c r="BG48" s="515"/>
      <c r="BH48" s="515"/>
      <c r="BI48" s="515"/>
      <c r="BJ48" s="515"/>
      <c r="BK48" s="517"/>
      <c r="BL48" s="518"/>
      <c r="BM48" s="515"/>
      <c r="BN48" s="576"/>
      <c r="BO48" s="515"/>
      <c r="BP48" s="515"/>
      <c r="BQ48" s="515"/>
      <c r="BR48" s="515"/>
      <c r="BS48" s="515"/>
      <c r="BT48" s="515"/>
      <c r="BU48" s="515"/>
      <c r="BV48" s="515"/>
      <c r="BW48" s="515"/>
      <c r="BX48" s="519"/>
      <c r="BY48" s="532"/>
      <c r="BZ48" s="542"/>
      <c r="CA48" s="568"/>
      <c r="CB48" s="532"/>
      <c r="CC48" s="542"/>
      <c r="CD48" s="542"/>
      <c r="CE48" s="542"/>
      <c r="CF48" s="542"/>
      <c r="CG48" s="532"/>
      <c r="CH48" s="541"/>
      <c r="CI48" s="542"/>
      <c r="CJ48" s="532"/>
      <c r="CK48" s="519">
        <f t="shared" si="81"/>
        <v>0</v>
      </c>
      <c r="CL48" s="519"/>
      <c r="CM48" s="532"/>
      <c r="CN48" s="542"/>
      <c r="CO48" s="532">
        <f>650.02+694.05+764.02</f>
        <v>2108.09</v>
      </c>
      <c r="CP48" s="532">
        <f>700.02+869+800</f>
        <v>2369.02</v>
      </c>
      <c r="CQ48" s="532">
        <f>-19209.96+(41578.55-11578.55)+244.27*3</f>
        <v>11522.850000000004</v>
      </c>
      <c r="CR48" s="532">
        <f>(41578.55-30000)+5615.72+233.53</f>
        <v>17427.800000000003</v>
      </c>
      <c r="CS48" s="717">
        <f>19209.96</f>
        <v>19209.96</v>
      </c>
      <c r="CT48" s="532">
        <f>(30000-10000-14000)</f>
        <v>6000</v>
      </c>
      <c r="CU48" s="515"/>
      <c r="CV48" s="532">
        <f>-2879.61</f>
        <v>-2879.61</v>
      </c>
      <c r="CW48" s="717">
        <f>(10000+14000)</f>
        <v>24000</v>
      </c>
      <c r="CX48" s="515"/>
      <c r="CY48" s="519">
        <f>-SUM(CM48:CX48)</f>
        <v>-79758.110000000015</v>
      </c>
      <c r="CZ48" s="534">
        <f>7260</f>
        <v>7260</v>
      </c>
      <c r="DA48" s="583">
        <f>11578.55</f>
        <v>11578.55</v>
      </c>
      <c r="DB48" s="525"/>
      <c r="DC48" s="541"/>
      <c r="DD48" s="534">
        <v>3900</v>
      </c>
      <c r="DE48" s="534">
        <f>7986-3900</f>
        <v>4086</v>
      </c>
      <c r="DF48" s="541"/>
      <c r="DG48" s="541"/>
      <c r="DH48" s="541"/>
      <c r="DJ48" s="527">
        <f>2000+8328.14</f>
        <v>10328.14</v>
      </c>
      <c r="DK48" s="527"/>
      <c r="DL48" s="528">
        <f>-SUM(CZ48:DK48)</f>
        <v>-37152.69</v>
      </c>
      <c r="DP48" s="582">
        <f>(3801.82-2000)</f>
        <v>1801.8200000000002</v>
      </c>
      <c r="DY48" s="519">
        <f>-SUM(DM48:DX48)</f>
        <v>-1801.8200000000002</v>
      </c>
    </row>
    <row r="49" spans="1:141" ht="15">
      <c r="B49" s="480" t="s">
        <v>474</v>
      </c>
      <c r="C49" s="579"/>
      <c r="D49" s="579"/>
      <c r="E49" s="579"/>
      <c r="F49" s="579"/>
      <c r="G49" s="579"/>
      <c r="H49" s="579"/>
      <c r="I49" s="579"/>
      <c r="J49" s="579"/>
      <c r="K49" s="579"/>
      <c r="L49" s="579"/>
      <c r="M49" s="538"/>
      <c r="N49" s="538"/>
      <c r="O49" s="575"/>
      <c r="P49" s="647"/>
      <c r="Q49" s="647"/>
      <c r="R49" s="647"/>
      <c r="S49" s="647"/>
      <c r="T49" s="647"/>
      <c r="U49" s="647"/>
      <c r="V49" s="647"/>
      <c r="W49" s="647"/>
      <c r="X49" s="647"/>
      <c r="Y49" s="647"/>
      <c r="Z49" s="647"/>
      <c r="AA49" s="647"/>
      <c r="AB49" s="517"/>
      <c r="AC49" s="648"/>
      <c r="AD49" s="647"/>
      <c r="AE49" s="647"/>
      <c r="AF49" s="647"/>
      <c r="AG49" s="647"/>
      <c r="AH49" s="647"/>
      <c r="AI49" s="647"/>
      <c r="AJ49" s="647"/>
      <c r="AK49" s="582"/>
      <c r="AL49" s="647"/>
      <c r="AM49" s="647"/>
      <c r="AN49" s="647"/>
      <c r="AO49" s="647"/>
      <c r="AP49" s="647"/>
      <c r="AQ49" s="647"/>
      <c r="AR49" s="647"/>
      <c r="AS49" s="647"/>
      <c r="AT49" s="647"/>
      <c r="AU49" s="647"/>
      <c r="AV49" s="647"/>
      <c r="AW49" s="647"/>
      <c r="AX49" s="517"/>
      <c r="AY49" s="532"/>
      <c r="AZ49" s="515"/>
      <c r="BA49" s="515"/>
      <c r="BB49" s="515"/>
      <c r="BC49" s="515"/>
      <c r="BD49" s="515"/>
      <c r="BE49" s="515"/>
      <c r="BF49" s="515"/>
      <c r="BG49" s="515"/>
      <c r="BH49" s="515"/>
      <c r="BI49" s="515"/>
      <c r="BJ49" s="515"/>
      <c r="BK49" s="517"/>
      <c r="BL49" s="518"/>
      <c r="BM49" s="515"/>
      <c r="BN49" s="576"/>
      <c r="BO49" s="515"/>
      <c r="BP49" s="515"/>
      <c r="BQ49" s="515"/>
      <c r="BR49" s="515"/>
      <c r="BS49" s="515"/>
      <c r="BT49" s="515"/>
      <c r="BU49" s="515"/>
      <c r="BV49" s="515"/>
      <c r="BW49" s="515"/>
      <c r="BX49" s="519"/>
      <c r="BY49" s="515"/>
      <c r="BZ49" s="542">
        <f>-16643.21</f>
        <v>-16643.21</v>
      </c>
      <c r="CA49" s="543"/>
      <c r="CB49" s="541"/>
      <c r="CC49" s="541"/>
      <c r="CD49" s="541"/>
      <c r="CE49" s="541"/>
      <c r="CF49" s="541"/>
      <c r="CG49" s="541"/>
      <c r="CH49" s="541"/>
      <c r="CI49" s="515"/>
      <c r="CJ49" s="515"/>
      <c r="CK49" s="519">
        <f t="shared" si="81"/>
        <v>16643.21</v>
      </c>
      <c r="CL49" s="519">
        <f>5093.55/2</f>
        <v>2546.7750000000001</v>
      </c>
      <c r="CM49" s="576"/>
      <c r="CN49" s="522"/>
      <c r="CO49" s="523"/>
      <c r="CP49" s="515"/>
      <c r="CQ49" s="515"/>
      <c r="CR49" s="515"/>
      <c r="CS49" s="541"/>
      <c r="CT49" s="541"/>
      <c r="CU49" s="541"/>
      <c r="CV49" s="541"/>
      <c r="CW49" s="541"/>
      <c r="CX49" s="516"/>
      <c r="CY49" s="519">
        <f>-SUM(CM49:CX49)</f>
        <v>0</v>
      </c>
      <c r="CZ49" s="525"/>
      <c r="DA49" s="541"/>
      <c r="DB49" s="541"/>
      <c r="DC49" s="541"/>
      <c r="DD49" s="541"/>
      <c r="DE49" s="541"/>
      <c r="DF49" s="541"/>
      <c r="DG49" s="541"/>
      <c r="DH49" s="541"/>
      <c r="DJ49" s="572">
        <f>-3718.33</f>
        <v>-3718.33</v>
      </c>
      <c r="DK49" s="527"/>
      <c r="DL49" s="528">
        <f>-SUM(CZ49:DK49)</f>
        <v>3718.33</v>
      </c>
      <c r="DY49" s="519">
        <f>-SUM(DM49:DX49)</f>
        <v>0</v>
      </c>
    </row>
    <row r="50" spans="1:141" s="510" customFormat="1" ht="15">
      <c r="B50" s="510" t="s">
        <v>475</v>
      </c>
      <c r="C50" s="502"/>
      <c r="D50" s="502"/>
      <c r="E50" s="502"/>
      <c r="F50" s="502"/>
      <c r="G50" s="502"/>
      <c r="H50" s="502"/>
      <c r="I50" s="502"/>
      <c r="J50" s="502"/>
      <c r="K50" s="502"/>
      <c r="L50" s="502"/>
      <c r="M50" s="501"/>
      <c r="N50" s="501"/>
      <c r="O50" s="712"/>
      <c r="P50" s="686"/>
      <c r="Q50" s="686"/>
      <c r="R50" s="686"/>
      <c r="S50" s="686"/>
      <c r="T50" s="686"/>
      <c r="U50" s="686"/>
      <c r="V50" s="686"/>
      <c r="W50" s="686"/>
      <c r="X50" s="686"/>
      <c r="Y50" s="686"/>
      <c r="Z50" s="686"/>
      <c r="AA50" s="686"/>
      <c r="AB50" s="687"/>
      <c r="AC50" s="688"/>
      <c r="AD50" s="686"/>
      <c r="AE50" s="686"/>
      <c r="AF50" s="686"/>
      <c r="AG50" s="686"/>
      <c r="AH50" s="686"/>
      <c r="AI50" s="686"/>
      <c r="AJ50" s="686"/>
      <c r="AK50" s="689"/>
      <c r="AL50" s="686"/>
      <c r="AM50" s="686"/>
      <c r="AN50" s="686"/>
      <c r="AO50" s="686"/>
      <c r="AP50" s="686"/>
      <c r="AQ50" s="686"/>
      <c r="AR50" s="686"/>
      <c r="AS50" s="686"/>
      <c r="AT50" s="686"/>
      <c r="AU50" s="686"/>
      <c r="AV50" s="686"/>
      <c r="AW50" s="686"/>
      <c r="AX50" s="687"/>
      <c r="AY50" s="504"/>
      <c r="AZ50" s="690"/>
      <c r="BA50" s="690"/>
      <c r="BB50" s="690"/>
      <c r="BC50" s="690"/>
      <c r="BD50" s="690"/>
      <c r="BE50" s="690"/>
      <c r="BF50" s="690"/>
      <c r="BG50" s="690"/>
      <c r="BH50" s="690"/>
      <c r="BI50" s="690"/>
      <c r="BJ50" s="690"/>
      <c r="BK50" s="687"/>
      <c r="BL50" s="691"/>
      <c r="BM50" s="690"/>
      <c r="BN50" s="692"/>
      <c r="BO50" s="690"/>
      <c r="BP50" s="690"/>
      <c r="BQ50" s="690"/>
      <c r="BR50" s="690"/>
      <c r="BS50" s="690"/>
      <c r="BT50" s="690"/>
      <c r="BU50" s="690"/>
      <c r="BV50" s="690"/>
      <c r="BW50" s="690"/>
      <c r="BX50" s="664"/>
      <c r="BY50" s="690"/>
      <c r="BZ50" s="863"/>
      <c r="CA50" s="864"/>
      <c r="CB50" s="690"/>
      <c r="CC50" s="504">
        <f>2250*1.21</f>
        <v>2722.5</v>
      </c>
      <c r="CD50" s="663"/>
      <c r="CE50" s="663"/>
      <c r="CF50" s="663"/>
      <c r="CG50" s="504">
        <f>1334.03+851.24+1766+1804.11</f>
        <v>5755.38</v>
      </c>
      <c r="CH50" s="690"/>
      <c r="CI50" s="690"/>
      <c r="CJ50" s="690"/>
      <c r="CK50" s="664">
        <f t="shared" si="81"/>
        <v>-8477.880000000001</v>
      </c>
      <c r="CL50" s="664"/>
      <c r="CM50" s="723">
        <f>3700*2*1.21</f>
        <v>8954</v>
      </c>
      <c r="CN50" s="863"/>
      <c r="CO50" s="864"/>
      <c r="CP50" s="690"/>
      <c r="CQ50" s="690"/>
      <c r="CR50" s="690"/>
      <c r="CS50" s="690"/>
      <c r="CT50" s="690"/>
      <c r="CU50" s="690"/>
      <c r="CV50" s="690"/>
      <c r="CW50" s="690"/>
      <c r="CX50" s="690"/>
      <c r="CY50" s="664">
        <f>-SUM(CM50:CX50)</f>
        <v>-8954</v>
      </c>
      <c r="CZ50" s="788"/>
      <c r="DA50" s="940"/>
      <c r="DB50" s="940"/>
      <c r="DC50" s="788"/>
      <c r="DD50" s="788"/>
      <c r="DE50" s="788"/>
      <c r="DF50" s="788"/>
      <c r="DG50" s="788"/>
      <c r="DH50" s="788"/>
      <c r="DI50" s="793"/>
      <c r="DJ50" s="793"/>
      <c r="DK50" s="793"/>
      <c r="DL50" s="790">
        <f>-SUM(CZ50:DK50)</f>
        <v>0</v>
      </c>
      <c r="DY50" s="664">
        <f>-SUM(DM50:DX50)</f>
        <v>0</v>
      </c>
    </row>
    <row r="51" spans="1:141" s="865" customFormat="1" ht="15.75">
      <c r="B51" s="744" t="s">
        <v>385</v>
      </c>
      <c r="C51" s="866"/>
      <c r="D51" s="866"/>
      <c r="E51" s="866"/>
      <c r="F51" s="866"/>
      <c r="G51" s="866"/>
      <c r="H51" s="866"/>
      <c r="I51" s="866"/>
      <c r="J51" s="866"/>
      <c r="K51" s="866"/>
      <c r="L51" s="866"/>
      <c r="M51" s="867"/>
      <c r="N51" s="867"/>
      <c r="O51" s="868"/>
      <c r="P51" s="869"/>
      <c r="Q51" s="869"/>
      <c r="R51" s="869"/>
      <c r="S51" s="869"/>
      <c r="T51" s="869"/>
      <c r="U51" s="869"/>
      <c r="V51" s="869"/>
      <c r="W51" s="869"/>
      <c r="X51" s="869"/>
      <c r="Y51" s="869"/>
      <c r="Z51" s="869"/>
      <c r="AA51" s="869"/>
      <c r="AB51" s="870"/>
      <c r="AC51" s="871"/>
      <c r="AD51" s="869"/>
      <c r="AE51" s="869"/>
      <c r="AF51" s="869"/>
      <c r="AG51" s="869"/>
      <c r="AH51" s="869"/>
      <c r="AI51" s="869"/>
      <c r="AJ51" s="869"/>
      <c r="AK51" s="872"/>
      <c r="AL51" s="869"/>
      <c r="AM51" s="869"/>
      <c r="AN51" s="869"/>
      <c r="AO51" s="869"/>
      <c r="AP51" s="869"/>
      <c r="AQ51" s="869"/>
      <c r="AR51" s="869"/>
      <c r="AS51" s="869"/>
      <c r="AT51" s="869"/>
      <c r="AU51" s="869"/>
      <c r="AV51" s="869"/>
      <c r="AW51" s="869"/>
      <c r="AX51" s="870"/>
      <c r="AY51" s="705"/>
      <c r="AZ51" s="873"/>
      <c r="BA51" s="873"/>
      <c r="BB51" s="873"/>
      <c r="BC51" s="873"/>
      <c r="BD51" s="873"/>
      <c r="BE51" s="873"/>
      <c r="BF51" s="873"/>
      <c r="BG51" s="873"/>
      <c r="BH51" s="873"/>
      <c r="BI51" s="873"/>
      <c r="BJ51" s="873"/>
      <c r="BK51" s="870"/>
      <c r="BL51" s="874"/>
      <c r="BM51" s="873"/>
      <c r="BN51" s="875"/>
      <c r="BO51" s="873"/>
      <c r="BP51" s="873"/>
      <c r="BQ51" s="873"/>
      <c r="BR51" s="873"/>
      <c r="BS51" s="873"/>
      <c r="BT51" s="873"/>
      <c r="BU51" s="873"/>
      <c r="BV51" s="873"/>
      <c r="BW51" s="873"/>
      <c r="BX51" s="876"/>
      <c r="BY51" s="705">
        <f>-SUM(BY30:BY50)</f>
        <v>-47852.079999999994</v>
      </c>
      <c r="BZ51" s="705">
        <f t="shared" ref="BZ51:CJ51" si="82">-SUM(BZ30:BZ50)</f>
        <v>-49.650000000001455</v>
      </c>
      <c r="CA51" s="707">
        <f t="shared" si="82"/>
        <v>-9235.8349999999991</v>
      </c>
      <c r="CB51" s="705">
        <f t="shared" si="82"/>
        <v>-19183.599999999999</v>
      </c>
      <c r="CC51" s="705">
        <f t="shared" si="82"/>
        <v>-14949.330000000002</v>
      </c>
      <c r="CD51" s="705">
        <f t="shared" si="82"/>
        <v>-5708.0700000000006</v>
      </c>
      <c r="CE51" s="705">
        <f t="shared" si="82"/>
        <v>-4328.21</v>
      </c>
      <c r="CF51" s="705">
        <f t="shared" si="82"/>
        <v>-5564.3600000000006</v>
      </c>
      <c r="CG51" s="705">
        <f t="shared" si="82"/>
        <v>-8975.869999999999</v>
      </c>
      <c r="CH51" s="705">
        <f t="shared" si="82"/>
        <v>-133.19999999999999</v>
      </c>
      <c r="CI51" s="705">
        <f t="shared" si="82"/>
        <v>-8916.8200000000015</v>
      </c>
      <c r="CJ51" s="705">
        <f t="shared" si="82"/>
        <v>-4957.6000000000004</v>
      </c>
      <c r="CK51" s="704">
        <f>SUM(CK30:CK50)</f>
        <v>-129854.62500000003</v>
      </c>
      <c r="CL51" s="708"/>
      <c r="CM51" s="707">
        <f t="shared" ref="CM51:CX51" si="83">-SUM(CM30:CM50)</f>
        <v>-14800.2</v>
      </c>
      <c r="CN51" s="705">
        <f t="shared" si="83"/>
        <v>-14418.949999999999</v>
      </c>
      <c r="CO51" s="707">
        <f t="shared" si="83"/>
        <v>-2522.67</v>
      </c>
      <c r="CP51" s="705">
        <f t="shared" si="83"/>
        <v>-3242.42</v>
      </c>
      <c r="CQ51" s="705">
        <f t="shared" si="83"/>
        <v>-14758.050000000003</v>
      </c>
      <c r="CR51" s="705">
        <f t="shared" si="83"/>
        <v>-20302.740000000002</v>
      </c>
      <c r="CS51" s="705">
        <f t="shared" si="83"/>
        <v>-20441.68</v>
      </c>
      <c r="CT51" s="705">
        <f t="shared" si="83"/>
        <v>-12273.24</v>
      </c>
      <c r="CU51" s="705">
        <f t="shared" si="83"/>
        <v>-4000.77</v>
      </c>
      <c r="CV51" s="705">
        <f t="shared" si="83"/>
        <v>513.7800000000002</v>
      </c>
      <c r="CW51" s="705">
        <f t="shared" si="83"/>
        <v>-24715.5</v>
      </c>
      <c r="CX51" s="705">
        <f t="shared" si="83"/>
        <v>-10165.692499999999</v>
      </c>
      <c r="CY51" s="704">
        <f>SUM(CY30:CY50)</f>
        <v>-141128.13250000001</v>
      </c>
      <c r="CZ51" s="901">
        <f t="shared" ref="CZ51:DK51" si="84">-SUM(CZ30:CZ50)</f>
        <v>-8045.84</v>
      </c>
      <c r="DA51" s="901">
        <f t="shared" si="84"/>
        <v>-16162.13</v>
      </c>
      <c r="DB51" s="901">
        <f t="shared" si="84"/>
        <v>-1946.05</v>
      </c>
      <c r="DC51" s="901">
        <f t="shared" si="84"/>
        <v>-7505.36</v>
      </c>
      <c r="DD51" s="901">
        <f t="shared" si="84"/>
        <v>-6637.05</v>
      </c>
      <c r="DE51" s="901">
        <f t="shared" si="84"/>
        <v>-4125.59</v>
      </c>
      <c r="DF51" s="901">
        <f t="shared" si="84"/>
        <v>-22802.699999999997</v>
      </c>
      <c r="DG51" s="901">
        <f>-SUM(DG30:DG50)</f>
        <v>-253.57</v>
      </c>
      <c r="DH51" s="901">
        <f t="shared" si="84"/>
        <v>-612.96999999999991</v>
      </c>
      <c r="DI51" s="895">
        <f t="shared" si="84"/>
        <v>-17550.629999999997</v>
      </c>
      <c r="DJ51" s="895">
        <f t="shared" si="84"/>
        <v>-14556.675299999997</v>
      </c>
      <c r="DK51" s="895">
        <f t="shared" si="84"/>
        <v>-8247.1699999999983</v>
      </c>
      <c r="DL51" s="895">
        <f>SUM(DL30:DL50)</f>
        <v>-108445.7353</v>
      </c>
      <c r="DM51" s="704">
        <f t="shared" ref="DM51:DX51" si="85">-SUM(DM30:DM50)</f>
        <v>-932.24999999999989</v>
      </c>
      <c r="DN51" s="704">
        <f t="shared" si="85"/>
        <v>-749.44999999999993</v>
      </c>
      <c r="DO51" s="704">
        <f t="shared" si="85"/>
        <v>-296.15999999999997</v>
      </c>
      <c r="DP51" s="704">
        <f t="shared" si="85"/>
        <v>-2247.6000000000004</v>
      </c>
      <c r="DQ51" s="704">
        <f t="shared" si="85"/>
        <v>-933.14</v>
      </c>
      <c r="DR51" s="704">
        <f t="shared" si="85"/>
        <v>-296.15999999999997</v>
      </c>
      <c r="DS51" s="704">
        <f t="shared" si="85"/>
        <v>-296.15999999999997</v>
      </c>
      <c r="DT51" s="704">
        <f t="shared" si="85"/>
        <v>-296.15999999999997</v>
      </c>
      <c r="DU51" s="704">
        <f t="shared" si="85"/>
        <v>-422.5</v>
      </c>
      <c r="DV51" s="704">
        <f t="shared" si="85"/>
        <v>-296.15999999999997</v>
      </c>
      <c r="DW51" s="704">
        <f t="shared" si="85"/>
        <v>-296.15999999999997</v>
      </c>
      <c r="DX51" s="704">
        <f t="shared" si="85"/>
        <v>-296.15999999999997</v>
      </c>
      <c r="DY51" s="704">
        <f>SUM(DY30:DY50)</f>
        <v>-7358.0599999999995</v>
      </c>
    </row>
    <row r="52" spans="1:141" ht="15">
      <c r="B52" s="745" t="s">
        <v>243</v>
      </c>
      <c r="C52" s="579"/>
      <c r="D52" s="579"/>
      <c r="E52" s="579"/>
      <c r="F52" s="579"/>
      <c r="G52" s="579"/>
      <c r="H52" s="579"/>
      <c r="I52" s="579"/>
      <c r="J52" s="579"/>
      <c r="K52" s="579"/>
      <c r="L52" s="579"/>
      <c r="M52" s="538"/>
      <c r="N52" s="538"/>
      <c r="O52" s="575"/>
      <c r="P52" s="647"/>
      <c r="Q52" s="647"/>
      <c r="R52" s="647"/>
      <c r="S52" s="647"/>
      <c r="T52" s="647"/>
      <c r="U52" s="647"/>
      <c r="V52" s="647"/>
      <c r="W52" s="647"/>
      <c r="X52" s="647"/>
      <c r="Y52" s="647"/>
      <c r="Z52" s="647"/>
      <c r="AA52" s="647"/>
      <c r="AB52" s="517"/>
      <c r="AC52" s="648"/>
      <c r="AD52" s="647"/>
      <c r="AE52" s="647"/>
      <c r="AF52" s="647"/>
      <c r="AG52" s="647"/>
      <c r="AH52" s="647"/>
      <c r="AI52" s="647"/>
      <c r="AJ52" s="647"/>
      <c r="AK52" s="582"/>
      <c r="AL52" s="647"/>
      <c r="AM52" s="647"/>
      <c r="AN52" s="647"/>
      <c r="AO52" s="647"/>
      <c r="AP52" s="647"/>
      <c r="AQ52" s="647"/>
      <c r="AR52" s="647"/>
      <c r="AS52" s="647"/>
      <c r="AT52" s="647"/>
      <c r="AU52" s="647"/>
      <c r="AV52" s="647"/>
      <c r="AW52" s="647"/>
      <c r="AX52" s="517"/>
      <c r="AY52" s="532"/>
      <c r="AZ52" s="515"/>
      <c r="BA52" s="515"/>
      <c r="BB52" s="515"/>
      <c r="BC52" s="515"/>
      <c r="BD52" s="515"/>
      <c r="BE52" s="515"/>
      <c r="BF52" s="515"/>
      <c r="BG52" s="515"/>
      <c r="BH52" s="515"/>
      <c r="BI52" s="515"/>
      <c r="BJ52" s="515"/>
      <c r="BK52" s="517"/>
      <c r="BL52" s="518"/>
      <c r="BM52" s="515"/>
      <c r="BN52" s="576"/>
      <c r="BO52" s="515"/>
      <c r="BP52" s="515"/>
      <c r="BQ52" s="515"/>
      <c r="BR52" s="515"/>
      <c r="BS52" s="515"/>
      <c r="BT52" s="515"/>
      <c r="BU52" s="515"/>
      <c r="BV52" s="515"/>
      <c r="BW52" s="515"/>
      <c r="BX52" s="519"/>
      <c r="BY52" s="582"/>
      <c r="BZ52" s="582"/>
      <c r="CA52" s="582"/>
      <c r="CB52" s="582"/>
      <c r="CC52" s="582"/>
      <c r="CD52" s="582"/>
      <c r="CE52" s="582"/>
      <c r="CF52" s="582"/>
      <c r="CG52" s="582"/>
      <c r="CH52" s="582"/>
      <c r="CI52" s="582"/>
      <c r="CJ52" s="582"/>
      <c r="CK52" s="746">
        <f>+CK11+CK25+CK51</f>
        <v>-167861.43300000005</v>
      </c>
      <c r="CL52" s="649"/>
      <c r="CM52" s="582"/>
      <c r="CN52" s="582"/>
      <c r="CO52" s="582"/>
      <c r="CP52" s="582"/>
      <c r="CQ52" s="582"/>
      <c r="CR52" s="582"/>
      <c r="CS52" s="582"/>
      <c r="CT52" s="582"/>
      <c r="CU52" s="582"/>
      <c r="CV52" s="582"/>
      <c r="CW52" s="582"/>
      <c r="CX52" s="582"/>
      <c r="CY52" s="746">
        <f>+CY11+CY25+CY51</f>
        <v>-119948.5025</v>
      </c>
      <c r="CZ52" s="527"/>
      <c r="DA52" s="527"/>
      <c r="DB52" s="527"/>
      <c r="DC52" s="527"/>
      <c r="DD52" s="527"/>
      <c r="DE52" s="527"/>
      <c r="DF52" s="527"/>
      <c r="DG52" s="527"/>
      <c r="DH52" s="527"/>
      <c r="DI52" s="527"/>
      <c r="DJ52" s="527"/>
      <c r="DK52" s="527"/>
      <c r="DL52" s="902">
        <f>+DL11+DL25+DL51</f>
        <v>-114817.5753</v>
      </c>
      <c r="DY52" s="746">
        <f>+DY11+DY25+DY51</f>
        <v>229275.84</v>
      </c>
    </row>
    <row r="53" spans="1:141" s="481" customFormat="1" ht="15.75">
      <c r="A53" s="480"/>
      <c r="B53" s="728" t="s">
        <v>535</v>
      </c>
      <c r="C53" s="480"/>
      <c r="D53" s="480"/>
      <c r="E53" s="480"/>
      <c r="F53" s="480"/>
      <c r="G53" s="480"/>
      <c r="H53" s="480"/>
      <c r="I53" s="480"/>
      <c r="J53" s="480"/>
      <c r="K53" s="480"/>
      <c r="L53" s="480"/>
      <c r="M53" s="480"/>
      <c r="N53" s="480"/>
      <c r="O53" s="480"/>
      <c r="P53" s="480"/>
      <c r="Q53" s="480"/>
      <c r="R53" s="480"/>
      <c r="S53" s="480"/>
      <c r="T53" s="480"/>
      <c r="U53" s="480"/>
      <c r="V53" s="480"/>
      <c r="W53" s="480"/>
      <c r="X53" s="480"/>
      <c r="Y53" s="480"/>
      <c r="Z53" s="480"/>
      <c r="AA53" s="480"/>
      <c r="AD53" s="480"/>
      <c r="AE53" s="480"/>
      <c r="AF53" s="480"/>
      <c r="AG53" s="480"/>
      <c r="AH53" s="480"/>
      <c r="AI53" s="480"/>
      <c r="AJ53" s="480"/>
      <c r="AK53" s="480"/>
      <c r="AL53" s="480"/>
      <c r="AM53" s="480"/>
      <c r="AN53" s="480"/>
      <c r="AO53" s="480"/>
      <c r="AP53" s="480"/>
      <c r="AQ53" s="480"/>
      <c r="AR53" s="480"/>
      <c r="AS53" s="480"/>
      <c r="AT53" s="480"/>
      <c r="AU53" s="480"/>
      <c r="AV53" s="480"/>
      <c r="AW53" s="480"/>
      <c r="AX53" s="480"/>
      <c r="AY53" s="480"/>
      <c r="AZ53" s="480"/>
      <c r="BA53" s="480"/>
      <c r="BB53" s="480"/>
      <c r="BC53" s="480"/>
      <c r="BD53" s="480"/>
      <c r="BE53" s="480"/>
      <c r="BF53" s="480"/>
      <c r="BG53" s="480"/>
      <c r="BH53" s="480"/>
      <c r="BI53" s="480"/>
      <c r="BJ53" s="480"/>
      <c r="BK53" s="480"/>
      <c r="BL53" s="480"/>
      <c r="BM53" s="480"/>
      <c r="BN53" s="480"/>
      <c r="BO53" s="480"/>
      <c r="BP53" s="480"/>
      <c r="BQ53" s="480"/>
      <c r="BR53" s="480"/>
      <c r="BS53" s="480"/>
      <c r="BT53" s="480"/>
      <c r="BU53" s="480"/>
      <c r="BV53" s="480"/>
      <c r="BW53" s="480"/>
      <c r="BX53" s="480"/>
      <c r="BY53" s="729">
        <f t="shared" ref="BY53:CJ53" si="86">+BY11+BY25+BY51</f>
        <v>-49493.489999999991</v>
      </c>
      <c r="BZ53" s="729">
        <f t="shared" si="86"/>
        <v>-1504.7900000000016</v>
      </c>
      <c r="CA53" s="729">
        <f t="shared" si="86"/>
        <v>-21987.724999999999</v>
      </c>
      <c r="CB53" s="729">
        <f t="shared" si="86"/>
        <v>-13238.727999999999</v>
      </c>
      <c r="CC53" s="729">
        <f t="shared" si="86"/>
        <v>-28962.170000000006</v>
      </c>
      <c r="CD53" s="729">
        <f t="shared" si="86"/>
        <v>-32145.87</v>
      </c>
      <c r="CE53" s="729">
        <f t="shared" si="86"/>
        <v>-14869.919999999998</v>
      </c>
      <c r="CF53" s="729">
        <f t="shared" si="86"/>
        <v>-5564.3600000000006</v>
      </c>
      <c r="CG53" s="729">
        <f t="shared" si="86"/>
        <v>-34873.11</v>
      </c>
      <c r="CH53" s="729">
        <f t="shared" si="86"/>
        <v>-11139.51</v>
      </c>
      <c r="CI53" s="729">
        <f t="shared" si="86"/>
        <v>-23173.920000000002</v>
      </c>
      <c r="CJ53" s="729">
        <f t="shared" si="86"/>
        <v>69092.159999999989</v>
      </c>
      <c r="CK53" s="482"/>
      <c r="CL53" s="480"/>
      <c r="CM53" s="729">
        <f t="shared" ref="CM53:CX53" si="87">+CM11+CM25+CM51</f>
        <v>-14800.2</v>
      </c>
      <c r="CN53" s="729">
        <f t="shared" si="87"/>
        <v>-28867.53</v>
      </c>
      <c r="CO53" s="729">
        <f t="shared" si="87"/>
        <v>-2522.67</v>
      </c>
      <c r="CP53" s="729">
        <f t="shared" si="87"/>
        <v>15317.58</v>
      </c>
      <c r="CQ53" s="729">
        <f t="shared" si="87"/>
        <v>-11993.200000000003</v>
      </c>
      <c r="CR53" s="729">
        <f t="shared" si="87"/>
        <v>-20302.740000000002</v>
      </c>
      <c r="CS53" s="729">
        <f t="shared" si="87"/>
        <v>-20281.490000000002</v>
      </c>
      <c r="CT53" s="729">
        <f t="shared" si="87"/>
        <v>2025.340000000002</v>
      </c>
      <c r="CU53" s="729">
        <f t="shared" si="87"/>
        <v>-4000.77</v>
      </c>
      <c r="CV53" s="729">
        <f t="shared" si="87"/>
        <v>358.37000000000023</v>
      </c>
      <c r="CW53" s="729">
        <f t="shared" si="87"/>
        <v>-24715.5</v>
      </c>
      <c r="CX53" s="729">
        <f t="shared" si="87"/>
        <v>-10165.692499999999</v>
      </c>
      <c r="CY53" s="482"/>
      <c r="CZ53" s="782">
        <f t="shared" ref="CZ53:DK53" si="88">+CZ11+CZ25+CZ51</f>
        <v>-8045.84</v>
      </c>
      <c r="DA53" s="782">
        <f t="shared" si="88"/>
        <v>-16162.13</v>
      </c>
      <c r="DB53" s="782">
        <f t="shared" si="88"/>
        <v>-2261.0500000000002</v>
      </c>
      <c r="DC53" s="782">
        <f t="shared" si="88"/>
        <v>-7505.36</v>
      </c>
      <c r="DD53" s="782">
        <f t="shared" si="88"/>
        <v>-11435.05</v>
      </c>
      <c r="DE53" s="782">
        <f t="shared" si="88"/>
        <v>-6121.96</v>
      </c>
      <c r="DF53" s="782">
        <f t="shared" si="88"/>
        <v>-22802.699999999997</v>
      </c>
      <c r="DG53" s="782">
        <f t="shared" si="88"/>
        <v>-253.57</v>
      </c>
      <c r="DH53" s="782">
        <f t="shared" si="88"/>
        <v>-612.96999999999991</v>
      </c>
      <c r="DI53" s="782">
        <f t="shared" si="88"/>
        <v>-16813.099999999999</v>
      </c>
      <c r="DJ53" s="782">
        <f t="shared" si="88"/>
        <v>-14556.675299999997</v>
      </c>
      <c r="DK53" s="782">
        <f t="shared" si="88"/>
        <v>-8247.1699999999983</v>
      </c>
      <c r="DL53" s="856"/>
      <c r="DM53" s="729">
        <f t="shared" ref="DM53:DX53" si="89">+DM11+DM25+DM51</f>
        <v>-932.24999999999989</v>
      </c>
      <c r="DN53" s="729">
        <f t="shared" si="89"/>
        <v>157334.54999999999</v>
      </c>
      <c r="DO53" s="729">
        <f t="shared" si="89"/>
        <v>-296.15999999999997</v>
      </c>
      <c r="DP53" s="729">
        <f t="shared" si="89"/>
        <v>76302.299999999988</v>
      </c>
      <c r="DQ53" s="729">
        <f t="shared" si="89"/>
        <v>-933.14</v>
      </c>
      <c r="DR53" s="729">
        <f t="shared" si="89"/>
        <v>-296.15999999999997</v>
      </c>
      <c r="DS53" s="729">
        <f t="shared" si="89"/>
        <v>-296.15999999999997</v>
      </c>
      <c r="DT53" s="729">
        <f t="shared" si="89"/>
        <v>-296.15999999999997</v>
      </c>
      <c r="DU53" s="729">
        <f t="shared" si="89"/>
        <v>-422.5</v>
      </c>
      <c r="DV53" s="729">
        <f t="shared" si="89"/>
        <v>-296.15999999999997</v>
      </c>
      <c r="DW53" s="729">
        <f t="shared" si="89"/>
        <v>-296.15999999999997</v>
      </c>
      <c r="DX53" s="729">
        <f t="shared" si="89"/>
        <v>-296.15999999999997</v>
      </c>
      <c r="DY53" s="482"/>
      <c r="DZ53" s="480"/>
      <c r="EA53" s="480"/>
      <c r="EB53" s="480"/>
      <c r="EC53" s="480"/>
      <c r="ED53" s="480"/>
      <c r="EE53" s="480"/>
      <c r="EF53" s="480"/>
      <c r="EG53" s="480"/>
      <c r="EH53" s="480"/>
      <c r="EI53" s="480"/>
      <c r="EJ53" s="480"/>
      <c r="EK53" s="480"/>
    </row>
    <row r="54" spans="1:141" s="481" customFormat="1" ht="15.75">
      <c r="A54" s="480"/>
      <c r="B54" s="728" t="s">
        <v>536</v>
      </c>
      <c r="C54" s="480"/>
      <c r="D54" s="480"/>
      <c r="E54" s="480"/>
      <c r="F54" s="480"/>
      <c r="G54" s="480"/>
      <c r="H54" s="480"/>
      <c r="I54" s="480"/>
      <c r="J54" s="480"/>
      <c r="K54" s="480"/>
      <c r="L54" s="480"/>
      <c r="M54" s="480"/>
      <c r="N54" s="480"/>
      <c r="O54" s="480"/>
      <c r="P54" s="480"/>
      <c r="Q54" s="480"/>
      <c r="R54" s="480"/>
      <c r="S54" s="480"/>
      <c r="T54" s="480"/>
      <c r="U54" s="480"/>
      <c r="V54" s="480"/>
      <c r="W54" s="480"/>
      <c r="X54" s="480"/>
      <c r="Y54" s="480"/>
      <c r="Z54" s="480"/>
      <c r="AA54" s="480"/>
      <c r="AD54" s="480"/>
      <c r="AE54" s="480"/>
      <c r="AF54" s="480"/>
      <c r="AG54" s="480"/>
      <c r="AH54" s="480"/>
      <c r="AI54" s="480"/>
      <c r="AJ54" s="480"/>
      <c r="AK54" s="480"/>
      <c r="AL54" s="480"/>
      <c r="AM54" s="480"/>
      <c r="AN54" s="480"/>
      <c r="AO54" s="480"/>
      <c r="AP54" s="480"/>
      <c r="AQ54" s="480"/>
      <c r="AR54" s="480"/>
      <c r="AS54" s="480"/>
      <c r="AT54" s="480"/>
      <c r="AU54" s="480"/>
      <c r="AV54" s="480"/>
      <c r="AW54" s="480"/>
      <c r="AX54" s="480"/>
      <c r="AY54" s="480"/>
      <c r="AZ54" s="480"/>
      <c r="BA54" s="480"/>
      <c r="BB54" s="480"/>
      <c r="BC54" s="480"/>
      <c r="BD54" s="480"/>
      <c r="BE54" s="480"/>
      <c r="BF54" s="480"/>
      <c r="BG54" s="480"/>
      <c r="BH54" s="480"/>
      <c r="BI54" s="480"/>
      <c r="BJ54" s="480"/>
      <c r="BK54" s="480"/>
      <c r="BL54" s="480"/>
      <c r="BM54" s="480"/>
      <c r="BN54" s="480"/>
      <c r="BO54" s="480"/>
      <c r="BP54" s="480"/>
      <c r="BQ54" s="480"/>
      <c r="BR54" s="480"/>
      <c r="BS54" s="480"/>
      <c r="BT54" s="480"/>
      <c r="BU54" s="480"/>
      <c r="BV54" s="480"/>
      <c r="BW54" s="480"/>
      <c r="BX54" s="480"/>
      <c r="BY54" s="729">
        <f>+BY53</f>
        <v>-49493.489999999991</v>
      </c>
      <c r="BZ54" s="729">
        <f>+BZ53+BY54</f>
        <v>-50998.279999999992</v>
      </c>
      <c r="CA54" s="729">
        <f t="shared" ref="CA54:CJ54" si="90">+CA53+BZ54</f>
        <v>-72986.00499999999</v>
      </c>
      <c r="CB54" s="729">
        <f t="shared" si="90"/>
        <v>-86224.732999999993</v>
      </c>
      <c r="CC54" s="729">
        <f t="shared" si="90"/>
        <v>-115186.90299999999</v>
      </c>
      <c r="CD54" s="729">
        <f t="shared" si="90"/>
        <v>-147332.77299999999</v>
      </c>
      <c r="CE54" s="729">
        <f t="shared" si="90"/>
        <v>-162202.69299999997</v>
      </c>
      <c r="CF54" s="729">
        <f t="shared" si="90"/>
        <v>-167767.05299999996</v>
      </c>
      <c r="CG54" s="729">
        <f t="shared" si="90"/>
        <v>-202640.16299999994</v>
      </c>
      <c r="CH54" s="729">
        <f t="shared" si="90"/>
        <v>-213779.67299999995</v>
      </c>
      <c r="CI54" s="729">
        <f t="shared" si="90"/>
        <v>-236953.59299999996</v>
      </c>
      <c r="CJ54" s="729">
        <f t="shared" si="90"/>
        <v>-167861.43299999996</v>
      </c>
      <c r="CK54" s="747">
        <f>+CK52-CJ54</f>
        <v>0</v>
      </c>
      <c r="CL54" s="480"/>
      <c r="CM54" s="729">
        <f>+CM53</f>
        <v>-14800.2</v>
      </c>
      <c r="CN54" s="729">
        <f>+CN53+CM54</f>
        <v>-43667.729999999996</v>
      </c>
      <c r="CO54" s="729">
        <f t="shared" ref="CO54" si="91">+CO53+CN54</f>
        <v>-46190.399999999994</v>
      </c>
      <c r="CP54" s="729">
        <f t="shared" ref="CP54" si="92">+CP53+CO54</f>
        <v>-30872.819999999992</v>
      </c>
      <c r="CQ54" s="729">
        <f>+CQ53+CP54</f>
        <v>-42866.02</v>
      </c>
      <c r="CR54" s="729">
        <f t="shared" ref="CR54" si="93">+CR53+CQ54</f>
        <v>-63168.759999999995</v>
      </c>
      <c r="CS54" s="729">
        <f t="shared" ref="CS54" si="94">+CS53+CR54</f>
        <v>-83450.25</v>
      </c>
      <c r="CT54" s="729">
        <f t="shared" ref="CT54" si="95">+CT53+CS54</f>
        <v>-81424.91</v>
      </c>
      <c r="CU54" s="729">
        <f t="shared" ref="CU54" si="96">+CU53+CT54</f>
        <v>-85425.680000000008</v>
      </c>
      <c r="CV54" s="729">
        <f t="shared" ref="CV54" si="97">+CV53+CU54</f>
        <v>-85067.310000000012</v>
      </c>
      <c r="CW54" s="729">
        <f t="shared" ref="CW54" si="98">+CW53+CV54</f>
        <v>-109782.81000000001</v>
      </c>
      <c r="CX54" s="729">
        <f t="shared" ref="CX54" si="99">+CX53+CW54</f>
        <v>-119948.50250000002</v>
      </c>
      <c r="CY54" s="747">
        <f>+CY52-CX54</f>
        <v>0</v>
      </c>
      <c r="CZ54" s="782">
        <f>+CZ53</f>
        <v>-8045.84</v>
      </c>
      <c r="DA54" s="782">
        <f>+DA53+CZ54</f>
        <v>-24207.97</v>
      </c>
      <c r="DB54" s="782">
        <f t="shared" ref="DB54" si="100">+DB53+DA54</f>
        <v>-26469.02</v>
      </c>
      <c r="DC54" s="782">
        <f t="shared" ref="DC54" si="101">+DC53+DB54</f>
        <v>-33974.379999999997</v>
      </c>
      <c r="DD54" s="782">
        <f t="shared" ref="DD54" si="102">+DD53+DC54</f>
        <v>-45409.429999999993</v>
      </c>
      <c r="DE54" s="782">
        <f t="shared" ref="DE54" si="103">+DE53+DD54</f>
        <v>-51531.389999999992</v>
      </c>
      <c r="DF54" s="782">
        <f t="shared" ref="DF54" si="104">+DF53+DE54</f>
        <v>-74334.09</v>
      </c>
      <c r="DG54" s="782">
        <f t="shared" ref="DG54" si="105">+DG53+DF54</f>
        <v>-74587.66</v>
      </c>
      <c r="DH54" s="782">
        <f t="shared" ref="DH54" si="106">+DH53+DG54</f>
        <v>-75200.63</v>
      </c>
      <c r="DI54" s="782">
        <f t="shared" ref="DI54" si="107">+DI53+DH54</f>
        <v>-92013.73000000001</v>
      </c>
      <c r="DJ54" s="782">
        <f t="shared" ref="DJ54" si="108">+DJ53+DI54</f>
        <v>-106570.40530000001</v>
      </c>
      <c r="DK54" s="782">
        <f t="shared" ref="DK54" si="109">+DK53+DJ54</f>
        <v>-114817.57530000001</v>
      </c>
      <c r="DL54" s="903">
        <f>+DL52-DK54</f>
        <v>0</v>
      </c>
      <c r="DM54" s="729">
        <f>+DM53</f>
        <v>-932.24999999999989</v>
      </c>
      <c r="DN54" s="729">
        <f>+DN53+DM54</f>
        <v>156402.29999999999</v>
      </c>
      <c r="DO54" s="729">
        <f t="shared" ref="DO54" si="110">+DO53+DN54</f>
        <v>156106.13999999998</v>
      </c>
      <c r="DP54" s="729">
        <f t="shared" ref="DP54" si="111">+DP53+DO54</f>
        <v>232408.43999999997</v>
      </c>
      <c r="DQ54" s="729">
        <f t="shared" ref="DQ54" si="112">+DQ53+DP54</f>
        <v>231475.29999999996</v>
      </c>
      <c r="DR54" s="729">
        <f t="shared" ref="DR54" si="113">+DR53+DQ54</f>
        <v>231179.13999999996</v>
      </c>
      <c r="DS54" s="729">
        <f t="shared" ref="DS54" si="114">+DS53+DR54</f>
        <v>230882.97999999995</v>
      </c>
      <c r="DT54" s="729">
        <f t="shared" ref="DT54" si="115">+DT53+DS54</f>
        <v>230586.81999999995</v>
      </c>
      <c r="DU54" s="729">
        <f t="shared" ref="DU54" si="116">+DU53+DT54</f>
        <v>230164.31999999995</v>
      </c>
      <c r="DV54" s="729">
        <f t="shared" ref="DV54" si="117">+DV53+DU54</f>
        <v>229868.15999999995</v>
      </c>
      <c r="DW54" s="729">
        <f t="shared" ref="DW54" si="118">+DW53+DV54</f>
        <v>229571.99999999994</v>
      </c>
      <c r="DX54" s="729">
        <f t="shared" ref="DX54" si="119">+DX53+DW54</f>
        <v>229275.83999999994</v>
      </c>
      <c r="DY54" s="747">
        <f>+DY52-DX54</f>
        <v>0</v>
      </c>
      <c r="DZ54" s="480"/>
      <c r="EA54" s="480"/>
      <c r="EB54" s="480"/>
      <c r="EC54" s="480"/>
      <c r="ED54" s="480"/>
      <c r="EE54" s="480"/>
      <c r="EF54" s="480"/>
      <c r="EG54" s="480"/>
      <c r="EH54" s="480"/>
      <c r="EI54" s="480"/>
      <c r="EJ54" s="480"/>
      <c r="EK54" s="480"/>
    </row>
    <row r="55" spans="1:141" s="481" customFormat="1">
      <c r="A55" s="480"/>
      <c r="B55" s="480"/>
      <c r="C55" s="480"/>
      <c r="D55" s="480"/>
      <c r="E55" s="480"/>
      <c r="F55" s="480"/>
      <c r="G55" s="480"/>
      <c r="H55" s="480"/>
      <c r="I55" s="480"/>
      <c r="J55" s="480"/>
      <c r="K55" s="480"/>
      <c r="L55" s="480"/>
      <c r="M55" s="480"/>
      <c r="N55" s="480"/>
      <c r="O55" s="480"/>
      <c r="P55" s="480"/>
      <c r="Q55" s="480"/>
      <c r="R55" s="480"/>
      <c r="S55" s="480"/>
      <c r="T55" s="480"/>
      <c r="U55" s="480"/>
      <c r="V55" s="480"/>
      <c r="W55" s="480"/>
      <c r="X55" s="480"/>
      <c r="Y55" s="480"/>
      <c r="Z55" s="480"/>
      <c r="AA55" s="480"/>
      <c r="AD55" s="480"/>
      <c r="AE55" s="480"/>
      <c r="AF55" s="480"/>
      <c r="AG55" s="480"/>
      <c r="AH55" s="480"/>
      <c r="AI55" s="480"/>
      <c r="AJ55" s="480"/>
      <c r="AK55" s="480"/>
      <c r="AL55" s="480"/>
      <c r="AM55" s="480"/>
      <c r="AN55" s="480"/>
      <c r="AO55" s="480"/>
      <c r="AP55" s="480"/>
      <c r="AQ55" s="480"/>
      <c r="AR55" s="480"/>
      <c r="AS55" s="480"/>
      <c r="AT55" s="480"/>
      <c r="AU55" s="480"/>
      <c r="AV55" s="480"/>
      <c r="AW55" s="480"/>
      <c r="AX55" s="480"/>
      <c r="AY55" s="480"/>
      <c r="AZ55" s="480"/>
      <c r="BA55" s="480"/>
      <c r="BB55" s="480"/>
      <c r="BC55" s="480"/>
      <c r="BD55" s="480"/>
      <c r="BE55" s="480"/>
      <c r="BF55" s="480"/>
      <c r="BG55" s="480"/>
      <c r="BH55" s="480"/>
      <c r="BI55" s="480"/>
      <c r="BJ55" s="480"/>
      <c r="BK55" s="480"/>
      <c r="BL55" s="480"/>
      <c r="BM55" s="480"/>
      <c r="BN55" s="480"/>
      <c r="BO55" s="480"/>
      <c r="BP55" s="480"/>
      <c r="BQ55" s="480"/>
      <c r="BR55" s="480"/>
      <c r="BS55" s="480"/>
      <c r="BT55" s="480"/>
      <c r="BU55" s="480"/>
      <c r="BV55" s="480"/>
      <c r="BW55" s="480"/>
      <c r="BX55" s="480"/>
      <c r="BY55" s="480"/>
      <c r="BZ55" s="480"/>
      <c r="CA55" s="480"/>
      <c r="CB55" s="480"/>
      <c r="CC55" s="480"/>
      <c r="CD55" s="480"/>
      <c r="CE55" s="480"/>
      <c r="CF55" s="480"/>
      <c r="CG55" s="480"/>
      <c r="CH55" s="480"/>
      <c r="CI55" s="480"/>
      <c r="CJ55" s="480"/>
      <c r="CK55" s="482"/>
      <c r="CL55" s="480"/>
      <c r="CM55" s="480"/>
      <c r="CN55" s="480"/>
      <c r="CO55" s="480"/>
      <c r="CP55" s="480"/>
      <c r="CQ55" s="480"/>
      <c r="CR55" s="480"/>
      <c r="CS55" s="480"/>
      <c r="CT55" s="480"/>
      <c r="CU55" s="480"/>
      <c r="CV55" s="480"/>
      <c r="CW55" s="480"/>
      <c r="CX55" s="480"/>
      <c r="CY55" s="482"/>
      <c r="CZ55" s="527"/>
      <c r="DA55" s="527"/>
      <c r="DB55" s="527"/>
      <c r="DC55" s="527"/>
      <c r="DD55" s="527"/>
      <c r="DE55" s="527"/>
      <c r="DF55" s="527"/>
      <c r="DG55" s="527"/>
      <c r="DH55" s="527"/>
      <c r="DI55" s="527"/>
      <c r="DJ55" s="527"/>
      <c r="DK55" s="527"/>
      <c r="DL55" s="856"/>
      <c r="DM55" s="480"/>
      <c r="DN55" s="480"/>
      <c r="DO55" s="480"/>
      <c r="DP55" s="480"/>
      <c r="DQ55" s="480"/>
      <c r="DR55" s="480"/>
      <c r="DS55" s="480"/>
      <c r="DT55" s="480"/>
      <c r="DU55" s="480"/>
      <c r="DV55" s="480"/>
      <c r="DW55" s="480"/>
      <c r="DX55" s="480"/>
      <c r="DY55" s="482"/>
      <c r="DZ55" s="480"/>
      <c r="EA55" s="480"/>
      <c r="EB55" s="480"/>
      <c r="EC55" s="480"/>
      <c r="ED55" s="480"/>
      <c r="EE55" s="480"/>
      <c r="EF55" s="480"/>
      <c r="EG55" s="480"/>
      <c r="EH55" s="480"/>
      <c r="EI55" s="480"/>
      <c r="EJ55" s="480"/>
      <c r="EK55" s="480"/>
    </row>
    <row r="56" spans="1:141" s="481" customFormat="1">
      <c r="A56" s="480"/>
      <c r="B56" s="480"/>
      <c r="C56" s="480"/>
      <c r="D56" s="480"/>
      <c r="E56" s="480"/>
      <c r="F56" s="480"/>
      <c r="G56" s="480"/>
      <c r="H56" s="480"/>
      <c r="I56" s="480"/>
      <c r="J56" s="480"/>
      <c r="K56" s="480"/>
      <c r="L56" s="480"/>
      <c r="M56" s="480"/>
      <c r="N56" s="480"/>
      <c r="O56" s="480"/>
      <c r="P56" s="480"/>
      <c r="Q56" s="480"/>
      <c r="R56" s="480"/>
      <c r="S56" s="480"/>
      <c r="T56" s="480"/>
      <c r="U56" s="480"/>
      <c r="V56" s="480"/>
      <c r="W56" s="480"/>
      <c r="X56" s="480"/>
      <c r="Y56" s="480"/>
      <c r="Z56" s="480"/>
      <c r="AA56" s="480"/>
      <c r="AD56" s="480"/>
      <c r="AE56" s="480"/>
      <c r="AF56" s="480"/>
      <c r="AG56" s="480"/>
      <c r="AH56" s="480"/>
      <c r="AI56" s="480"/>
      <c r="AJ56" s="480"/>
      <c r="AK56" s="480"/>
      <c r="AL56" s="480"/>
      <c r="AM56" s="480"/>
      <c r="AN56" s="480"/>
      <c r="AO56" s="480"/>
      <c r="AP56" s="480"/>
      <c r="AQ56" s="480"/>
      <c r="AR56" s="480"/>
      <c r="AS56" s="480"/>
      <c r="AT56" s="480"/>
      <c r="AU56" s="480"/>
      <c r="AV56" s="480"/>
      <c r="AW56" s="480"/>
      <c r="AX56" s="480"/>
      <c r="AY56" s="480"/>
      <c r="AZ56" s="480"/>
      <c r="BA56" s="480"/>
      <c r="BB56" s="480"/>
      <c r="BC56" s="480"/>
      <c r="BD56" s="480"/>
      <c r="BE56" s="480"/>
      <c r="BF56" s="480"/>
      <c r="BG56" s="480"/>
      <c r="BH56" s="480"/>
      <c r="BI56" s="480"/>
      <c r="BJ56" s="480"/>
      <c r="BK56" s="480"/>
      <c r="BL56" s="480"/>
      <c r="BM56" s="480"/>
      <c r="BN56" s="480"/>
      <c r="BO56" s="480"/>
      <c r="BP56" s="480"/>
      <c r="BQ56" s="480"/>
      <c r="BR56" s="480"/>
      <c r="BS56" s="480"/>
      <c r="BT56" s="480"/>
      <c r="BU56" s="480"/>
      <c r="BV56" s="480"/>
      <c r="BW56" s="480"/>
      <c r="BX56" s="480"/>
      <c r="BY56" s="480"/>
      <c r="BZ56" s="480"/>
      <c r="CA56" s="480"/>
      <c r="CB56" s="480"/>
      <c r="CC56" s="480"/>
      <c r="CD56" s="480"/>
      <c r="CE56" s="480"/>
      <c r="CF56" s="480"/>
      <c r="CG56" s="480"/>
      <c r="CH56" s="480"/>
      <c r="CI56" s="480"/>
      <c r="CJ56" s="480"/>
      <c r="CK56" s="482"/>
      <c r="CL56" s="480"/>
      <c r="CM56" s="480"/>
      <c r="CN56" s="480"/>
      <c r="CO56" s="480"/>
      <c r="CP56" s="480"/>
      <c r="CQ56" s="480"/>
      <c r="CR56" s="480"/>
      <c r="CS56" s="480"/>
      <c r="CT56" s="480"/>
      <c r="CU56" s="480"/>
      <c r="CV56" s="480"/>
      <c r="CW56" s="480"/>
      <c r="CX56" s="480"/>
      <c r="CY56" s="482"/>
      <c r="CZ56" s="480"/>
      <c r="DA56" s="480"/>
      <c r="DB56" s="480"/>
      <c r="DC56" s="480"/>
      <c r="DD56" s="480"/>
      <c r="DE56" s="480"/>
      <c r="DF56" s="480"/>
      <c r="DG56" s="480"/>
      <c r="DH56" s="480"/>
      <c r="DI56" s="480"/>
      <c r="DJ56" s="480"/>
      <c r="DK56" s="480"/>
      <c r="DL56" s="482"/>
      <c r="DM56" s="480"/>
      <c r="DN56" s="480"/>
      <c r="DO56" s="480"/>
      <c r="DP56" s="480"/>
      <c r="DQ56" s="480"/>
      <c r="DR56" s="480"/>
      <c r="DS56" s="480"/>
      <c r="DT56" s="480"/>
      <c r="DU56" s="480"/>
      <c r="DV56" s="480"/>
      <c r="DW56" s="480"/>
      <c r="DX56" s="480"/>
      <c r="DY56" s="482"/>
      <c r="DZ56" s="480"/>
      <c r="EA56" s="480"/>
      <c r="EB56" s="480"/>
      <c r="EC56" s="480"/>
      <c r="ED56" s="480"/>
      <c r="EE56" s="480"/>
      <c r="EF56" s="480"/>
      <c r="EG56" s="480"/>
      <c r="EH56" s="480"/>
      <c r="EI56" s="480"/>
      <c r="EJ56" s="480"/>
      <c r="EK56" s="480"/>
    </row>
    <row r="57" spans="1:141" s="481" customFormat="1">
      <c r="A57" s="480"/>
      <c r="B57" s="480"/>
      <c r="C57" s="480"/>
      <c r="D57" s="480"/>
      <c r="E57" s="480"/>
      <c r="F57" s="480"/>
      <c r="G57" s="480"/>
      <c r="H57" s="480"/>
      <c r="I57" s="480"/>
      <c r="J57" s="480"/>
      <c r="K57" s="480"/>
      <c r="L57" s="480"/>
      <c r="M57" s="480"/>
      <c r="N57" s="480"/>
      <c r="O57" s="480"/>
      <c r="P57" s="480"/>
      <c r="Q57" s="480"/>
      <c r="R57" s="480"/>
      <c r="S57" s="480"/>
      <c r="T57" s="480"/>
      <c r="U57" s="480"/>
      <c r="V57" s="480"/>
      <c r="W57" s="480"/>
      <c r="X57" s="480"/>
      <c r="Y57" s="480"/>
      <c r="Z57" s="480"/>
      <c r="AA57" s="480"/>
      <c r="AD57" s="480"/>
      <c r="AE57" s="480"/>
      <c r="AF57" s="480"/>
      <c r="AG57" s="480"/>
      <c r="AH57" s="480"/>
      <c r="AI57" s="480"/>
      <c r="AJ57" s="480"/>
      <c r="AK57" s="480"/>
      <c r="AL57" s="480"/>
      <c r="AM57" s="480"/>
      <c r="AN57" s="480"/>
      <c r="AO57" s="480"/>
      <c r="AP57" s="480"/>
      <c r="AQ57" s="480"/>
      <c r="AR57" s="480"/>
      <c r="AS57" s="480"/>
      <c r="AT57" s="480"/>
      <c r="AU57" s="480"/>
      <c r="AV57" s="480"/>
      <c r="AW57" s="480"/>
      <c r="AX57" s="480"/>
      <c r="AY57" s="480"/>
      <c r="AZ57" s="480"/>
      <c r="BA57" s="480"/>
      <c r="BB57" s="480"/>
      <c r="BC57" s="480"/>
      <c r="BD57" s="480"/>
      <c r="BE57" s="480"/>
      <c r="BF57" s="480"/>
      <c r="BG57" s="480"/>
      <c r="BH57" s="480"/>
      <c r="BI57" s="480"/>
      <c r="BJ57" s="480"/>
      <c r="BK57" s="480"/>
      <c r="BL57" s="480"/>
      <c r="BM57" s="480"/>
      <c r="BN57" s="480"/>
      <c r="BO57" s="480"/>
      <c r="BP57" s="480"/>
      <c r="BQ57" s="480"/>
      <c r="BR57" s="480"/>
      <c r="BS57" s="480"/>
      <c r="BT57" s="480"/>
      <c r="BU57" s="480"/>
      <c r="BV57" s="480"/>
      <c r="BW57" s="480"/>
      <c r="BX57" s="480"/>
      <c r="BY57" s="480"/>
      <c r="BZ57" s="480"/>
      <c r="CA57" s="480"/>
      <c r="CB57" s="480"/>
      <c r="CC57" s="480"/>
      <c r="CD57" s="480"/>
      <c r="CE57" s="480"/>
      <c r="CF57" s="480"/>
      <c r="CG57" s="480"/>
      <c r="CH57" s="480"/>
      <c r="CI57" s="480"/>
      <c r="CJ57" s="480"/>
      <c r="CK57" s="482"/>
      <c r="CL57" s="480"/>
      <c r="CM57" s="480"/>
      <c r="CN57" s="480"/>
      <c r="CO57" s="480"/>
      <c r="CP57" s="480"/>
      <c r="CQ57" s="480"/>
      <c r="CR57" s="480"/>
      <c r="CS57" s="480"/>
      <c r="CT57" s="480"/>
      <c r="CU57" s="480"/>
      <c r="CV57" s="480"/>
      <c r="CW57" s="480"/>
      <c r="CX57" s="480"/>
      <c r="CY57" s="482"/>
      <c r="CZ57" s="480"/>
      <c r="DA57" s="480"/>
      <c r="DB57" s="480"/>
      <c r="DC57" s="480"/>
      <c r="DD57" s="480"/>
      <c r="DE57" s="480"/>
      <c r="DF57" s="480"/>
      <c r="DG57" s="480"/>
      <c r="DH57" s="480"/>
      <c r="DI57" s="480"/>
      <c r="DJ57" s="480"/>
      <c r="DK57" s="480"/>
      <c r="DL57" s="482"/>
      <c r="DM57" s="480"/>
      <c r="DN57" s="480"/>
      <c r="DO57" s="480"/>
      <c r="DP57" s="480"/>
      <c r="DQ57" s="480"/>
      <c r="DR57" s="480"/>
      <c r="DS57" s="480"/>
      <c r="DT57" s="480"/>
      <c r="DU57" s="480"/>
      <c r="DV57" s="480"/>
      <c r="DW57" s="480"/>
      <c r="DX57" s="480"/>
      <c r="DY57" s="482"/>
      <c r="DZ57" s="480"/>
      <c r="EA57" s="480"/>
      <c r="EB57" s="480"/>
      <c r="EC57" s="480"/>
      <c r="ED57" s="480"/>
      <c r="EE57" s="480"/>
      <c r="EF57" s="480"/>
      <c r="EG57" s="480"/>
      <c r="EH57" s="480"/>
      <c r="EI57" s="480"/>
      <c r="EJ57" s="480"/>
      <c r="EK57" s="480"/>
    </row>
    <row r="58" spans="1:141" s="481" customFormat="1">
      <c r="A58" s="480"/>
      <c r="B58" s="480"/>
      <c r="C58" s="480"/>
      <c r="D58" s="480"/>
      <c r="E58" s="480"/>
      <c r="F58" s="480"/>
      <c r="G58" s="480"/>
      <c r="H58" s="480"/>
      <c r="I58" s="480"/>
      <c r="J58" s="480"/>
      <c r="K58" s="480"/>
      <c r="L58" s="480"/>
      <c r="M58" s="480"/>
      <c r="N58" s="480"/>
      <c r="O58" s="480"/>
      <c r="P58" s="480"/>
      <c r="Q58" s="480"/>
      <c r="R58" s="480"/>
      <c r="S58" s="480"/>
      <c r="T58" s="480"/>
      <c r="U58" s="480"/>
      <c r="V58" s="480"/>
      <c r="W58" s="480"/>
      <c r="X58" s="480"/>
      <c r="Y58" s="480"/>
      <c r="Z58" s="480"/>
      <c r="AA58" s="480"/>
      <c r="AD58" s="480"/>
      <c r="AE58" s="480"/>
      <c r="AF58" s="480"/>
      <c r="AG58" s="480"/>
      <c r="AH58" s="480"/>
      <c r="AI58" s="480"/>
      <c r="AJ58" s="480"/>
      <c r="AK58" s="480"/>
      <c r="AL58" s="480"/>
      <c r="AM58" s="480"/>
      <c r="AN58" s="480"/>
      <c r="AO58" s="480"/>
      <c r="AP58" s="480"/>
      <c r="AQ58" s="480"/>
      <c r="AR58" s="480"/>
      <c r="AS58" s="480"/>
      <c r="AT58" s="480"/>
      <c r="AU58" s="480"/>
      <c r="AV58" s="480"/>
      <c r="AW58" s="480"/>
      <c r="AX58" s="480"/>
      <c r="AY58" s="480"/>
      <c r="AZ58" s="480"/>
      <c r="BA58" s="480"/>
      <c r="BB58" s="480"/>
      <c r="BC58" s="480"/>
      <c r="BD58" s="480"/>
      <c r="BE58" s="480"/>
      <c r="BF58" s="480"/>
      <c r="BG58" s="480"/>
      <c r="BH58" s="480"/>
      <c r="BI58" s="480"/>
      <c r="BJ58" s="480"/>
      <c r="BK58" s="480"/>
      <c r="BL58" s="480"/>
      <c r="BM58" s="480"/>
      <c r="BN58" s="480"/>
      <c r="BO58" s="480"/>
      <c r="BP58" s="480"/>
      <c r="BQ58" s="480"/>
      <c r="BR58" s="480"/>
      <c r="BS58" s="480"/>
      <c r="BT58" s="480"/>
      <c r="BU58" s="480"/>
      <c r="BV58" s="480"/>
      <c r="BW58" s="480"/>
      <c r="BX58" s="480"/>
      <c r="BY58" s="480"/>
      <c r="BZ58" s="480"/>
      <c r="CA58" s="480"/>
      <c r="CB58" s="480"/>
      <c r="CC58" s="480"/>
      <c r="CD58" s="480"/>
      <c r="CE58" s="480"/>
      <c r="CF58" s="480"/>
      <c r="CG58" s="480"/>
      <c r="CH58" s="480"/>
      <c r="CI58" s="480"/>
      <c r="CJ58" s="480"/>
      <c r="CK58" s="482"/>
      <c r="CL58" s="480"/>
      <c r="CM58" s="480"/>
      <c r="CN58" s="480"/>
      <c r="CO58" s="480"/>
      <c r="CP58" s="480"/>
      <c r="CQ58" s="480"/>
      <c r="CR58" s="480"/>
      <c r="CS58" s="480"/>
      <c r="CT58" s="480"/>
      <c r="CU58" s="480"/>
      <c r="CV58" s="480"/>
      <c r="CW58" s="480"/>
      <c r="CX58" s="480"/>
      <c r="CY58" s="482"/>
      <c r="CZ58" s="480"/>
      <c r="DA58" s="480"/>
      <c r="DB58" s="480"/>
      <c r="DC58" s="480"/>
      <c r="DD58" s="480"/>
      <c r="DE58" s="480"/>
      <c r="DF58" s="480"/>
      <c r="DG58" s="480"/>
      <c r="DH58" s="480"/>
      <c r="DI58" s="480"/>
      <c r="DJ58" s="480"/>
      <c r="DK58" s="480"/>
      <c r="DL58" s="482"/>
      <c r="DM58" s="480"/>
      <c r="DN58" s="480"/>
      <c r="DO58" s="480"/>
      <c r="DP58" s="480"/>
      <c r="DQ58" s="480"/>
      <c r="DR58" s="480"/>
      <c r="DS58" s="480"/>
      <c r="DT58" s="480"/>
      <c r="DU58" s="480"/>
      <c r="DV58" s="480"/>
      <c r="DW58" s="480"/>
      <c r="DX58" s="480"/>
      <c r="DY58" s="482"/>
      <c r="DZ58" s="480"/>
      <c r="EA58" s="480"/>
      <c r="EB58" s="480"/>
      <c r="EC58" s="480"/>
      <c r="ED58" s="480"/>
      <c r="EE58" s="480"/>
      <c r="EF58" s="480"/>
      <c r="EG58" s="480"/>
      <c r="EH58" s="480"/>
      <c r="EI58" s="480"/>
      <c r="EJ58" s="480"/>
      <c r="EK58" s="480"/>
    </row>
    <row r="59" spans="1:141" s="481" customFormat="1">
      <c r="A59" s="480"/>
      <c r="B59" s="480"/>
      <c r="C59" s="480"/>
      <c r="D59" s="480"/>
      <c r="E59" s="480"/>
      <c r="F59" s="480"/>
      <c r="G59" s="480"/>
      <c r="H59" s="480"/>
      <c r="I59" s="480"/>
      <c r="J59" s="480"/>
      <c r="K59" s="480"/>
      <c r="L59" s="480"/>
      <c r="M59" s="480"/>
      <c r="N59" s="480"/>
      <c r="O59" s="480"/>
      <c r="P59" s="480"/>
      <c r="Q59" s="480"/>
      <c r="R59" s="480"/>
      <c r="S59" s="480"/>
      <c r="T59" s="480"/>
      <c r="U59" s="480"/>
      <c r="V59" s="480"/>
      <c r="W59" s="480"/>
      <c r="X59" s="480"/>
      <c r="Y59" s="480"/>
      <c r="Z59" s="480"/>
      <c r="AA59" s="480"/>
      <c r="AD59" s="480"/>
      <c r="AE59" s="480"/>
      <c r="AF59" s="480"/>
      <c r="AG59" s="480"/>
      <c r="AH59" s="480"/>
      <c r="AI59" s="480"/>
      <c r="AJ59" s="480"/>
      <c r="AK59" s="480"/>
      <c r="AL59" s="480"/>
      <c r="AM59" s="480"/>
      <c r="AN59" s="480"/>
      <c r="AO59" s="480"/>
      <c r="AP59" s="480"/>
      <c r="AQ59" s="480"/>
      <c r="AR59" s="480"/>
      <c r="AS59" s="480"/>
      <c r="AT59" s="480"/>
      <c r="AU59" s="480"/>
      <c r="AV59" s="480"/>
      <c r="AW59" s="480"/>
      <c r="AX59" s="480"/>
      <c r="AY59" s="480"/>
      <c r="AZ59" s="480"/>
      <c r="BA59" s="480"/>
      <c r="BB59" s="480"/>
      <c r="BC59" s="480"/>
      <c r="BD59" s="480"/>
      <c r="BE59" s="480"/>
      <c r="BF59" s="480"/>
      <c r="BG59" s="480"/>
      <c r="BH59" s="480"/>
      <c r="BI59" s="480"/>
      <c r="BJ59" s="480"/>
      <c r="BK59" s="480"/>
      <c r="BL59" s="480"/>
      <c r="BM59" s="480"/>
      <c r="BN59" s="480"/>
      <c r="BO59" s="480"/>
      <c r="BP59" s="480"/>
      <c r="BQ59" s="480"/>
      <c r="BR59" s="480"/>
      <c r="BS59" s="480"/>
      <c r="BT59" s="480"/>
      <c r="BU59" s="480"/>
      <c r="BV59" s="480"/>
      <c r="BW59" s="480"/>
      <c r="BX59" s="480"/>
      <c r="BY59" s="480"/>
      <c r="BZ59" s="480"/>
      <c r="CA59" s="480"/>
      <c r="CB59" s="480"/>
      <c r="CC59" s="480"/>
      <c r="CD59" s="480"/>
      <c r="CE59" s="480"/>
      <c r="CF59" s="480"/>
      <c r="CG59" s="480"/>
      <c r="CH59" s="480"/>
      <c r="CI59" s="480"/>
      <c r="CJ59" s="480"/>
      <c r="CK59" s="482"/>
      <c r="CL59" s="480"/>
      <c r="CM59" s="480"/>
      <c r="CN59" s="480"/>
      <c r="CO59" s="480"/>
      <c r="CP59" s="480"/>
      <c r="CQ59" s="480"/>
      <c r="CR59" s="480"/>
      <c r="CS59" s="480"/>
      <c r="CT59" s="480"/>
      <c r="CU59" s="480"/>
      <c r="CV59" s="480"/>
      <c r="CW59" s="480"/>
      <c r="CX59" s="480"/>
      <c r="CY59" s="482"/>
      <c r="CZ59" s="480"/>
      <c r="DA59" s="480"/>
      <c r="DB59" s="480"/>
      <c r="DC59" s="480"/>
      <c r="DD59" s="480"/>
      <c r="DE59" s="480"/>
      <c r="DF59" s="480"/>
      <c r="DG59" s="480"/>
      <c r="DH59" s="480"/>
      <c r="DI59" s="480"/>
      <c r="DJ59" s="480"/>
      <c r="DK59" s="480"/>
      <c r="DL59" s="482"/>
      <c r="DM59" s="480"/>
      <c r="DN59" s="480"/>
      <c r="DO59" s="480"/>
      <c r="DP59" s="480"/>
      <c r="DQ59" s="480"/>
      <c r="DR59" s="480"/>
      <c r="DS59" s="480"/>
      <c r="DT59" s="480"/>
      <c r="DU59" s="480"/>
      <c r="DV59" s="480"/>
      <c r="DW59" s="480"/>
      <c r="DX59" s="480"/>
      <c r="DY59" s="482"/>
      <c r="DZ59" s="480"/>
      <c r="EA59" s="480"/>
      <c r="EB59" s="480"/>
      <c r="EC59" s="480"/>
      <c r="ED59" s="480"/>
      <c r="EE59" s="480"/>
      <c r="EF59" s="480"/>
      <c r="EG59" s="480"/>
      <c r="EH59" s="480"/>
      <c r="EI59" s="480"/>
      <c r="EJ59" s="480"/>
      <c r="EK59" s="480"/>
    </row>
    <row r="60" spans="1:141" s="481" customFormat="1">
      <c r="A60" s="480"/>
      <c r="B60" s="480"/>
      <c r="C60" s="480"/>
      <c r="D60" s="480"/>
      <c r="E60" s="480"/>
      <c r="F60" s="480"/>
      <c r="G60" s="480"/>
      <c r="H60" s="480"/>
      <c r="I60" s="480"/>
      <c r="J60" s="480"/>
      <c r="K60" s="480"/>
      <c r="L60" s="480"/>
      <c r="M60" s="480"/>
      <c r="N60" s="480"/>
      <c r="O60" s="480"/>
      <c r="P60" s="480"/>
      <c r="Q60" s="480"/>
      <c r="R60" s="480"/>
      <c r="S60" s="480"/>
      <c r="T60" s="480"/>
      <c r="U60" s="480"/>
      <c r="V60" s="480"/>
      <c r="W60" s="480"/>
      <c r="X60" s="480"/>
      <c r="Y60" s="480"/>
      <c r="Z60" s="480"/>
      <c r="AA60" s="480"/>
      <c r="AD60" s="480"/>
      <c r="AE60" s="480"/>
      <c r="AF60" s="480"/>
      <c r="AG60" s="480"/>
      <c r="AH60" s="480"/>
      <c r="AI60" s="480"/>
      <c r="AJ60" s="480"/>
      <c r="AK60" s="480"/>
      <c r="AL60" s="480"/>
      <c r="AM60" s="480"/>
      <c r="AN60" s="480"/>
      <c r="AO60" s="480"/>
      <c r="AP60" s="480"/>
      <c r="AQ60" s="480"/>
      <c r="AR60" s="480"/>
      <c r="AS60" s="480"/>
      <c r="AT60" s="480"/>
      <c r="AU60" s="480"/>
      <c r="AV60" s="480"/>
      <c r="AW60" s="480"/>
      <c r="AX60" s="480"/>
      <c r="AY60" s="480"/>
      <c r="AZ60" s="480"/>
      <c r="BA60" s="480"/>
      <c r="BB60" s="480"/>
      <c r="BC60" s="480"/>
      <c r="BD60" s="480"/>
      <c r="BE60" s="480"/>
      <c r="BF60" s="480"/>
      <c r="BG60" s="480"/>
      <c r="BH60" s="480"/>
      <c r="BI60" s="480"/>
      <c r="BJ60" s="480"/>
      <c r="BK60" s="480"/>
      <c r="BL60" s="480"/>
      <c r="BM60" s="480"/>
      <c r="BN60" s="480"/>
      <c r="BO60" s="480"/>
      <c r="BP60" s="480"/>
      <c r="BQ60" s="480"/>
      <c r="BR60" s="480"/>
      <c r="BS60" s="480"/>
      <c r="BT60" s="480"/>
      <c r="BU60" s="480"/>
      <c r="BV60" s="480"/>
      <c r="BW60" s="480"/>
      <c r="BX60" s="480"/>
      <c r="BY60" s="480"/>
      <c r="BZ60" s="480"/>
      <c r="CA60" s="480"/>
      <c r="CB60" s="480"/>
      <c r="CC60" s="480"/>
      <c r="CD60" s="480"/>
      <c r="CE60" s="480"/>
      <c r="CF60" s="480"/>
      <c r="CG60" s="480"/>
      <c r="CH60" s="480"/>
      <c r="CI60" s="480"/>
      <c r="CJ60" s="480"/>
      <c r="CK60" s="482"/>
      <c r="CL60" s="480"/>
      <c r="CM60" s="480"/>
      <c r="CN60" s="480"/>
      <c r="CO60" s="480"/>
      <c r="CP60" s="480"/>
      <c r="CQ60" s="480"/>
      <c r="CR60" s="480"/>
      <c r="CS60" s="480"/>
      <c r="CT60" s="480"/>
      <c r="CU60" s="480"/>
      <c r="CV60" s="480"/>
      <c r="CW60" s="480"/>
      <c r="CX60" s="480"/>
      <c r="CY60" s="482"/>
      <c r="CZ60" s="480"/>
      <c r="DA60" s="480"/>
      <c r="DB60" s="480"/>
      <c r="DC60" s="480"/>
      <c r="DD60" s="480"/>
      <c r="DE60" s="480"/>
      <c r="DF60" s="480"/>
      <c r="DG60" s="480"/>
      <c r="DH60" s="480"/>
      <c r="DI60" s="480"/>
      <c r="DJ60" s="480"/>
      <c r="DK60" s="480"/>
      <c r="DL60" s="482"/>
      <c r="DM60" s="480"/>
      <c r="DN60" s="480"/>
      <c r="DO60" s="480"/>
      <c r="DP60" s="480"/>
      <c r="DQ60" s="480"/>
      <c r="DR60" s="480"/>
      <c r="DS60" s="480"/>
      <c r="DT60" s="480"/>
      <c r="DU60" s="480"/>
      <c r="DV60" s="480"/>
      <c r="DW60" s="480"/>
      <c r="DX60" s="480"/>
      <c r="DY60" s="482"/>
      <c r="DZ60" s="480"/>
      <c r="EA60" s="480"/>
      <c r="EB60" s="480"/>
      <c r="EC60" s="480"/>
      <c r="ED60" s="480"/>
      <c r="EE60" s="480"/>
      <c r="EF60" s="480"/>
      <c r="EG60" s="480"/>
      <c r="EH60" s="480"/>
      <c r="EI60" s="480"/>
      <c r="EJ60" s="480"/>
      <c r="EK60" s="480"/>
    </row>
    <row r="61" spans="1:141" s="481" customFormat="1">
      <c r="A61" s="480"/>
      <c r="B61" s="480"/>
      <c r="C61" s="480"/>
      <c r="D61" s="480"/>
      <c r="E61" s="480"/>
      <c r="F61" s="480"/>
      <c r="G61" s="480"/>
      <c r="H61" s="480"/>
      <c r="I61" s="480"/>
      <c r="J61" s="480"/>
      <c r="K61" s="480"/>
      <c r="L61" s="480"/>
      <c r="M61" s="480"/>
      <c r="N61" s="480"/>
      <c r="O61" s="480"/>
      <c r="P61" s="480"/>
      <c r="Q61" s="480"/>
      <c r="R61" s="480"/>
      <c r="S61" s="480"/>
      <c r="T61" s="480"/>
      <c r="U61" s="480"/>
      <c r="V61" s="480"/>
      <c r="W61" s="480"/>
      <c r="X61" s="480"/>
      <c r="Y61" s="480"/>
      <c r="Z61" s="480"/>
      <c r="AA61" s="480"/>
      <c r="AD61" s="480"/>
      <c r="AE61" s="480"/>
      <c r="AF61" s="480"/>
      <c r="AG61" s="480"/>
      <c r="AH61" s="480"/>
      <c r="AI61" s="480"/>
      <c r="AJ61" s="480"/>
      <c r="AK61" s="480"/>
      <c r="AL61" s="480"/>
      <c r="AM61" s="480"/>
      <c r="AN61" s="480"/>
      <c r="AO61" s="480"/>
      <c r="AP61" s="480"/>
      <c r="AQ61" s="480"/>
      <c r="AR61" s="480"/>
      <c r="AS61" s="480"/>
      <c r="AT61" s="480"/>
      <c r="AU61" s="480"/>
      <c r="AV61" s="480"/>
      <c r="AW61" s="480"/>
      <c r="AX61" s="480"/>
      <c r="AY61" s="480"/>
      <c r="AZ61" s="480"/>
      <c r="BA61" s="480"/>
      <c r="BB61" s="480"/>
      <c r="BC61" s="480"/>
      <c r="BD61" s="480"/>
      <c r="BE61" s="480"/>
      <c r="BF61" s="480"/>
      <c r="BG61" s="480"/>
      <c r="BH61" s="480"/>
      <c r="BI61" s="480"/>
      <c r="BJ61" s="480"/>
      <c r="BK61" s="480"/>
      <c r="BL61" s="480"/>
      <c r="BM61" s="480"/>
      <c r="BN61" s="480"/>
      <c r="BO61" s="480"/>
      <c r="BP61" s="480"/>
      <c r="BQ61" s="480"/>
      <c r="BR61" s="480"/>
      <c r="BS61" s="480"/>
      <c r="BT61" s="480"/>
      <c r="BU61" s="480"/>
      <c r="BV61" s="480"/>
      <c r="BW61" s="480"/>
      <c r="BX61" s="480"/>
      <c r="BY61" s="480"/>
      <c r="BZ61" s="480"/>
      <c r="CA61" s="480"/>
      <c r="CB61" s="480"/>
      <c r="CC61" s="480"/>
      <c r="CD61" s="480"/>
      <c r="CE61" s="480"/>
      <c r="CF61" s="480"/>
      <c r="CG61" s="480"/>
      <c r="CH61" s="480"/>
      <c r="CI61" s="480"/>
      <c r="CJ61" s="480"/>
      <c r="CK61" s="482"/>
      <c r="CL61" s="480"/>
      <c r="CM61" s="480"/>
      <c r="CN61" s="480"/>
      <c r="CO61" s="480"/>
      <c r="CP61" s="480"/>
      <c r="CQ61" s="480"/>
      <c r="CR61" s="480"/>
      <c r="CS61" s="480"/>
      <c r="CT61" s="480"/>
      <c r="CU61" s="480"/>
      <c r="CV61" s="480"/>
      <c r="CW61" s="480"/>
      <c r="CX61" s="480"/>
      <c r="CY61" s="482"/>
      <c r="CZ61" s="480"/>
      <c r="DA61" s="480"/>
      <c r="DB61" s="480"/>
      <c r="DC61" s="480"/>
      <c r="DD61" s="480"/>
      <c r="DE61" s="480"/>
      <c r="DF61" s="480"/>
      <c r="DG61" s="480"/>
      <c r="DH61" s="480"/>
      <c r="DI61" s="480"/>
      <c r="DJ61" s="480"/>
      <c r="DK61" s="480"/>
      <c r="DL61" s="482"/>
      <c r="DM61" s="480"/>
      <c r="DN61" s="480"/>
      <c r="DO61" s="480"/>
      <c r="DP61" s="480"/>
      <c r="DQ61" s="480"/>
      <c r="DR61" s="480"/>
      <c r="DS61" s="480"/>
      <c r="DT61" s="480"/>
      <c r="DU61" s="480"/>
      <c r="DV61" s="480"/>
      <c r="DW61" s="480"/>
      <c r="DX61" s="480"/>
      <c r="DY61" s="482"/>
      <c r="DZ61" s="480"/>
      <c r="EA61" s="480"/>
      <c r="EB61" s="480"/>
      <c r="EC61" s="480"/>
      <c r="ED61" s="480"/>
      <c r="EE61" s="480"/>
      <c r="EF61" s="480"/>
      <c r="EG61" s="480"/>
      <c r="EH61" s="480"/>
      <c r="EI61" s="480"/>
      <c r="EJ61" s="480"/>
      <c r="EK61" s="480"/>
    </row>
    <row r="62" spans="1:141" s="481" customFormat="1">
      <c r="A62" s="480"/>
      <c r="B62" s="480"/>
      <c r="C62" s="480"/>
      <c r="D62" s="480"/>
      <c r="E62" s="480"/>
      <c r="F62" s="480"/>
      <c r="G62" s="480"/>
      <c r="H62" s="480"/>
      <c r="I62" s="480"/>
      <c r="J62" s="480"/>
      <c r="K62" s="480"/>
      <c r="L62" s="480"/>
      <c r="M62" s="480"/>
      <c r="N62" s="480"/>
      <c r="O62" s="480"/>
      <c r="P62" s="480"/>
      <c r="Q62" s="480"/>
      <c r="R62" s="480"/>
      <c r="S62" s="480"/>
      <c r="T62" s="480"/>
      <c r="U62" s="480"/>
      <c r="V62" s="480"/>
      <c r="W62" s="480"/>
      <c r="X62" s="480"/>
      <c r="Y62" s="480"/>
      <c r="Z62" s="480"/>
      <c r="AA62" s="480"/>
      <c r="AD62" s="480"/>
      <c r="AE62" s="480"/>
      <c r="AF62" s="480"/>
      <c r="AG62" s="480"/>
      <c r="AH62" s="480"/>
      <c r="AI62" s="480"/>
      <c r="AJ62" s="480"/>
      <c r="AK62" s="480"/>
      <c r="AL62" s="480"/>
      <c r="AM62" s="480"/>
      <c r="AN62" s="480"/>
      <c r="AO62" s="480"/>
      <c r="AP62" s="480"/>
      <c r="AQ62" s="480"/>
      <c r="AR62" s="480"/>
      <c r="AS62" s="480"/>
      <c r="AT62" s="480"/>
      <c r="AU62" s="480"/>
      <c r="AV62" s="480"/>
      <c r="AW62" s="480"/>
      <c r="AX62" s="480"/>
      <c r="AY62" s="480"/>
      <c r="AZ62" s="480"/>
      <c r="BA62" s="480"/>
      <c r="BB62" s="480"/>
      <c r="BC62" s="480"/>
      <c r="BD62" s="480"/>
      <c r="BE62" s="480"/>
      <c r="BF62" s="480"/>
      <c r="BG62" s="480"/>
      <c r="BH62" s="480"/>
      <c r="BI62" s="480"/>
      <c r="BJ62" s="480"/>
      <c r="BK62" s="480"/>
      <c r="BL62" s="480"/>
      <c r="BM62" s="480"/>
      <c r="BN62" s="480"/>
      <c r="BO62" s="480"/>
      <c r="BP62" s="480"/>
      <c r="BQ62" s="480"/>
      <c r="BR62" s="480"/>
      <c r="BS62" s="480"/>
      <c r="BT62" s="480"/>
      <c r="BU62" s="480"/>
      <c r="BV62" s="480"/>
      <c r="BW62" s="480"/>
      <c r="BX62" s="480"/>
      <c r="BY62" s="480"/>
      <c r="BZ62" s="480"/>
      <c r="CA62" s="480"/>
      <c r="CB62" s="480"/>
      <c r="CC62" s="480"/>
      <c r="CD62" s="480"/>
      <c r="CE62" s="480"/>
      <c r="CF62" s="480"/>
      <c r="CG62" s="480"/>
      <c r="CH62" s="480"/>
      <c r="CI62" s="480"/>
      <c r="CJ62" s="480"/>
      <c r="CK62" s="482"/>
      <c r="CL62" s="480"/>
      <c r="CM62" s="480"/>
      <c r="CN62" s="480"/>
      <c r="CO62" s="480"/>
      <c r="CP62" s="480"/>
      <c r="CQ62" s="480"/>
      <c r="CR62" s="480"/>
      <c r="CS62" s="480"/>
      <c r="CT62" s="480"/>
      <c r="CU62" s="480"/>
      <c r="CV62" s="480"/>
      <c r="CW62" s="480"/>
      <c r="CX62" s="480"/>
      <c r="CY62" s="482"/>
      <c r="CZ62" s="480"/>
      <c r="DA62" s="480"/>
      <c r="DB62" s="480"/>
      <c r="DC62" s="480"/>
      <c r="DD62" s="480"/>
      <c r="DE62" s="480"/>
      <c r="DF62" s="480"/>
      <c r="DG62" s="480"/>
      <c r="DH62" s="480"/>
      <c r="DI62" s="480"/>
      <c r="DJ62" s="480"/>
      <c r="DK62" s="480"/>
      <c r="DL62" s="482"/>
      <c r="DM62" s="480"/>
      <c r="DN62" s="480"/>
      <c r="DO62" s="480"/>
      <c r="DP62" s="480"/>
      <c r="DQ62" s="480"/>
      <c r="DR62" s="480"/>
      <c r="DS62" s="480"/>
      <c r="DT62" s="480"/>
      <c r="DU62" s="480"/>
      <c r="DV62" s="480"/>
      <c r="DW62" s="480"/>
      <c r="DX62" s="480"/>
      <c r="DY62" s="482"/>
      <c r="DZ62" s="480"/>
      <c r="EA62" s="480"/>
      <c r="EB62" s="480"/>
      <c r="EC62" s="480"/>
      <c r="ED62" s="480"/>
      <c r="EE62" s="480"/>
      <c r="EF62" s="480"/>
      <c r="EG62" s="480"/>
      <c r="EH62" s="480"/>
      <c r="EI62" s="480"/>
      <c r="EJ62" s="480"/>
      <c r="EK62" s="480"/>
    </row>
    <row r="63" spans="1:141" s="481" customFormat="1">
      <c r="A63" s="480"/>
      <c r="B63" s="480"/>
      <c r="C63" s="480"/>
      <c r="D63" s="480"/>
      <c r="E63" s="480"/>
      <c r="F63" s="480"/>
      <c r="G63" s="480"/>
      <c r="H63" s="480"/>
      <c r="I63" s="480"/>
      <c r="J63" s="480"/>
      <c r="K63" s="480"/>
      <c r="L63" s="480"/>
      <c r="M63" s="480"/>
      <c r="N63" s="480"/>
      <c r="O63" s="480"/>
      <c r="P63" s="480"/>
      <c r="Q63" s="480"/>
      <c r="R63" s="480"/>
      <c r="S63" s="480"/>
      <c r="T63" s="480"/>
      <c r="U63" s="480"/>
      <c r="V63" s="480"/>
      <c r="W63" s="480"/>
      <c r="X63" s="480"/>
      <c r="Y63" s="480"/>
      <c r="Z63" s="480"/>
      <c r="AA63" s="480"/>
      <c r="AD63" s="480"/>
      <c r="AE63" s="480"/>
      <c r="AF63" s="480"/>
      <c r="AG63" s="480"/>
      <c r="AH63" s="480"/>
      <c r="AI63" s="480"/>
      <c r="AJ63" s="480"/>
      <c r="AK63" s="480"/>
      <c r="AL63" s="480"/>
      <c r="AM63" s="480"/>
      <c r="AN63" s="480"/>
      <c r="AO63" s="480"/>
      <c r="AP63" s="480"/>
      <c r="AQ63" s="480"/>
      <c r="AR63" s="480"/>
      <c r="AS63" s="480"/>
      <c r="AT63" s="480"/>
      <c r="AU63" s="480"/>
      <c r="AV63" s="480"/>
      <c r="AW63" s="480"/>
      <c r="AX63" s="480"/>
      <c r="AY63" s="480"/>
      <c r="AZ63" s="480"/>
      <c r="BA63" s="480"/>
      <c r="BB63" s="480"/>
      <c r="BC63" s="480"/>
      <c r="BD63" s="480"/>
      <c r="BE63" s="480"/>
      <c r="BF63" s="480"/>
      <c r="BG63" s="480"/>
      <c r="BH63" s="480"/>
      <c r="BI63" s="480"/>
      <c r="BJ63" s="480"/>
      <c r="BK63" s="480"/>
      <c r="BL63" s="480"/>
      <c r="BM63" s="480"/>
      <c r="BN63" s="480"/>
      <c r="BO63" s="480"/>
      <c r="BP63" s="480"/>
      <c r="BQ63" s="480"/>
      <c r="BR63" s="480"/>
      <c r="BS63" s="480"/>
      <c r="BT63" s="480"/>
      <c r="BU63" s="480"/>
      <c r="BV63" s="480"/>
      <c r="BW63" s="480"/>
      <c r="BX63" s="480"/>
      <c r="BY63" s="480"/>
      <c r="BZ63" s="480"/>
      <c r="CA63" s="480"/>
      <c r="CB63" s="480"/>
      <c r="CC63" s="480"/>
      <c r="CD63" s="480"/>
      <c r="CE63" s="480"/>
      <c r="CF63" s="480"/>
      <c r="CG63" s="480"/>
      <c r="CH63" s="480"/>
      <c r="CI63" s="480"/>
      <c r="CJ63" s="480"/>
      <c r="CK63" s="482"/>
      <c r="CL63" s="480"/>
      <c r="CM63" s="480"/>
      <c r="CN63" s="480"/>
      <c r="CO63" s="480"/>
      <c r="CP63" s="480"/>
      <c r="CQ63" s="480"/>
      <c r="CR63" s="480"/>
      <c r="CS63" s="480"/>
      <c r="CT63" s="480"/>
      <c r="CU63" s="480"/>
      <c r="CV63" s="480"/>
      <c r="CW63" s="480"/>
      <c r="CX63" s="480"/>
      <c r="CY63" s="482"/>
      <c r="CZ63" s="480"/>
      <c r="DA63" s="480"/>
      <c r="DB63" s="480"/>
      <c r="DC63" s="480"/>
      <c r="DD63" s="480"/>
      <c r="DE63" s="480"/>
      <c r="DF63" s="480"/>
      <c r="DG63" s="480"/>
      <c r="DH63" s="480"/>
      <c r="DI63" s="480"/>
      <c r="DJ63" s="480"/>
      <c r="DK63" s="480"/>
      <c r="DL63" s="482"/>
      <c r="DM63" s="480"/>
      <c r="DN63" s="480"/>
      <c r="DO63" s="480"/>
      <c r="DP63" s="480"/>
      <c r="DQ63" s="480"/>
      <c r="DR63" s="480"/>
      <c r="DS63" s="480"/>
      <c r="DT63" s="480"/>
      <c r="DU63" s="480"/>
      <c r="DV63" s="480"/>
      <c r="DW63" s="480"/>
      <c r="DX63" s="480"/>
      <c r="DY63" s="482"/>
      <c r="DZ63" s="480"/>
      <c r="EA63" s="480"/>
      <c r="EB63" s="480"/>
      <c r="EC63" s="480"/>
      <c r="ED63" s="480"/>
      <c r="EE63" s="480"/>
      <c r="EF63" s="480"/>
      <c r="EG63" s="480"/>
      <c r="EH63" s="480"/>
      <c r="EI63" s="480"/>
      <c r="EJ63" s="480"/>
      <c r="EK63" s="480"/>
    </row>
    <row r="64" spans="1:141" s="481" customFormat="1">
      <c r="A64" s="480"/>
      <c r="B64" s="480"/>
      <c r="C64" s="480"/>
      <c r="D64" s="480"/>
      <c r="E64" s="480"/>
      <c r="F64" s="480"/>
      <c r="G64" s="480"/>
      <c r="H64" s="480"/>
      <c r="I64" s="480"/>
      <c r="J64" s="480"/>
      <c r="K64" s="480"/>
      <c r="L64" s="480"/>
      <c r="M64" s="480"/>
      <c r="N64" s="480"/>
      <c r="O64" s="480"/>
      <c r="P64" s="480"/>
      <c r="Q64" s="480"/>
      <c r="R64" s="480"/>
      <c r="S64" s="480"/>
      <c r="T64" s="480"/>
      <c r="U64" s="480"/>
      <c r="V64" s="480"/>
      <c r="W64" s="480"/>
      <c r="X64" s="480"/>
      <c r="Y64" s="480"/>
      <c r="Z64" s="480"/>
      <c r="AA64" s="480"/>
      <c r="AD64" s="480"/>
      <c r="AE64" s="480"/>
      <c r="AF64" s="480"/>
      <c r="AG64" s="480"/>
      <c r="AH64" s="480"/>
      <c r="AI64" s="480"/>
      <c r="AJ64" s="480"/>
      <c r="AK64" s="480"/>
      <c r="AL64" s="480"/>
      <c r="AM64" s="480"/>
      <c r="AN64" s="480"/>
      <c r="AO64" s="480"/>
      <c r="AP64" s="480"/>
      <c r="AQ64" s="480"/>
      <c r="AR64" s="480"/>
      <c r="AS64" s="480"/>
      <c r="AT64" s="480"/>
      <c r="AU64" s="480"/>
      <c r="AV64" s="480"/>
      <c r="AW64" s="480"/>
      <c r="AX64" s="480"/>
      <c r="AY64" s="480"/>
      <c r="AZ64" s="480"/>
      <c r="BA64" s="480"/>
      <c r="BB64" s="480"/>
      <c r="BC64" s="480"/>
      <c r="BD64" s="480"/>
      <c r="BE64" s="480"/>
      <c r="BF64" s="480"/>
      <c r="BG64" s="480"/>
      <c r="BH64" s="480"/>
      <c r="BI64" s="480"/>
      <c r="BJ64" s="480"/>
      <c r="BK64" s="480"/>
      <c r="BL64" s="480"/>
      <c r="BM64" s="480"/>
      <c r="BN64" s="480"/>
      <c r="BO64" s="480"/>
      <c r="BP64" s="480"/>
      <c r="BQ64" s="480"/>
      <c r="BR64" s="480"/>
      <c r="BS64" s="480"/>
      <c r="BT64" s="480"/>
      <c r="BU64" s="480"/>
      <c r="BV64" s="480"/>
      <c r="BW64" s="480"/>
      <c r="BX64" s="480"/>
      <c r="BY64" s="480"/>
      <c r="BZ64" s="480"/>
      <c r="CA64" s="480"/>
      <c r="CB64" s="480"/>
      <c r="CC64" s="480"/>
      <c r="CD64" s="480"/>
      <c r="CE64" s="480"/>
      <c r="CF64" s="480"/>
      <c r="CG64" s="480"/>
      <c r="CH64" s="480"/>
      <c r="CI64" s="480"/>
      <c r="CJ64" s="480"/>
      <c r="CK64" s="482"/>
      <c r="CL64" s="480"/>
      <c r="CM64" s="480"/>
      <c r="CN64" s="480"/>
      <c r="CO64" s="480"/>
      <c r="CP64" s="480"/>
      <c r="CQ64" s="480"/>
      <c r="CR64" s="480"/>
      <c r="CS64" s="480"/>
      <c r="CT64" s="480"/>
      <c r="CU64" s="480"/>
      <c r="CV64" s="480"/>
      <c r="CW64" s="480"/>
      <c r="CX64" s="480"/>
      <c r="CY64" s="482"/>
      <c r="CZ64" s="480"/>
      <c r="DA64" s="480"/>
      <c r="DB64" s="480"/>
      <c r="DC64" s="480"/>
      <c r="DD64" s="480"/>
      <c r="DE64" s="480"/>
      <c r="DF64" s="480"/>
      <c r="DG64" s="480"/>
      <c r="DH64" s="480"/>
      <c r="DI64" s="480"/>
      <c r="DJ64" s="480"/>
      <c r="DK64" s="480"/>
      <c r="DL64" s="482"/>
      <c r="DM64" s="480"/>
      <c r="DN64" s="480"/>
      <c r="DO64" s="480"/>
      <c r="DP64" s="480"/>
      <c r="DQ64" s="480"/>
      <c r="DR64" s="480"/>
      <c r="DS64" s="480"/>
      <c r="DT64" s="480"/>
      <c r="DU64" s="480"/>
      <c r="DV64" s="480"/>
      <c r="DW64" s="480"/>
      <c r="DX64" s="480"/>
      <c r="DY64" s="482"/>
      <c r="DZ64" s="480"/>
      <c r="EA64" s="480"/>
      <c r="EB64" s="480"/>
      <c r="EC64" s="480"/>
      <c r="ED64" s="480"/>
      <c r="EE64" s="480"/>
      <c r="EF64" s="480"/>
      <c r="EG64" s="480"/>
      <c r="EH64" s="480"/>
      <c r="EI64" s="480"/>
      <c r="EJ64" s="480"/>
      <c r="EK64" s="480"/>
    </row>
    <row r="65" spans="1:141" s="481" customFormat="1">
      <c r="A65" s="480"/>
      <c r="B65" s="480"/>
      <c r="C65" s="480"/>
      <c r="D65" s="480"/>
      <c r="E65" s="480"/>
      <c r="F65" s="480"/>
      <c r="G65" s="480"/>
      <c r="H65" s="480"/>
      <c r="I65" s="480"/>
      <c r="J65" s="480"/>
      <c r="K65" s="480"/>
      <c r="L65" s="480"/>
      <c r="M65" s="480"/>
      <c r="N65" s="480"/>
      <c r="O65" s="480"/>
      <c r="P65" s="480"/>
      <c r="Q65" s="480"/>
      <c r="R65" s="480"/>
      <c r="S65" s="480"/>
      <c r="T65" s="480"/>
      <c r="U65" s="480"/>
      <c r="V65" s="480"/>
      <c r="W65" s="480"/>
      <c r="X65" s="480"/>
      <c r="Y65" s="480"/>
      <c r="Z65" s="480"/>
      <c r="AA65" s="480"/>
      <c r="AD65" s="480"/>
      <c r="AE65" s="480"/>
      <c r="AF65" s="480"/>
      <c r="AG65" s="480"/>
      <c r="AH65" s="480"/>
      <c r="AI65" s="480"/>
      <c r="AJ65" s="480"/>
      <c r="AK65" s="480"/>
      <c r="AL65" s="480"/>
      <c r="AM65" s="480"/>
      <c r="AN65" s="480"/>
      <c r="AO65" s="480"/>
      <c r="AP65" s="480"/>
      <c r="AQ65" s="480"/>
      <c r="AR65" s="480"/>
      <c r="AS65" s="480"/>
      <c r="AT65" s="480"/>
      <c r="AU65" s="480"/>
      <c r="AV65" s="480"/>
      <c r="AW65" s="480"/>
      <c r="AX65" s="480"/>
      <c r="AY65" s="480"/>
      <c r="AZ65" s="480"/>
      <c r="BA65" s="480"/>
      <c r="BB65" s="480"/>
      <c r="BC65" s="480"/>
      <c r="BD65" s="480"/>
      <c r="BE65" s="480"/>
      <c r="BF65" s="480"/>
      <c r="BG65" s="480"/>
      <c r="BH65" s="480"/>
      <c r="BI65" s="480"/>
      <c r="BJ65" s="480"/>
      <c r="BK65" s="480"/>
      <c r="BL65" s="480"/>
      <c r="BM65" s="480"/>
      <c r="BN65" s="480"/>
      <c r="BO65" s="480"/>
      <c r="BP65" s="480"/>
      <c r="BQ65" s="480"/>
      <c r="BR65" s="480"/>
      <c r="BS65" s="480"/>
      <c r="BT65" s="480"/>
      <c r="BU65" s="480"/>
      <c r="BV65" s="480"/>
      <c r="BW65" s="480"/>
      <c r="BX65" s="480"/>
      <c r="BY65" s="480"/>
      <c r="BZ65" s="480"/>
      <c r="CA65" s="480"/>
      <c r="CB65" s="480"/>
      <c r="CC65" s="480"/>
      <c r="CD65" s="480"/>
      <c r="CE65" s="480"/>
      <c r="CF65" s="480"/>
      <c r="CG65" s="480"/>
      <c r="CH65" s="480"/>
      <c r="CI65" s="480"/>
      <c r="CJ65" s="480"/>
      <c r="CK65" s="482"/>
      <c r="CL65" s="480"/>
      <c r="CM65" s="480"/>
      <c r="CN65" s="480"/>
      <c r="CO65" s="480"/>
      <c r="CP65" s="480"/>
      <c r="CQ65" s="480"/>
      <c r="CR65" s="480"/>
      <c r="CS65" s="480"/>
      <c r="CT65" s="480"/>
      <c r="CU65" s="480"/>
      <c r="CV65" s="480"/>
      <c r="CW65" s="480"/>
      <c r="CX65" s="480"/>
      <c r="CY65" s="482"/>
      <c r="CZ65" s="480"/>
      <c r="DA65" s="480"/>
      <c r="DB65" s="480"/>
      <c r="DC65" s="480"/>
      <c r="DD65" s="480"/>
      <c r="DE65" s="480"/>
      <c r="DF65" s="480"/>
      <c r="DG65" s="480"/>
      <c r="DH65" s="480"/>
      <c r="DI65" s="480"/>
      <c r="DJ65" s="480"/>
      <c r="DK65" s="480"/>
      <c r="DL65" s="482"/>
      <c r="DM65" s="480"/>
      <c r="DN65" s="480"/>
      <c r="DO65" s="480"/>
      <c r="DP65" s="480"/>
      <c r="DQ65" s="480"/>
      <c r="DR65" s="480"/>
      <c r="DS65" s="480"/>
      <c r="DT65" s="480"/>
      <c r="DU65" s="480"/>
      <c r="DV65" s="480"/>
      <c r="DW65" s="480"/>
      <c r="DX65" s="480"/>
      <c r="DY65" s="482"/>
      <c r="DZ65" s="480"/>
      <c r="EA65" s="480"/>
      <c r="EB65" s="480"/>
      <c r="EC65" s="480"/>
      <c r="ED65" s="480"/>
      <c r="EE65" s="480"/>
      <c r="EF65" s="480"/>
      <c r="EG65" s="480"/>
      <c r="EH65" s="480"/>
      <c r="EI65" s="480"/>
      <c r="EJ65" s="480"/>
      <c r="EK65" s="480"/>
    </row>
    <row r="66" spans="1:141" s="481" customFormat="1">
      <c r="A66" s="480"/>
      <c r="B66" s="480"/>
      <c r="C66" s="480"/>
      <c r="D66" s="480"/>
      <c r="E66" s="480"/>
      <c r="F66" s="480"/>
      <c r="G66" s="480"/>
      <c r="H66" s="480"/>
      <c r="I66" s="480"/>
      <c r="J66" s="480"/>
      <c r="K66" s="480"/>
      <c r="L66" s="480"/>
      <c r="M66" s="480"/>
      <c r="N66" s="480"/>
      <c r="O66" s="480"/>
      <c r="P66" s="480"/>
      <c r="Q66" s="480"/>
      <c r="R66" s="480"/>
      <c r="S66" s="480"/>
      <c r="T66" s="480"/>
      <c r="U66" s="480"/>
      <c r="V66" s="480"/>
      <c r="W66" s="480"/>
      <c r="X66" s="480"/>
      <c r="Y66" s="480"/>
      <c r="Z66" s="480"/>
      <c r="AA66" s="480"/>
      <c r="AD66" s="480"/>
      <c r="AE66" s="480"/>
      <c r="AF66" s="480"/>
      <c r="AG66" s="480"/>
      <c r="AH66" s="480"/>
      <c r="AI66" s="480"/>
      <c r="AJ66" s="480"/>
      <c r="AK66" s="480"/>
      <c r="AL66" s="480"/>
      <c r="AM66" s="480"/>
      <c r="AN66" s="480"/>
      <c r="AO66" s="480"/>
      <c r="AP66" s="480"/>
      <c r="AQ66" s="480"/>
      <c r="AR66" s="480"/>
      <c r="AS66" s="480"/>
      <c r="AT66" s="480"/>
      <c r="AU66" s="480"/>
      <c r="AV66" s="480"/>
      <c r="AW66" s="480"/>
      <c r="AX66" s="480"/>
      <c r="AY66" s="480"/>
      <c r="AZ66" s="480"/>
      <c r="BA66" s="480"/>
      <c r="BB66" s="480"/>
      <c r="BC66" s="480"/>
      <c r="BD66" s="480"/>
      <c r="BE66" s="480"/>
      <c r="BF66" s="480"/>
      <c r="BG66" s="480"/>
      <c r="BH66" s="480"/>
      <c r="BI66" s="480"/>
      <c r="BJ66" s="480"/>
      <c r="BK66" s="480"/>
      <c r="BL66" s="480"/>
      <c r="BM66" s="480"/>
      <c r="BN66" s="480"/>
      <c r="BO66" s="480"/>
      <c r="BP66" s="480"/>
      <c r="BQ66" s="480"/>
      <c r="BR66" s="480"/>
      <c r="BS66" s="480"/>
      <c r="BT66" s="480"/>
      <c r="BU66" s="480"/>
      <c r="BV66" s="480"/>
      <c r="BW66" s="480"/>
      <c r="BX66" s="480"/>
      <c r="BY66" s="480"/>
      <c r="BZ66" s="480"/>
      <c r="CA66" s="480"/>
      <c r="CB66" s="480"/>
      <c r="CC66" s="480"/>
      <c r="CD66" s="480"/>
      <c r="CE66" s="480"/>
      <c r="CF66" s="480"/>
      <c r="CG66" s="480"/>
      <c r="CH66" s="480"/>
      <c r="CI66" s="480"/>
      <c r="CJ66" s="480"/>
      <c r="CK66" s="482"/>
      <c r="CL66" s="480"/>
      <c r="CM66" s="480"/>
      <c r="CN66" s="480"/>
      <c r="CO66" s="480"/>
      <c r="CP66" s="480"/>
      <c r="CQ66" s="480"/>
      <c r="CR66" s="480"/>
      <c r="CS66" s="480"/>
      <c r="CT66" s="480"/>
      <c r="CU66" s="480"/>
      <c r="CV66" s="480"/>
      <c r="CW66" s="480"/>
      <c r="CX66" s="480"/>
      <c r="CY66" s="482"/>
      <c r="CZ66" s="480"/>
      <c r="DA66" s="480"/>
      <c r="DB66" s="480"/>
      <c r="DC66" s="480"/>
      <c r="DD66" s="480"/>
      <c r="DE66" s="480"/>
      <c r="DF66" s="480"/>
      <c r="DG66" s="480"/>
      <c r="DH66" s="480"/>
      <c r="DI66" s="480"/>
      <c r="DJ66" s="480"/>
      <c r="DK66" s="480"/>
      <c r="DL66" s="482"/>
      <c r="DM66" s="480"/>
      <c r="DN66" s="480"/>
      <c r="DO66" s="480"/>
      <c r="DP66" s="480"/>
      <c r="DQ66" s="480"/>
      <c r="DR66" s="480"/>
      <c r="DS66" s="480"/>
      <c r="DT66" s="480"/>
      <c r="DU66" s="480"/>
      <c r="DV66" s="480"/>
      <c r="DW66" s="480"/>
      <c r="DX66" s="480"/>
      <c r="DY66" s="482"/>
      <c r="DZ66" s="480"/>
      <c r="EA66" s="480"/>
      <c r="EB66" s="480"/>
      <c r="EC66" s="480"/>
      <c r="ED66" s="480"/>
      <c r="EE66" s="480"/>
      <c r="EF66" s="480"/>
      <c r="EG66" s="480"/>
      <c r="EH66" s="480"/>
      <c r="EI66" s="480"/>
      <c r="EJ66" s="480"/>
      <c r="EK66" s="480"/>
    </row>
    <row r="67" spans="1:141" s="481" customFormat="1">
      <c r="A67" s="480"/>
      <c r="B67" s="480"/>
      <c r="C67" s="480"/>
      <c r="D67" s="480"/>
      <c r="E67" s="480"/>
      <c r="F67" s="480"/>
      <c r="G67" s="480"/>
      <c r="H67" s="480"/>
      <c r="I67" s="480"/>
      <c r="J67" s="480"/>
      <c r="K67" s="480"/>
      <c r="L67" s="480"/>
      <c r="M67" s="480"/>
      <c r="N67" s="480"/>
      <c r="O67" s="480"/>
      <c r="P67" s="480"/>
      <c r="Q67" s="480"/>
      <c r="R67" s="480"/>
      <c r="S67" s="480"/>
      <c r="T67" s="480"/>
      <c r="U67" s="480"/>
      <c r="V67" s="480"/>
      <c r="W67" s="480"/>
      <c r="X67" s="480"/>
      <c r="Y67" s="480"/>
      <c r="Z67" s="480"/>
      <c r="AA67" s="480"/>
      <c r="AD67" s="480"/>
      <c r="AE67" s="480"/>
      <c r="AF67" s="480"/>
      <c r="AG67" s="480"/>
      <c r="AH67" s="480"/>
      <c r="AI67" s="480"/>
      <c r="AJ67" s="480"/>
      <c r="AK67" s="480"/>
      <c r="AL67" s="480"/>
      <c r="AM67" s="480"/>
      <c r="AN67" s="480"/>
      <c r="AO67" s="480"/>
      <c r="AP67" s="480"/>
      <c r="AQ67" s="480"/>
      <c r="AR67" s="480"/>
      <c r="AS67" s="480"/>
      <c r="AT67" s="480"/>
      <c r="AU67" s="480"/>
      <c r="AV67" s="480"/>
      <c r="AW67" s="480"/>
      <c r="AX67" s="480"/>
      <c r="AY67" s="480"/>
      <c r="AZ67" s="480"/>
      <c r="BA67" s="480"/>
      <c r="BB67" s="480"/>
      <c r="BC67" s="480"/>
      <c r="BD67" s="480"/>
      <c r="BE67" s="480"/>
      <c r="BF67" s="480"/>
      <c r="BG67" s="480"/>
      <c r="BH67" s="480"/>
      <c r="BI67" s="480"/>
      <c r="BJ67" s="480"/>
      <c r="BK67" s="480"/>
      <c r="BL67" s="480"/>
      <c r="BM67" s="480"/>
      <c r="BN67" s="480"/>
      <c r="BO67" s="480"/>
      <c r="BP67" s="480"/>
      <c r="BQ67" s="480"/>
      <c r="BR67" s="480"/>
      <c r="BS67" s="480"/>
      <c r="BT67" s="480"/>
      <c r="BU67" s="480"/>
      <c r="BV67" s="480"/>
      <c r="BW67" s="480"/>
      <c r="BX67" s="480"/>
      <c r="BY67" s="480"/>
      <c r="BZ67" s="480"/>
      <c r="CA67" s="480"/>
      <c r="CB67" s="480"/>
      <c r="CC67" s="480"/>
      <c r="CD67" s="480"/>
      <c r="CE67" s="480"/>
      <c r="CF67" s="480"/>
      <c r="CG67" s="480"/>
      <c r="CH67" s="480"/>
      <c r="CI67" s="480"/>
      <c r="CJ67" s="480"/>
      <c r="CK67" s="482"/>
      <c r="CL67" s="480"/>
      <c r="CM67" s="480"/>
      <c r="CN67" s="480"/>
      <c r="CO67" s="480"/>
      <c r="CP67" s="480"/>
      <c r="CQ67" s="480"/>
      <c r="CR67" s="480"/>
      <c r="CS67" s="480"/>
      <c r="CT67" s="480"/>
      <c r="CU67" s="480"/>
      <c r="CV67" s="480"/>
      <c r="CW67" s="480"/>
      <c r="CX67" s="480"/>
      <c r="CY67" s="482"/>
      <c r="CZ67" s="480"/>
      <c r="DA67" s="480"/>
      <c r="DB67" s="480"/>
      <c r="DC67" s="480"/>
      <c r="DD67" s="480"/>
      <c r="DE67" s="480"/>
      <c r="DF67" s="480"/>
      <c r="DG67" s="480"/>
      <c r="DH67" s="480"/>
      <c r="DI67" s="480"/>
      <c r="DJ67" s="480"/>
      <c r="DK67" s="480"/>
      <c r="DL67" s="482"/>
      <c r="DM67" s="480"/>
      <c r="DN67" s="480"/>
      <c r="DO67" s="480"/>
      <c r="DP67" s="480"/>
      <c r="DQ67" s="480"/>
      <c r="DR67" s="480"/>
      <c r="DS67" s="480"/>
      <c r="DT67" s="480"/>
      <c r="DU67" s="480"/>
      <c r="DV67" s="480"/>
      <c r="DW67" s="480"/>
      <c r="DX67" s="480"/>
      <c r="DY67" s="482"/>
      <c r="DZ67" s="480"/>
      <c r="EA67" s="480"/>
      <c r="EB67" s="480"/>
      <c r="EC67" s="480"/>
      <c r="ED67" s="480"/>
      <c r="EE67" s="480"/>
      <c r="EF67" s="480"/>
      <c r="EG67" s="480"/>
      <c r="EH67" s="480"/>
      <c r="EI67" s="480"/>
      <c r="EJ67" s="480"/>
      <c r="EK67" s="480"/>
    </row>
    <row r="68" spans="1:141" s="481" customFormat="1">
      <c r="A68" s="480"/>
      <c r="B68" s="480"/>
      <c r="C68" s="480"/>
      <c r="D68" s="480"/>
      <c r="E68" s="480"/>
      <c r="F68" s="480"/>
      <c r="G68" s="480"/>
      <c r="H68" s="480"/>
      <c r="I68" s="480"/>
      <c r="J68" s="480"/>
      <c r="K68" s="480"/>
      <c r="L68" s="480"/>
      <c r="M68" s="480"/>
      <c r="N68" s="480"/>
      <c r="O68" s="480"/>
      <c r="P68" s="480"/>
      <c r="Q68" s="480"/>
      <c r="R68" s="480"/>
      <c r="S68" s="480"/>
      <c r="T68" s="480"/>
      <c r="U68" s="480"/>
      <c r="V68" s="480"/>
      <c r="W68" s="480"/>
      <c r="X68" s="480"/>
      <c r="Y68" s="480"/>
      <c r="Z68" s="480"/>
      <c r="AA68" s="480"/>
      <c r="AD68" s="480"/>
      <c r="AE68" s="480"/>
      <c r="AF68" s="480"/>
      <c r="AG68" s="480"/>
      <c r="AH68" s="480"/>
      <c r="AI68" s="480"/>
      <c r="AJ68" s="480"/>
      <c r="AK68" s="480"/>
      <c r="AL68" s="480"/>
      <c r="AM68" s="480"/>
      <c r="AN68" s="480"/>
      <c r="AO68" s="480"/>
      <c r="AP68" s="480"/>
      <c r="AQ68" s="480"/>
      <c r="AR68" s="480"/>
      <c r="AS68" s="480"/>
      <c r="AT68" s="480"/>
      <c r="AU68" s="480"/>
      <c r="AV68" s="480"/>
      <c r="AW68" s="480"/>
      <c r="AX68" s="480"/>
      <c r="AY68" s="480"/>
      <c r="AZ68" s="480"/>
      <c r="BA68" s="480"/>
      <c r="BB68" s="480"/>
      <c r="BC68" s="480"/>
      <c r="BD68" s="480"/>
      <c r="BE68" s="480"/>
      <c r="BF68" s="480"/>
      <c r="BG68" s="480"/>
      <c r="BH68" s="480"/>
      <c r="BI68" s="480"/>
      <c r="BJ68" s="480"/>
      <c r="BK68" s="480"/>
      <c r="BL68" s="480"/>
      <c r="BM68" s="480"/>
      <c r="BN68" s="480"/>
      <c r="BO68" s="480"/>
      <c r="BP68" s="480"/>
      <c r="BQ68" s="480"/>
      <c r="BR68" s="480"/>
      <c r="BS68" s="480"/>
      <c r="BT68" s="480"/>
      <c r="BU68" s="480"/>
      <c r="BV68" s="480"/>
      <c r="BW68" s="480"/>
      <c r="BX68" s="480"/>
      <c r="BY68" s="480"/>
      <c r="BZ68" s="480"/>
      <c r="CA68" s="480"/>
      <c r="CB68" s="480"/>
      <c r="CC68" s="480"/>
      <c r="CD68" s="480"/>
      <c r="CE68" s="480"/>
      <c r="CF68" s="480"/>
      <c r="CG68" s="480"/>
      <c r="CH68" s="480"/>
      <c r="CI68" s="480"/>
      <c r="CJ68" s="480"/>
      <c r="CK68" s="482"/>
      <c r="CL68" s="480"/>
      <c r="CM68" s="480"/>
      <c r="CN68" s="480"/>
      <c r="CO68" s="480"/>
      <c r="CP68" s="480"/>
      <c r="CQ68" s="480"/>
      <c r="CR68" s="480"/>
      <c r="CS68" s="480"/>
      <c r="CT68" s="480"/>
      <c r="CU68" s="480"/>
      <c r="CV68" s="480"/>
      <c r="CW68" s="480"/>
      <c r="CX68" s="480"/>
      <c r="CY68" s="482"/>
      <c r="CZ68" s="480"/>
      <c r="DA68" s="480"/>
      <c r="DB68" s="480"/>
      <c r="DC68" s="480"/>
      <c r="DD68" s="480"/>
      <c r="DE68" s="480"/>
      <c r="DF68" s="480"/>
      <c r="DG68" s="480"/>
      <c r="DH68" s="480"/>
      <c r="DI68" s="480"/>
      <c r="DJ68" s="480"/>
      <c r="DK68" s="480"/>
      <c r="DL68" s="482"/>
      <c r="DM68" s="480"/>
      <c r="DN68" s="480"/>
      <c r="DO68" s="480"/>
      <c r="DP68" s="480"/>
      <c r="DQ68" s="480"/>
      <c r="DR68" s="480"/>
      <c r="DS68" s="480"/>
      <c r="DT68" s="480"/>
      <c r="DU68" s="480"/>
      <c r="DV68" s="480"/>
      <c r="DW68" s="480"/>
      <c r="DX68" s="480"/>
      <c r="DY68" s="482"/>
      <c r="DZ68" s="480"/>
      <c r="EA68" s="480"/>
      <c r="EB68" s="480"/>
      <c r="EC68" s="480"/>
      <c r="ED68" s="480"/>
      <c r="EE68" s="480"/>
      <c r="EF68" s="480"/>
      <c r="EG68" s="480"/>
      <c r="EH68" s="480"/>
      <c r="EI68" s="480"/>
      <c r="EJ68" s="480"/>
      <c r="EK68" s="480"/>
    </row>
    <row r="69" spans="1:141" s="481" customFormat="1">
      <c r="A69" s="480"/>
      <c r="B69" s="480"/>
      <c r="C69" s="480"/>
      <c r="D69" s="480"/>
      <c r="E69" s="480"/>
      <c r="F69" s="480"/>
      <c r="G69" s="480"/>
      <c r="H69" s="480"/>
      <c r="I69" s="480"/>
      <c r="J69" s="480"/>
      <c r="K69" s="480"/>
      <c r="L69" s="480"/>
      <c r="M69" s="480"/>
      <c r="N69" s="480"/>
      <c r="O69" s="480"/>
      <c r="P69" s="480"/>
      <c r="Q69" s="480"/>
      <c r="R69" s="480"/>
      <c r="S69" s="480"/>
      <c r="T69" s="480"/>
      <c r="U69" s="480"/>
      <c r="V69" s="480"/>
      <c r="W69" s="480"/>
      <c r="X69" s="480"/>
      <c r="Y69" s="480"/>
      <c r="Z69" s="480"/>
      <c r="AA69" s="480"/>
      <c r="AD69" s="480"/>
      <c r="AE69" s="480"/>
      <c r="AF69" s="480"/>
      <c r="AG69" s="480"/>
      <c r="AH69" s="480"/>
      <c r="AI69" s="480"/>
      <c r="AJ69" s="480"/>
      <c r="AK69" s="480"/>
      <c r="AL69" s="480"/>
      <c r="AM69" s="480"/>
      <c r="AN69" s="480"/>
      <c r="AO69" s="480"/>
      <c r="AP69" s="480"/>
      <c r="AQ69" s="480"/>
      <c r="AR69" s="480"/>
      <c r="AS69" s="480"/>
      <c r="AT69" s="480"/>
      <c r="AU69" s="480"/>
      <c r="AV69" s="480"/>
      <c r="AW69" s="480"/>
      <c r="AX69" s="480"/>
      <c r="AY69" s="480"/>
      <c r="AZ69" s="480"/>
      <c r="BA69" s="480"/>
      <c r="BB69" s="480"/>
      <c r="BC69" s="480"/>
      <c r="BD69" s="480"/>
      <c r="BE69" s="480"/>
      <c r="BF69" s="480"/>
      <c r="BG69" s="480"/>
      <c r="BH69" s="480"/>
      <c r="BI69" s="480"/>
      <c r="BJ69" s="480"/>
      <c r="BK69" s="480"/>
      <c r="BL69" s="480"/>
      <c r="BM69" s="480"/>
      <c r="BN69" s="480"/>
      <c r="BO69" s="480"/>
      <c r="BP69" s="480"/>
      <c r="BQ69" s="480"/>
      <c r="BR69" s="480"/>
      <c r="BS69" s="480"/>
      <c r="BT69" s="480"/>
      <c r="BU69" s="480"/>
      <c r="BV69" s="480"/>
      <c r="BW69" s="480"/>
      <c r="BX69" s="480"/>
      <c r="BY69" s="480"/>
      <c r="BZ69" s="480"/>
      <c r="CA69" s="480"/>
      <c r="CB69" s="480"/>
      <c r="CC69" s="480"/>
      <c r="CD69" s="480"/>
      <c r="CE69" s="480"/>
      <c r="CF69" s="480"/>
      <c r="CG69" s="480"/>
      <c r="CH69" s="480"/>
      <c r="CI69" s="480"/>
      <c r="CJ69" s="480"/>
      <c r="CK69" s="482"/>
      <c r="CL69" s="480"/>
      <c r="CM69" s="480"/>
      <c r="CN69" s="480"/>
      <c r="CO69" s="480"/>
      <c r="CP69" s="480"/>
      <c r="CQ69" s="480"/>
      <c r="CR69" s="480"/>
      <c r="CS69" s="480"/>
      <c r="CT69" s="480"/>
      <c r="CU69" s="480"/>
      <c r="CV69" s="480"/>
      <c r="CW69" s="480"/>
      <c r="CX69" s="480"/>
      <c r="CY69" s="482"/>
      <c r="CZ69" s="480"/>
      <c r="DA69" s="480"/>
      <c r="DB69" s="480"/>
      <c r="DC69" s="480"/>
      <c r="DD69" s="480"/>
      <c r="DE69" s="480"/>
      <c r="DF69" s="480"/>
      <c r="DG69" s="480"/>
      <c r="DH69" s="480"/>
      <c r="DI69" s="480"/>
      <c r="DJ69" s="480"/>
      <c r="DK69" s="480"/>
      <c r="DL69" s="482"/>
      <c r="DM69" s="480"/>
      <c r="DN69" s="480"/>
      <c r="DO69" s="480"/>
      <c r="DP69" s="480"/>
      <c r="DQ69" s="480"/>
      <c r="DR69" s="480"/>
      <c r="DS69" s="480"/>
      <c r="DT69" s="480"/>
      <c r="DU69" s="480"/>
      <c r="DV69" s="480"/>
      <c r="DW69" s="480"/>
      <c r="DX69" s="480"/>
      <c r="DY69" s="482"/>
      <c r="DZ69" s="480"/>
      <c r="EA69" s="480"/>
      <c r="EB69" s="480"/>
      <c r="EC69" s="480"/>
      <c r="ED69" s="480"/>
      <c r="EE69" s="480"/>
      <c r="EF69" s="480"/>
      <c r="EG69" s="480"/>
      <c r="EH69" s="480"/>
      <c r="EI69" s="480"/>
      <c r="EJ69" s="480"/>
      <c r="EK69" s="480"/>
    </row>
    <row r="70" spans="1:141" s="481" customFormat="1">
      <c r="A70" s="480"/>
      <c r="B70" s="480"/>
      <c r="C70" s="480"/>
      <c r="D70" s="480"/>
      <c r="E70" s="480"/>
      <c r="F70" s="480"/>
      <c r="G70" s="480"/>
      <c r="H70" s="480"/>
      <c r="I70" s="480"/>
      <c r="J70" s="480"/>
      <c r="K70" s="480"/>
      <c r="L70" s="480"/>
      <c r="M70" s="480"/>
      <c r="N70" s="480"/>
      <c r="O70" s="480"/>
      <c r="P70" s="480"/>
      <c r="Q70" s="480"/>
      <c r="R70" s="480"/>
      <c r="S70" s="480"/>
      <c r="T70" s="480"/>
      <c r="U70" s="480"/>
      <c r="V70" s="480"/>
      <c r="W70" s="480"/>
      <c r="X70" s="480"/>
      <c r="Y70" s="480"/>
      <c r="Z70" s="480"/>
      <c r="AA70" s="480"/>
      <c r="AD70" s="480"/>
      <c r="AE70" s="480"/>
      <c r="AF70" s="480"/>
      <c r="AG70" s="480"/>
      <c r="AH70" s="480"/>
      <c r="AI70" s="480"/>
      <c r="AJ70" s="480"/>
      <c r="AK70" s="480"/>
      <c r="AL70" s="480"/>
      <c r="AM70" s="480"/>
      <c r="AN70" s="480"/>
      <c r="AO70" s="480"/>
      <c r="AP70" s="480"/>
      <c r="AQ70" s="480"/>
      <c r="AR70" s="480"/>
      <c r="AS70" s="480"/>
      <c r="AT70" s="480"/>
      <c r="AU70" s="480"/>
      <c r="AV70" s="480"/>
      <c r="AW70" s="480"/>
      <c r="AX70" s="480"/>
      <c r="AY70" s="480"/>
      <c r="AZ70" s="480"/>
      <c r="BA70" s="480"/>
      <c r="BB70" s="480"/>
      <c r="BC70" s="480"/>
      <c r="BD70" s="480"/>
      <c r="BE70" s="480"/>
      <c r="BF70" s="480"/>
      <c r="BG70" s="480"/>
      <c r="BH70" s="480"/>
      <c r="BI70" s="480"/>
      <c r="BJ70" s="480"/>
      <c r="BK70" s="480"/>
      <c r="BL70" s="480"/>
      <c r="BM70" s="480"/>
      <c r="BN70" s="480"/>
      <c r="BO70" s="480"/>
      <c r="BP70" s="480"/>
      <c r="BQ70" s="480"/>
      <c r="BR70" s="480"/>
      <c r="BS70" s="480"/>
      <c r="BT70" s="480"/>
      <c r="BU70" s="480"/>
      <c r="BV70" s="480"/>
      <c r="BW70" s="480"/>
      <c r="BX70" s="480"/>
      <c r="BY70" s="480"/>
      <c r="BZ70" s="480"/>
      <c r="CA70" s="480"/>
      <c r="CB70" s="480"/>
      <c r="CC70" s="480"/>
      <c r="CD70" s="480"/>
      <c r="CE70" s="480"/>
      <c r="CF70" s="480"/>
      <c r="CG70" s="480"/>
      <c r="CH70" s="480"/>
      <c r="CI70" s="480"/>
      <c r="CJ70" s="480"/>
      <c r="CK70" s="482"/>
      <c r="CL70" s="480"/>
      <c r="CM70" s="480"/>
      <c r="CN70" s="480"/>
      <c r="CO70" s="480"/>
      <c r="CP70" s="480"/>
      <c r="CQ70" s="480"/>
      <c r="CR70" s="480"/>
      <c r="CS70" s="480"/>
      <c r="CT70" s="480"/>
      <c r="CU70" s="480"/>
      <c r="CV70" s="480"/>
      <c r="CW70" s="480"/>
      <c r="CX70" s="480"/>
      <c r="CY70" s="482"/>
      <c r="CZ70" s="480"/>
      <c r="DA70" s="480"/>
      <c r="DB70" s="480"/>
      <c r="DC70" s="480"/>
      <c r="DD70" s="480"/>
      <c r="DE70" s="480"/>
      <c r="DF70" s="480"/>
      <c r="DG70" s="480"/>
      <c r="DH70" s="480"/>
      <c r="DI70" s="480"/>
      <c r="DJ70" s="480"/>
      <c r="DK70" s="480"/>
      <c r="DL70" s="482"/>
      <c r="DM70" s="480"/>
      <c r="DN70" s="480"/>
      <c r="DO70" s="480"/>
      <c r="DP70" s="480"/>
      <c r="DQ70" s="480"/>
      <c r="DR70" s="480"/>
      <c r="DS70" s="480"/>
      <c r="DT70" s="480"/>
      <c r="DU70" s="480"/>
      <c r="DV70" s="480"/>
      <c r="DW70" s="480"/>
      <c r="DX70" s="480"/>
      <c r="DY70" s="482"/>
      <c r="DZ70" s="480"/>
      <c r="EA70" s="480"/>
      <c r="EB70" s="480"/>
      <c r="EC70" s="480"/>
      <c r="ED70" s="480"/>
      <c r="EE70" s="480"/>
      <c r="EF70" s="480"/>
      <c r="EG70" s="480"/>
      <c r="EH70" s="480"/>
      <c r="EI70" s="480"/>
      <c r="EJ70" s="480"/>
      <c r="EK70" s="480"/>
    </row>
  </sheetData>
  <mergeCells count="5">
    <mergeCell ref="C2:N2"/>
    <mergeCell ref="BY2:CJ2"/>
    <mergeCell ref="CM2:CX2"/>
    <mergeCell ref="CZ2:DK2"/>
    <mergeCell ref="DM2:DX2"/>
  </mergeCells>
  <pageMargins left="0.7" right="0.7" top="0.75" bottom="0.75" header="0.3" footer="0.3"/>
  <pageSetup paperSize="9" scale="10" orientation="landscape"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FE985-E2E2-4B0D-A026-FBC9E8F8FA8C}">
  <sheetPr>
    <tabColor theme="4" tint="0.39997558519241921"/>
    <pageSetUpPr fitToPage="1"/>
  </sheetPr>
  <dimension ref="A1:EK61"/>
  <sheetViews>
    <sheetView showGridLines="0" zoomScaleNormal="100" workbookViewId="0">
      <pane xSplit="14" ySplit="3" topLeftCell="DE4" activePane="bottomRight" state="frozen"/>
      <selection activeCell="CE28" sqref="CE28"/>
      <selection pane="topRight" activeCell="CE28" sqref="CE28"/>
      <selection pane="bottomLeft" activeCell="CE28" sqref="CE28"/>
      <selection pane="bottomRight" activeCell="DF6" sqref="DF6"/>
    </sheetView>
  </sheetViews>
  <sheetFormatPr baseColWidth="10" defaultColWidth="10.7109375" defaultRowHeight="14.25"/>
  <cols>
    <col min="1" max="1" width="2.85546875" style="480" customWidth="1"/>
    <col min="2" max="2" width="38" style="480" bestFit="1" customWidth="1"/>
    <col min="3" max="3" width="14.5703125" style="480" hidden="1" customWidth="1"/>
    <col min="4" max="4" width="13.28515625" style="480" hidden="1" customWidth="1"/>
    <col min="5" max="5" width="14" style="480" hidden="1" customWidth="1"/>
    <col min="6" max="6" width="15" style="480" hidden="1" customWidth="1"/>
    <col min="7" max="7" width="14" style="480" hidden="1" customWidth="1"/>
    <col min="8" max="8" width="14.85546875" style="480" hidden="1" customWidth="1"/>
    <col min="9" max="9" width="14.5703125" style="480" hidden="1" customWidth="1"/>
    <col min="10" max="10" width="15" style="480" hidden="1" customWidth="1"/>
    <col min="11" max="11" width="14.7109375" style="480" hidden="1" customWidth="1"/>
    <col min="12" max="12" width="14.28515625" style="480" hidden="1" customWidth="1"/>
    <col min="13" max="13" width="13.7109375" style="480" hidden="1" customWidth="1"/>
    <col min="14" max="14" width="13.28515625" style="480" hidden="1" customWidth="1"/>
    <col min="15" max="15" width="12.85546875" style="480" hidden="1" customWidth="1"/>
    <col min="16" max="16" width="15" style="480" customWidth="1"/>
    <col min="17" max="17" width="14.7109375" style="480" bestFit="1" customWidth="1"/>
    <col min="18" max="18" width="15.5703125" style="480" bestFit="1" customWidth="1"/>
    <col min="19" max="19" width="15.28515625" style="480" bestFit="1" customWidth="1"/>
    <col min="20" max="20" width="15.5703125" style="480" bestFit="1" customWidth="1"/>
    <col min="21" max="21" width="15" style="480" bestFit="1" customWidth="1"/>
    <col min="22" max="22" width="14.28515625" style="480" bestFit="1" customWidth="1"/>
    <col min="23" max="23" width="14.85546875" style="480" bestFit="1" customWidth="1"/>
    <col min="24" max="24" width="15" style="480" bestFit="1" customWidth="1"/>
    <col min="25" max="25" width="15.7109375" style="480" bestFit="1" customWidth="1"/>
    <col min="26" max="26" width="16.5703125" style="480" bestFit="1" customWidth="1"/>
    <col min="27" max="27" width="15.7109375" style="541" bestFit="1" customWidth="1"/>
    <col min="28" max="28" width="15.28515625" style="481" bestFit="1" customWidth="1"/>
    <col min="29" max="29" width="16.28515625" style="481" bestFit="1" customWidth="1"/>
    <col min="30" max="30" width="15.5703125" style="480" customWidth="1"/>
    <col min="31" max="32" width="16.28515625" style="480" bestFit="1" customWidth="1"/>
    <col min="33" max="33" width="17" style="480" bestFit="1" customWidth="1"/>
    <col min="34" max="34" width="16.85546875" style="480" bestFit="1" customWidth="1"/>
    <col min="35" max="36" width="16.28515625" style="480" bestFit="1" customWidth="1"/>
    <col min="37" max="37" width="15.28515625" style="480" bestFit="1" customWidth="1"/>
    <col min="38" max="38" width="16.5703125" style="480" bestFit="1" customWidth="1"/>
    <col min="39" max="40" width="17" style="480" bestFit="1" customWidth="1"/>
    <col min="41" max="41" width="16.28515625" style="480" bestFit="1" customWidth="1"/>
    <col min="42" max="42" width="17" style="480" bestFit="1" customWidth="1"/>
    <col min="43" max="43" width="16.85546875" style="480" bestFit="1" customWidth="1"/>
    <col min="44" max="44" width="16.5703125" style="480" bestFit="1" customWidth="1"/>
    <col min="45" max="45" width="17" style="480" bestFit="1" customWidth="1"/>
    <col min="46" max="46" width="18.28515625" style="480" customWidth="1"/>
    <col min="47" max="47" width="18" style="480" bestFit="1" customWidth="1"/>
    <col min="48" max="48" width="16.85546875" style="480" bestFit="1" customWidth="1"/>
    <col min="49" max="49" width="17" style="480" bestFit="1" customWidth="1"/>
    <col min="50" max="50" width="16" style="480" bestFit="1" customWidth="1"/>
    <col min="51" max="51" width="17.28515625" style="480" customWidth="1"/>
    <col min="52" max="52" width="16.28515625" style="480" bestFit="1" customWidth="1"/>
    <col min="53" max="53" width="16.7109375" style="480" bestFit="1" customWidth="1"/>
    <col min="54" max="54" width="18" style="480" customWidth="1"/>
    <col min="55" max="55" width="17.85546875" style="480" customWidth="1"/>
    <col min="56" max="56" width="19.5703125" style="480" customWidth="1"/>
    <col min="57" max="57" width="17.7109375" style="480" bestFit="1" customWidth="1"/>
    <col min="58" max="58" width="18.28515625" style="480" customWidth="1"/>
    <col min="59" max="59" width="17" style="480" customWidth="1"/>
    <col min="60" max="60" width="19.5703125" style="480" customWidth="1"/>
    <col min="61" max="61" width="18.28515625" style="480" customWidth="1"/>
    <col min="62" max="62" width="19" style="480" customWidth="1"/>
    <col min="63" max="65" width="18" style="480" customWidth="1"/>
    <col min="66" max="66" width="18.85546875" style="480" customWidth="1"/>
    <col min="67" max="67" width="19.28515625" style="480" customWidth="1"/>
    <col min="68" max="68" width="18.28515625" style="480" bestFit="1" customWidth="1"/>
    <col min="69" max="69" width="18.7109375" style="480" customWidth="1"/>
    <col min="70" max="70" width="18" style="480" bestFit="1" customWidth="1"/>
    <col min="71" max="71" width="20.85546875" style="480" customWidth="1"/>
    <col min="72" max="72" width="18" style="480" customWidth="1"/>
    <col min="73" max="73" width="17.7109375" style="480" customWidth="1"/>
    <col min="74" max="74" width="17.85546875" style="480" customWidth="1"/>
    <col min="75" max="75" width="18.28515625" style="480" bestFit="1" customWidth="1"/>
    <col min="76" max="76" width="19.5703125" style="480" customWidth="1"/>
    <col min="77" max="88" width="15.28515625" style="480" customWidth="1"/>
    <col min="89" max="89" width="15.42578125" style="482" bestFit="1" customWidth="1"/>
    <col min="90" max="90" width="14.140625" style="480" bestFit="1" customWidth="1"/>
    <col min="91" max="92" width="9.85546875" style="480" customWidth="1"/>
    <col min="93" max="93" width="17.5703125" style="480" bestFit="1" customWidth="1"/>
    <col min="94" max="97" width="9.85546875" style="480" customWidth="1"/>
    <col min="98" max="98" width="10.85546875" style="480" bestFit="1" customWidth="1"/>
    <col min="99" max="99" width="9.85546875" style="480" customWidth="1"/>
    <col min="100" max="101" width="10.85546875" style="480" bestFit="1" customWidth="1"/>
    <col min="102" max="102" width="9.85546875" style="480" customWidth="1"/>
    <col min="103" max="103" width="10.85546875" style="482" bestFit="1" customWidth="1"/>
    <col min="104" max="104" width="9.7109375" style="480" bestFit="1" customWidth="1"/>
    <col min="105" max="105" width="10.85546875" style="480" bestFit="1" customWidth="1"/>
    <col min="106" max="106" width="11.7109375" style="480" customWidth="1"/>
    <col min="107" max="108" width="9.7109375" style="480" bestFit="1" customWidth="1"/>
    <col min="109" max="109" width="10.7109375" style="480" bestFit="1" customWidth="1"/>
    <col min="110" max="110" width="11.28515625" style="480" bestFit="1" customWidth="1"/>
    <col min="111" max="111" width="9.7109375" style="480" bestFit="1" customWidth="1"/>
    <col min="112" max="112" width="12" style="480" bestFit="1" customWidth="1"/>
    <col min="113" max="115" width="9.7109375" style="480" bestFit="1" customWidth="1"/>
    <col min="116" max="116" width="12" style="482" bestFit="1" customWidth="1"/>
    <col min="117" max="128" width="10.7109375" style="480"/>
    <col min="129" max="129" width="12" style="482" bestFit="1" customWidth="1"/>
    <col min="130" max="16384" width="10.7109375" style="480"/>
  </cols>
  <sheetData>
    <row r="1" spans="1:141" ht="7.5" customHeight="1">
      <c r="AA1" s="480"/>
    </row>
    <row r="2" spans="1:141" ht="15" customHeight="1">
      <c r="C2" s="970">
        <v>2018</v>
      </c>
      <c r="D2" s="970"/>
      <c r="E2" s="970"/>
      <c r="F2" s="970"/>
      <c r="G2" s="970"/>
      <c r="H2" s="970"/>
      <c r="I2" s="970"/>
      <c r="J2" s="970"/>
      <c r="K2" s="970"/>
      <c r="L2" s="970"/>
      <c r="M2" s="970"/>
      <c r="N2" s="970"/>
      <c r="P2" s="483">
        <v>2019</v>
      </c>
      <c r="Q2" s="484"/>
      <c r="R2" s="484"/>
      <c r="S2" s="484"/>
      <c r="T2" s="484"/>
      <c r="U2" s="484"/>
      <c r="V2" s="484"/>
      <c r="W2" s="484"/>
      <c r="X2" s="484"/>
      <c r="Y2" s="484"/>
      <c r="Z2" s="484"/>
      <c r="AA2" s="484"/>
      <c r="AC2" s="485">
        <v>2020</v>
      </c>
      <c r="AD2" s="484"/>
      <c r="AE2" s="484"/>
      <c r="AF2" s="484"/>
      <c r="AG2" s="484"/>
      <c r="AH2" s="484"/>
      <c r="AI2" s="484"/>
      <c r="AJ2" s="484"/>
      <c r="AL2" s="483" t="s">
        <v>121</v>
      </c>
      <c r="AM2" s="484"/>
      <c r="AN2" s="484"/>
      <c r="AO2" s="484"/>
      <c r="AP2" s="486"/>
      <c r="AQ2" s="484"/>
      <c r="AR2" s="484"/>
      <c r="AS2" s="484"/>
      <c r="AT2" s="484"/>
      <c r="AU2" s="484"/>
      <c r="AV2" s="484"/>
      <c r="AW2" s="484"/>
      <c r="AY2" s="486" t="s">
        <v>122</v>
      </c>
      <c r="AZ2" s="486"/>
      <c r="BA2" s="486"/>
      <c r="BB2" s="486"/>
      <c r="BC2" s="486"/>
      <c r="BD2" s="486"/>
      <c r="BE2" s="486"/>
      <c r="BF2" s="486"/>
      <c r="BG2" s="486"/>
      <c r="BH2" s="486"/>
      <c r="BI2" s="486"/>
      <c r="BJ2" s="486"/>
      <c r="BL2" s="487" t="s">
        <v>123</v>
      </c>
      <c r="BM2" s="487"/>
      <c r="BN2" s="487"/>
      <c r="BO2" s="487"/>
      <c r="BP2" s="487"/>
      <c r="BQ2" s="487"/>
      <c r="BR2" s="487"/>
      <c r="BS2" s="487"/>
      <c r="BT2" s="487"/>
      <c r="BU2" s="487"/>
      <c r="BV2" s="487"/>
      <c r="BW2" s="487"/>
      <c r="BY2" s="971" t="s">
        <v>124</v>
      </c>
      <c r="BZ2" s="971"/>
      <c r="CA2" s="971"/>
      <c r="CB2" s="971"/>
      <c r="CC2" s="971"/>
      <c r="CD2" s="971"/>
      <c r="CE2" s="971"/>
      <c r="CF2" s="971"/>
      <c r="CG2" s="971"/>
      <c r="CH2" s="971"/>
      <c r="CI2" s="971"/>
      <c r="CJ2" s="971"/>
      <c r="CL2" s="482"/>
      <c r="CM2" s="971" t="s">
        <v>344</v>
      </c>
      <c r="CN2" s="971"/>
      <c r="CO2" s="971"/>
      <c r="CP2" s="971"/>
      <c r="CQ2" s="971"/>
      <c r="CR2" s="971"/>
      <c r="CS2" s="971"/>
      <c r="CT2" s="971"/>
      <c r="CU2" s="971"/>
      <c r="CV2" s="971"/>
      <c r="CW2" s="971"/>
      <c r="CX2" s="971"/>
      <c r="CZ2" s="971" t="s">
        <v>466</v>
      </c>
      <c r="DA2" s="971"/>
      <c r="DB2" s="971"/>
      <c r="DC2" s="971"/>
      <c r="DD2" s="971"/>
      <c r="DE2" s="971"/>
      <c r="DF2" s="971"/>
      <c r="DG2" s="971"/>
      <c r="DH2" s="971"/>
      <c r="DI2" s="971"/>
      <c r="DJ2" s="971"/>
      <c r="DK2" s="971"/>
      <c r="DM2" s="971" t="s">
        <v>539</v>
      </c>
      <c r="DN2" s="971"/>
      <c r="DO2" s="971"/>
      <c r="DP2" s="971"/>
      <c r="DQ2" s="971"/>
      <c r="DR2" s="971"/>
      <c r="DS2" s="971"/>
      <c r="DT2" s="971"/>
      <c r="DU2" s="971"/>
      <c r="DV2" s="971"/>
      <c r="DW2" s="971"/>
      <c r="DX2" s="971"/>
    </row>
    <row r="3" spans="1:141" ht="15">
      <c r="B3" s="488" t="s">
        <v>125</v>
      </c>
      <c r="C3" s="489" t="s">
        <v>126</v>
      </c>
      <c r="D3" s="489" t="s">
        <v>127</v>
      </c>
      <c r="E3" s="489" t="s">
        <v>128</v>
      </c>
      <c r="F3" s="489" t="s">
        <v>129</v>
      </c>
      <c r="G3" s="489" t="s">
        <v>130</v>
      </c>
      <c r="H3" s="489" t="s">
        <v>131</v>
      </c>
      <c r="I3" s="489" t="s">
        <v>132</v>
      </c>
      <c r="J3" s="489" t="s">
        <v>133</v>
      </c>
      <c r="K3" s="489" t="s">
        <v>134</v>
      </c>
      <c r="L3" s="489" t="s">
        <v>135</v>
      </c>
      <c r="M3" s="489" t="s">
        <v>136</v>
      </c>
      <c r="N3" s="489" t="s">
        <v>137</v>
      </c>
      <c r="O3" s="490" t="s">
        <v>138</v>
      </c>
      <c r="P3" s="491" t="s">
        <v>126</v>
      </c>
      <c r="Q3" s="491" t="s">
        <v>127</v>
      </c>
      <c r="R3" s="491" t="s">
        <v>128</v>
      </c>
      <c r="S3" s="491" t="s">
        <v>129</v>
      </c>
      <c r="T3" s="491" t="s">
        <v>130</v>
      </c>
      <c r="U3" s="491" t="s">
        <v>131</v>
      </c>
      <c r="V3" s="491" t="s">
        <v>132</v>
      </c>
      <c r="W3" s="492" t="s">
        <v>133</v>
      </c>
      <c r="X3" s="491" t="s">
        <v>134</v>
      </c>
      <c r="Y3" s="491" t="s">
        <v>135</v>
      </c>
      <c r="Z3" s="491" t="s">
        <v>136</v>
      </c>
      <c r="AA3" s="491" t="s">
        <v>137</v>
      </c>
      <c r="AB3" s="493" t="s">
        <v>138</v>
      </c>
      <c r="AC3" s="494" t="s">
        <v>126</v>
      </c>
      <c r="AD3" s="491" t="s">
        <v>127</v>
      </c>
      <c r="AE3" s="491" t="s">
        <v>128</v>
      </c>
      <c r="AF3" s="491" t="s">
        <v>129</v>
      </c>
      <c r="AG3" s="491" t="s">
        <v>130</v>
      </c>
      <c r="AH3" s="491" t="s">
        <v>131</v>
      </c>
      <c r="AI3" s="491" t="s">
        <v>132</v>
      </c>
      <c r="AJ3" s="491" t="s">
        <v>133</v>
      </c>
      <c r="AK3" s="495" t="s">
        <v>138</v>
      </c>
      <c r="AL3" s="491" t="s">
        <v>134</v>
      </c>
      <c r="AM3" s="491" t="s">
        <v>135</v>
      </c>
      <c r="AN3" s="491" t="s">
        <v>136</v>
      </c>
      <c r="AO3" s="496" t="s">
        <v>137</v>
      </c>
      <c r="AP3" s="497" t="s">
        <v>126</v>
      </c>
      <c r="AQ3" s="491" t="s">
        <v>127</v>
      </c>
      <c r="AR3" s="491" t="s">
        <v>128</v>
      </c>
      <c r="AS3" s="491" t="s">
        <v>129</v>
      </c>
      <c r="AT3" s="491" t="s">
        <v>130</v>
      </c>
      <c r="AU3" s="491" t="s">
        <v>131</v>
      </c>
      <c r="AV3" s="491" t="s">
        <v>132</v>
      </c>
      <c r="AW3" s="491" t="s">
        <v>133</v>
      </c>
      <c r="AX3" s="495" t="s">
        <v>138</v>
      </c>
      <c r="AY3" s="498" t="s">
        <v>134</v>
      </c>
      <c r="AZ3" s="496" t="s">
        <v>135</v>
      </c>
      <c r="BA3" s="496" t="s">
        <v>136</v>
      </c>
      <c r="BB3" s="496" t="s">
        <v>137</v>
      </c>
      <c r="BC3" s="496" t="s">
        <v>126</v>
      </c>
      <c r="BD3" s="496" t="s">
        <v>127</v>
      </c>
      <c r="BE3" s="496" t="s">
        <v>128</v>
      </c>
      <c r="BF3" s="496" t="s">
        <v>129</v>
      </c>
      <c r="BG3" s="496" t="s">
        <v>130</v>
      </c>
      <c r="BH3" s="496" t="s">
        <v>131</v>
      </c>
      <c r="BI3" s="496" t="s">
        <v>132</v>
      </c>
      <c r="BJ3" s="499" t="s">
        <v>133</v>
      </c>
      <c r="BK3" s="495" t="s">
        <v>138</v>
      </c>
      <c r="BL3" s="498" t="s">
        <v>134</v>
      </c>
      <c r="BM3" s="496" t="s">
        <v>135</v>
      </c>
      <c r="BN3" s="496" t="s">
        <v>136</v>
      </c>
      <c r="BO3" s="496" t="s">
        <v>137</v>
      </c>
      <c r="BP3" s="496" t="s">
        <v>126</v>
      </c>
      <c r="BQ3" s="496" t="s">
        <v>127</v>
      </c>
      <c r="BR3" s="496" t="s">
        <v>128</v>
      </c>
      <c r="BS3" s="496" t="s">
        <v>129</v>
      </c>
      <c r="BT3" s="496" t="s">
        <v>130</v>
      </c>
      <c r="BU3" s="496" t="s">
        <v>131</v>
      </c>
      <c r="BV3" s="496" t="s">
        <v>132</v>
      </c>
      <c r="BW3" s="499" t="s">
        <v>133</v>
      </c>
      <c r="BX3" s="495" t="s">
        <v>138</v>
      </c>
      <c r="BY3" s="498" t="s">
        <v>134</v>
      </c>
      <c r="BZ3" s="496" t="s">
        <v>135</v>
      </c>
      <c r="CA3" s="496" t="s">
        <v>136</v>
      </c>
      <c r="CB3" s="496" t="s">
        <v>137</v>
      </c>
      <c r="CC3" s="496" t="s">
        <v>126</v>
      </c>
      <c r="CD3" s="496" t="s">
        <v>127</v>
      </c>
      <c r="CE3" s="496" t="s">
        <v>128</v>
      </c>
      <c r="CF3" s="496" t="s">
        <v>129</v>
      </c>
      <c r="CG3" s="496" t="s">
        <v>130</v>
      </c>
      <c r="CH3" s="496" t="s">
        <v>131</v>
      </c>
      <c r="CI3" s="496" t="s">
        <v>132</v>
      </c>
      <c r="CJ3" s="496" t="s">
        <v>133</v>
      </c>
      <c r="CK3" s="495" t="s">
        <v>138</v>
      </c>
      <c r="CL3" s="646" t="s">
        <v>413</v>
      </c>
      <c r="CM3" s="496" t="s">
        <v>134</v>
      </c>
      <c r="CN3" s="496" t="s">
        <v>135</v>
      </c>
      <c r="CO3" s="496" t="s">
        <v>136</v>
      </c>
      <c r="CP3" s="496" t="s">
        <v>137</v>
      </c>
      <c r="CQ3" s="496" t="s">
        <v>126</v>
      </c>
      <c r="CR3" s="496" t="s">
        <v>127</v>
      </c>
      <c r="CS3" s="496" t="s">
        <v>128</v>
      </c>
      <c r="CT3" s="496" t="s">
        <v>129</v>
      </c>
      <c r="CU3" s="496" t="s">
        <v>130</v>
      </c>
      <c r="CV3" s="496" t="s">
        <v>131</v>
      </c>
      <c r="CW3" s="496" t="s">
        <v>132</v>
      </c>
      <c r="CX3" s="499" t="s">
        <v>133</v>
      </c>
      <c r="CY3" s="495" t="s">
        <v>138</v>
      </c>
      <c r="CZ3" s="496" t="s">
        <v>134</v>
      </c>
      <c r="DA3" s="496" t="s">
        <v>135</v>
      </c>
      <c r="DB3" s="496" t="s">
        <v>136</v>
      </c>
      <c r="DC3" s="496" t="s">
        <v>137</v>
      </c>
      <c r="DD3" s="496" t="s">
        <v>126</v>
      </c>
      <c r="DE3" s="496" t="s">
        <v>127</v>
      </c>
      <c r="DF3" s="496" t="s">
        <v>128</v>
      </c>
      <c r="DG3" s="496" t="s">
        <v>129</v>
      </c>
      <c r="DH3" s="496" t="s">
        <v>130</v>
      </c>
      <c r="DI3" s="496" t="s">
        <v>131</v>
      </c>
      <c r="DJ3" s="496" t="s">
        <v>132</v>
      </c>
      <c r="DK3" s="499" t="s">
        <v>133</v>
      </c>
      <c r="DL3" s="495" t="s">
        <v>138</v>
      </c>
      <c r="DM3" s="496" t="s">
        <v>134</v>
      </c>
      <c r="DN3" s="496" t="s">
        <v>135</v>
      </c>
      <c r="DO3" s="496" t="s">
        <v>136</v>
      </c>
      <c r="DP3" s="496" t="s">
        <v>137</v>
      </c>
      <c r="DQ3" s="496" t="s">
        <v>126</v>
      </c>
      <c r="DR3" s="496" t="s">
        <v>127</v>
      </c>
      <c r="DS3" s="496" t="s">
        <v>128</v>
      </c>
      <c r="DT3" s="496" t="s">
        <v>129</v>
      </c>
      <c r="DU3" s="496" t="s">
        <v>130</v>
      </c>
      <c r="DV3" s="496" t="s">
        <v>131</v>
      </c>
      <c r="DW3" s="496" t="s">
        <v>132</v>
      </c>
      <c r="DX3" s="499" t="s">
        <v>133</v>
      </c>
      <c r="DY3" s="495" t="s">
        <v>138</v>
      </c>
    </row>
    <row r="4" spans="1:141">
      <c r="C4" s="513"/>
      <c r="D4" s="513"/>
      <c r="E4" s="513"/>
      <c r="F4" s="513"/>
      <c r="G4" s="513"/>
      <c r="H4" s="513"/>
      <c r="I4" s="513"/>
      <c r="J4" s="513"/>
      <c r="K4" s="513"/>
      <c r="L4" s="513"/>
      <c r="M4" s="512"/>
      <c r="N4" s="512"/>
      <c r="O4" s="596"/>
      <c r="P4" s="711"/>
      <c r="Q4" s="711"/>
      <c r="R4" s="711"/>
      <c r="S4" s="711"/>
      <c r="T4" s="711"/>
      <c r="U4" s="711"/>
      <c r="V4" s="711"/>
      <c r="W4" s="711"/>
      <c r="X4" s="711"/>
      <c r="Y4" s="711"/>
      <c r="Z4" s="711"/>
      <c r="AA4" s="711"/>
      <c r="AB4" s="517"/>
      <c r="AC4" s="648"/>
      <c r="AD4" s="711"/>
      <c r="AE4" s="711"/>
      <c r="AF4" s="711"/>
      <c r="AG4" s="711"/>
      <c r="AH4" s="711"/>
      <c r="AI4" s="711"/>
      <c r="AJ4" s="711"/>
      <c r="AK4" s="519"/>
      <c r="AL4" s="648"/>
      <c r="AM4" s="647"/>
      <c r="AN4" s="647"/>
      <c r="AO4" s="647"/>
      <c r="AP4" s="515"/>
      <c r="AQ4" s="515"/>
      <c r="AR4" s="515"/>
      <c r="AS4" s="515"/>
      <c r="AT4" s="515"/>
      <c r="AU4" s="515"/>
      <c r="AV4" s="515"/>
      <c r="AW4" s="520"/>
      <c r="AX4" s="519"/>
      <c r="AY4" s="518"/>
      <c r="AZ4" s="515"/>
      <c r="BA4" s="515"/>
      <c r="BB4" s="515"/>
      <c r="BC4" s="515"/>
      <c r="BD4" s="515"/>
      <c r="BE4" s="515"/>
      <c r="BF4" s="515"/>
      <c r="BG4" s="515"/>
      <c r="BH4" s="515"/>
      <c r="BI4" s="515"/>
      <c r="BJ4" s="520"/>
      <c r="BK4" s="519"/>
      <c r="BL4" s="518"/>
      <c r="BM4" s="515"/>
      <c r="BN4" s="515"/>
      <c r="BO4" s="515"/>
      <c r="BP4" s="515"/>
      <c r="BQ4" s="515"/>
      <c r="BR4" s="515"/>
      <c r="BS4" s="515"/>
      <c r="BT4" s="515"/>
      <c r="BU4" s="515"/>
      <c r="BV4" s="515"/>
      <c r="BW4" s="520"/>
      <c r="BX4" s="519"/>
      <c r="BY4" s="541"/>
      <c r="BZ4" s="541"/>
      <c r="CA4" s="541"/>
      <c r="CB4" s="541"/>
      <c r="CC4" s="541"/>
      <c r="CD4" s="541"/>
      <c r="CE4" s="541"/>
      <c r="CF4" s="541"/>
      <c r="CG4" s="541"/>
      <c r="CH4" s="541"/>
      <c r="CI4" s="541"/>
      <c r="CJ4" s="541"/>
      <c r="CK4" s="519"/>
      <c r="CL4" s="649"/>
      <c r="CM4" s="543"/>
      <c r="CN4" s="541"/>
      <c r="CO4" s="543"/>
      <c r="CP4" s="541"/>
      <c r="CQ4" s="541"/>
      <c r="CR4" s="541"/>
      <c r="CS4" s="541"/>
      <c r="CT4" s="541"/>
      <c r="CU4" s="541"/>
      <c r="CV4" s="541"/>
      <c r="CW4" s="541"/>
      <c r="CX4" s="541"/>
      <c r="CY4" s="519"/>
      <c r="CZ4" s="541"/>
      <c r="DA4" s="541"/>
      <c r="DB4" s="541"/>
      <c r="DC4" s="541"/>
      <c r="DD4" s="541"/>
      <c r="DE4" s="541"/>
      <c r="DF4" s="541"/>
      <c r="DG4" s="541"/>
      <c r="DH4" s="541"/>
      <c r="DL4" s="519"/>
      <c r="DY4" s="519"/>
    </row>
    <row r="5" spans="1:141" s="510" customFormat="1" ht="15">
      <c r="A5" s="480"/>
      <c r="B5" s="488" t="s">
        <v>477</v>
      </c>
      <c r="C5" s="502"/>
      <c r="D5" s="502"/>
      <c r="E5" s="502"/>
      <c r="F5" s="502"/>
      <c r="G5" s="502"/>
      <c r="H5" s="502"/>
      <c r="I5" s="502"/>
      <c r="J5" s="502"/>
      <c r="K5" s="502"/>
      <c r="L5" s="502"/>
      <c r="M5" s="501"/>
      <c r="N5" s="501"/>
      <c r="O5" s="748"/>
      <c r="P5" s="686"/>
      <c r="Q5" s="686"/>
      <c r="R5" s="686"/>
      <c r="S5" s="686"/>
      <c r="T5" s="686"/>
      <c r="U5" s="686"/>
      <c r="V5" s="686"/>
      <c r="W5" s="686"/>
      <c r="X5" s="686"/>
      <c r="Y5" s="686"/>
      <c r="Z5" s="686"/>
      <c r="AA5" s="686"/>
      <c r="AB5" s="687"/>
      <c r="AC5" s="688"/>
      <c r="AD5" s="686"/>
      <c r="AE5" s="686"/>
      <c r="AF5" s="686"/>
      <c r="AG5" s="686"/>
      <c r="AH5" s="686"/>
      <c r="AI5" s="686"/>
      <c r="AJ5" s="686"/>
      <c r="AK5" s="664"/>
      <c r="AL5" s="688"/>
      <c r="AM5" s="686"/>
      <c r="AN5" s="686"/>
      <c r="AO5" s="686"/>
      <c r="AP5" s="690"/>
      <c r="AQ5" s="690"/>
      <c r="AR5" s="690"/>
      <c r="AS5" s="690"/>
      <c r="AT5" s="690"/>
      <c r="AU5" s="690"/>
      <c r="AV5" s="690"/>
      <c r="AW5" s="749"/>
      <c r="AX5" s="664"/>
      <c r="AY5" s="691"/>
      <c r="AZ5" s="690"/>
      <c r="BA5" s="690"/>
      <c r="BB5" s="690"/>
      <c r="BC5" s="690"/>
      <c r="BD5" s="690"/>
      <c r="BE5" s="690"/>
      <c r="BF5" s="690"/>
      <c r="BG5" s="690"/>
      <c r="BH5" s="690"/>
      <c r="BI5" s="690"/>
      <c r="BJ5" s="749"/>
      <c r="BK5" s="664"/>
      <c r="BL5" s="691"/>
      <c r="BM5" s="690"/>
      <c r="BN5" s="690"/>
      <c r="BO5" s="690"/>
      <c r="BP5" s="690"/>
      <c r="BQ5" s="690"/>
      <c r="BR5" s="690"/>
      <c r="BS5" s="690"/>
      <c r="BT5" s="690"/>
      <c r="BU5" s="690"/>
      <c r="BV5" s="690"/>
      <c r="BW5" s="749"/>
      <c r="BX5" s="664"/>
      <c r="BY5" s="663"/>
      <c r="BZ5" s="663"/>
      <c r="CA5" s="663"/>
      <c r="CB5" s="541"/>
      <c r="CC5" s="663"/>
      <c r="CD5" s="663"/>
      <c r="CE5" s="663"/>
      <c r="CF5" s="663"/>
      <c r="CG5" s="663"/>
      <c r="CH5" s="663"/>
      <c r="CI5" s="541"/>
      <c r="CJ5" s="663"/>
      <c r="CK5" s="664"/>
      <c r="CL5" s="720"/>
      <c r="CM5" s="694"/>
      <c r="CN5" s="663"/>
      <c r="CO5" s="543"/>
      <c r="CP5" s="663"/>
      <c r="CQ5" s="663"/>
      <c r="CR5" s="663"/>
      <c r="CS5" s="663"/>
      <c r="CT5" s="663"/>
      <c r="CU5" s="663"/>
      <c r="CV5" s="663"/>
      <c r="CW5" s="663"/>
      <c r="CX5" s="663"/>
      <c r="CY5" s="664"/>
      <c r="CZ5" s="663"/>
      <c r="DA5" s="663"/>
      <c r="DB5" s="663"/>
      <c r="DC5" s="663"/>
      <c r="DD5" s="663"/>
      <c r="DE5" s="663"/>
      <c r="DF5" s="663"/>
      <c r="DG5" s="663"/>
      <c r="DH5" s="663"/>
      <c r="DL5" s="664"/>
      <c r="DY5" s="664"/>
    </row>
    <row r="6" spans="1:141" ht="15">
      <c r="B6" s="480" t="s">
        <v>221</v>
      </c>
      <c r="C6" s="513"/>
      <c r="D6" s="513"/>
      <c r="E6" s="513"/>
      <c r="F6" s="513"/>
      <c r="G6" s="513"/>
      <c r="H6" s="513"/>
      <c r="I6" s="513"/>
      <c r="J6" s="513"/>
      <c r="K6" s="513"/>
      <c r="L6" s="513"/>
      <c r="M6" s="512"/>
      <c r="N6" s="512"/>
      <c r="O6" s="596"/>
      <c r="P6" s="711"/>
      <c r="Q6" s="711"/>
      <c r="R6" s="711"/>
      <c r="S6" s="711"/>
      <c r="T6" s="711"/>
      <c r="U6" s="711"/>
      <c r="V6" s="711"/>
      <c r="W6" s="711"/>
      <c r="X6" s="711"/>
      <c r="Y6" s="711"/>
      <c r="Z6" s="711"/>
      <c r="AA6" s="711"/>
      <c r="AB6" s="517"/>
      <c r="AC6" s="648"/>
      <c r="AD6" s="711"/>
      <c r="AE6" s="711"/>
      <c r="AF6" s="711"/>
      <c r="AG6" s="711"/>
      <c r="AH6" s="711"/>
      <c r="AI6" s="711"/>
      <c r="AJ6" s="711"/>
      <c r="AK6" s="519"/>
      <c r="AL6" s="648"/>
      <c r="AM6" s="647"/>
      <c r="AN6" s="647"/>
      <c r="AO6" s="647"/>
      <c r="AP6" s="515"/>
      <c r="AQ6" s="515"/>
      <c r="AR6" s="515"/>
      <c r="AS6" s="515"/>
      <c r="AT6" s="515"/>
      <c r="AU6" s="541"/>
      <c r="AV6" s="532">
        <f>309000+400000</f>
        <v>709000</v>
      </c>
      <c r="AW6" s="520"/>
      <c r="AX6" s="519"/>
      <c r="AY6" s="518"/>
      <c r="AZ6" s="515"/>
      <c r="BA6" s="515"/>
      <c r="BB6" s="515"/>
      <c r="BC6" s="515"/>
      <c r="BD6" s="515"/>
      <c r="BE6" s="515"/>
      <c r="BF6" s="515"/>
      <c r="BG6" s="515"/>
      <c r="BH6" s="515"/>
      <c r="BI6" s="515"/>
      <c r="BJ6" s="520"/>
      <c r="BK6" s="519"/>
      <c r="BL6" s="542">
        <f>4565.77+12755.05</f>
        <v>17320.82</v>
      </c>
      <c r="BM6" s="542">
        <f>9871.98+2976.75</f>
        <v>12848.73</v>
      </c>
      <c r="BN6" s="542">
        <f>31560.1+(18805.05-12755.05)+1129.08</f>
        <v>38739.18</v>
      </c>
      <c r="BO6" s="542">
        <f>28805.09+1484+1463.6+2262.51+15148.01+6488.4*0.2</f>
        <v>50460.89</v>
      </c>
      <c r="BP6" s="532">
        <f>28067.34+1751.61+9871.98</f>
        <v>39690.93</v>
      </c>
      <c r="BQ6" s="515"/>
      <c r="BR6" s="532">
        <f>3859.9+1374.44+1484+3217.34+3338.33+42096.98+6488.4*0.8+6742.8+725.26+8242.69</f>
        <v>76272.460000000006</v>
      </c>
      <c r="BS6" s="532">
        <f>1639.6+6388.44+874.23</f>
        <v>8902.2699999999986</v>
      </c>
      <c r="BT6" s="542">
        <f>28435.53*1.21/2+112.23+361.79</f>
        <v>17677.515649999998</v>
      </c>
      <c r="BU6" s="542">
        <f>1498.1+363</f>
        <v>1861.1</v>
      </c>
      <c r="BV6" s="542">
        <f>6850.46</f>
        <v>6850.46</v>
      </c>
      <c r="BW6" s="516"/>
      <c r="BX6" s="519"/>
      <c r="BY6" s="516"/>
      <c r="BZ6" s="541"/>
      <c r="CA6" s="532">
        <f>1149.5+701.44</f>
        <v>1850.94</v>
      </c>
      <c r="CB6" s="679">
        <f>557.33+902.67+474.32+515.94</f>
        <v>2450.2600000000002</v>
      </c>
      <c r="CC6" s="532">
        <f>10423.87/2</f>
        <v>5211.9350000000004</v>
      </c>
      <c r="CD6" s="717">
        <f>3041+2788.48</f>
        <v>5829.48</v>
      </c>
      <c r="CE6" s="515"/>
      <c r="CF6" s="541"/>
      <c r="CG6" s="541"/>
      <c r="CH6" s="717">
        <f>(7719.8-3859.9)+10423.87/2</f>
        <v>9071.8350000000009</v>
      </c>
      <c r="CI6" s="750">
        <f>(28435.53*1.21/2-3041)/2</f>
        <v>7081.2478249999986</v>
      </c>
      <c r="CJ6" s="541"/>
      <c r="CK6" s="519">
        <f>-SUM(BY6:CJ6)</f>
        <v>-31495.697825000003</v>
      </c>
      <c r="CL6" s="715"/>
      <c r="CM6" s="543"/>
      <c r="CN6" s="541"/>
      <c r="CO6" s="750">
        <f>(28435.53*1.21/2-3041-7081.25)+10423.87+1451.82+207</f>
        <v>19163.935649999999</v>
      </c>
      <c r="CP6" s="566"/>
      <c r="CQ6" s="750">
        <f>1020.67</f>
        <v>1020.67</v>
      </c>
      <c r="CR6" s="716">
        <f>1451.82+1292.2</f>
        <v>2744.02</v>
      </c>
      <c r="CS6" s="532">
        <v>3706</v>
      </c>
      <c r="CT6" s="532">
        <v>230</v>
      </c>
      <c r="CU6" s="532">
        <f>777-230</f>
        <v>547</v>
      </c>
      <c r="CV6" s="541"/>
      <c r="CW6" s="541"/>
      <c r="CX6" s="541"/>
      <c r="CY6" s="519">
        <f>-SUM(CO6:CX6)</f>
        <v>-27411.625649999998</v>
      </c>
      <c r="CZ6" s="541"/>
      <c r="DA6" s="534">
        <f>620*0.3+245.03+7513.25</f>
        <v>7944.28</v>
      </c>
      <c r="DB6" s="541"/>
      <c r="DC6" s="544">
        <f>6010.6</f>
        <v>6010.6</v>
      </c>
      <c r="DD6" s="544">
        <f>(7513.25-6010.6)+245.02+582.5</f>
        <v>2330.1699999999996</v>
      </c>
      <c r="DE6" s="541"/>
      <c r="DF6" s="544">
        <f>(620-186)-123+2388.5+3027.42+(1346.55-582.5)</f>
        <v>6490.97</v>
      </c>
      <c r="DG6" s="544">
        <f>3280.73</f>
        <v>3280.73</v>
      </c>
      <c r="DH6" s="544">
        <f>435.99</f>
        <v>435.99</v>
      </c>
      <c r="DI6" s="572">
        <f>435.99+(4777-2388.5)</f>
        <v>2824.49</v>
      </c>
      <c r="DL6" s="528">
        <f>-SUM(CZ6:DK6)</f>
        <v>-29317.230000000003</v>
      </c>
      <c r="DY6" s="528">
        <f>-SUM(DM6:DX6)</f>
        <v>0</v>
      </c>
    </row>
    <row r="7" spans="1:141" ht="15">
      <c r="B7" s="480" t="s">
        <v>528</v>
      </c>
      <c r="C7" s="579"/>
      <c r="D7" s="579"/>
      <c r="E7" s="579"/>
      <c r="F7" s="579"/>
      <c r="G7" s="579"/>
      <c r="H7" s="579"/>
      <c r="I7" s="579"/>
      <c r="J7" s="579"/>
      <c r="K7" s="579"/>
      <c r="L7" s="579"/>
      <c r="M7" s="538"/>
      <c r="N7" s="538"/>
      <c r="O7" s="575"/>
      <c r="P7" s="647"/>
      <c r="Q7" s="647"/>
      <c r="R7" s="647"/>
      <c r="S7" s="647"/>
      <c r="T7" s="647"/>
      <c r="U7" s="647"/>
      <c r="V7" s="647"/>
      <c r="W7" s="647"/>
      <c r="X7" s="647"/>
      <c r="Y7" s="647"/>
      <c r="Z7" s="647"/>
      <c r="AA7" s="647"/>
      <c r="AB7" s="517"/>
      <c r="AC7" s="648"/>
      <c r="AD7" s="647"/>
      <c r="AE7" s="647"/>
      <c r="AF7" s="647"/>
      <c r="AG7" s="647"/>
      <c r="AH7" s="647"/>
      <c r="AI7" s="647"/>
      <c r="AJ7" s="647"/>
      <c r="AK7" s="582"/>
      <c r="AL7" s="647"/>
      <c r="AM7" s="647"/>
      <c r="AN7" s="647"/>
      <c r="AO7" s="647"/>
      <c r="AP7" s="515"/>
      <c r="AQ7" s="515"/>
      <c r="AR7" s="515"/>
      <c r="AS7" s="515"/>
      <c r="AT7" s="515"/>
      <c r="AU7" s="515"/>
      <c r="AV7" s="515"/>
      <c r="AW7" s="515"/>
      <c r="AX7" s="582"/>
      <c r="AY7" s="515"/>
      <c r="AZ7" s="515"/>
      <c r="BA7" s="515"/>
      <c r="BB7" s="532">
        <v>20000</v>
      </c>
      <c r="BC7" s="532">
        <f>19500+19500+19900</f>
        <v>58900</v>
      </c>
      <c r="BD7" s="515"/>
      <c r="BE7" s="515"/>
      <c r="BF7" s="515"/>
      <c r="BG7" s="515"/>
      <c r="BH7" s="515"/>
      <c r="BI7" s="542">
        <v>1404.43</v>
      </c>
      <c r="BJ7" s="532">
        <f>1404.43</f>
        <v>1404.43</v>
      </c>
      <c r="BK7" s="582"/>
      <c r="BL7" s="532">
        <f>-78900+1404.43</f>
        <v>-77495.570000000007</v>
      </c>
      <c r="BM7" s="542">
        <v>1404.43</v>
      </c>
      <c r="BN7" s="542">
        <v>1404.43</v>
      </c>
      <c r="BO7" s="542">
        <v>1404.43</v>
      </c>
      <c r="BP7" s="542">
        <v>1470.69</v>
      </c>
      <c r="BQ7" s="542">
        <v>1470.69</v>
      </c>
      <c r="BR7" s="542">
        <v>1470.69</v>
      </c>
      <c r="BS7" s="542">
        <v>1470.69</v>
      </c>
      <c r="BT7" s="542">
        <v>1470.69</v>
      </c>
      <c r="BU7" s="542">
        <v>1470.69</v>
      </c>
      <c r="BV7" s="542">
        <v>1502.78</v>
      </c>
      <c r="BW7" s="542">
        <v>1502.78</v>
      </c>
      <c r="BX7" s="519"/>
      <c r="BY7" s="542">
        <v>1502.78</v>
      </c>
      <c r="BZ7" s="542">
        <v>1502.78</v>
      </c>
      <c r="CA7" s="542">
        <v>1502.78</v>
      </c>
      <c r="CB7" s="542">
        <v>1502.78</v>
      </c>
      <c r="CC7" s="542">
        <v>1494.47</v>
      </c>
      <c r="CD7" s="542">
        <v>1494.47</v>
      </c>
      <c r="CE7" s="542">
        <v>1494.47</v>
      </c>
      <c r="CF7" s="542">
        <v>1494.47</v>
      </c>
      <c r="CG7" s="542">
        <v>1494.47</v>
      </c>
      <c r="CH7" s="542">
        <f>1494.47+41634.1*1.21-50000</f>
        <v>1871.7309999999998</v>
      </c>
      <c r="CI7" s="516"/>
      <c r="CJ7" s="516"/>
      <c r="CK7" s="519">
        <f>-SUM(BY7:CJ7)</f>
        <v>-15355.200999999997</v>
      </c>
      <c r="CL7" s="649"/>
      <c r="CM7" s="683"/>
      <c r="CN7" s="516"/>
      <c r="CO7" s="556"/>
      <c r="CP7" s="516"/>
      <c r="CQ7" s="516"/>
      <c r="CR7" s="516"/>
      <c r="CS7" s="516"/>
      <c r="CT7" s="516"/>
      <c r="CU7" s="516"/>
      <c r="CV7" s="516"/>
      <c r="CW7" s="516"/>
      <c r="CX7" s="559"/>
      <c r="CY7" s="519">
        <f>-SUM(CM7:CX7)</f>
        <v>0</v>
      </c>
      <c r="CZ7" s="541"/>
      <c r="DA7" s="541"/>
      <c r="DB7" s="541"/>
      <c r="DC7" s="541"/>
      <c r="DD7" s="541"/>
      <c r="DE7" s="541"/>
      <c r="DF7" s="541"/>
      <c r="DG7" s="541"/>
      <c r="DH7" s="541"/>
      <c r="DL7" s="528">
        <f>-SUM(CZ7:DK7)</f>
        <v>0</v>
      </c>
      <c r="DY7" s="528">
        <f>-SUM(DM7:DX7)</f>
        <v>0</v>
      </c>
    </row>
    <row r="8" spans="1:141" ht="15">
      <c r="B8" s="480" t="s">
        <v>529</v>
      </c>
      <c r="C8" s="579"/>
      <c r="D8" s="579"/>
      <c r="E8" s="579"/>
      <c r="F8" s="579"/>
      <c r="G8" s="579"/>
      <c r="H8" s="579"/>
      <c r="I8" s="579"/>
      <c r="J8" s="579"/>
      <c r="K8" s="579"/>
      <c r="L8" s="579"/>
      <c r="M8" s="538"/>
      <c r="N8" s="538"/>
      <c r="O8" s="575"/>
      <c r="P8" s="647"/>
      <c r="Q8" s="647"/>
      <c r="R8" s="647"/>
      <c r="S8" s="647"/>
      <c r="T8" s="647"/>
      <c r="U8" s="647"/>
      <c r="V8" s="647"/>
      <c r="W8" s="647"/>
      <c r="X8" s="647"/>
      <c r="Y8" s="647"/>
      <c r="Z8" s="647"/>
      <c r="AA8" s="647"/>
      <c r="AB8" s="517"/>
      <c r="AC8" s="648"/>
      <c r="AD8" s="647"/>
      <c r="AE8" s="647"/>
      <c r="AF8" s="647"/>
      <c r="AG8" s="647"/>
      <c r="AH8" s="647"/>
      <c r="AI8" s="647"/>
      <c r="AJ8" s="647"/>
      <c r="AK8" s="582"/>
      <c r="AL8" s="647"/>
      <c r="AM8" s="647"/>
      <c r="AN8" s="647"/>
      <c r="AO8" s="647"/>
      <c r="AP8" s="515"/>
      <c r="AQ8" s="515"/>
      <c r="AR8" s="515"/>
      <c r="AS8" s="515"/>
      <c r="AT8" s="515"/>
      <c r="AU8" s="515"/>
      <c r="AV8" s="515"/>
      <c r="AW8" s="515"/>
      <c r="AX8" s="582"/>
      <c r="AY8" s="515"/>
      <c r="AZ8" s="515"/>
      <c r="BA8" s="515"/>
      <c r="BB8" s="532"/>
      <c r="BC8" s="532"/>
      <c r="BD8" s="515"/>
      <c r="BE8" s="515"/>
      <c r="BF8" s="515"/>
      <c r="BG8" s="515"/>
      <c r="BH8" s="515"/>
      <c r="BI8" s="542"/>
      <c r="BJ8" s="532"/>
      <c r="BK8" s="582"/>
      <c r="BL8" s="532"/>
      <c r="BM8" s="542"/>
      <c r="BN8" s="542"/>
      <c r="BO8" s="542"/>
      <c r="BP8" s="542"/>
      <c r="BQ8" s="542"/>
      <c r="BR8" s="542"/>
      <c r="BS8" s="542"/>
      <c r="BT8" s="542"/>
      <c r="BU8" s="542"/>
      <c r="BV8" s="542"/>
      <c r="BW8" s="542"/>
      <c r="BX8" s="519"/>
      <c r="BY8" s="542"/>
      <c r="BZ8" s="542"/>
      <c r="CA8" s="542"/>
      <c r="CB8" s="542"/>
      <c r="CC8" s="542"/>
      <c r="CD8" s="542"/>
      <c r="CE8" s="542"/>
      <c r="CF8" s="542"/>
      <c r="CG8" s="542"/>
      <c r="CH8" s="542">
        <f>1570.97+2628.2</f>
        <v>4199.17</v>
      </c>
      <c r="CI8" s="542">
        <v>1570.97</v>
      </c>
      <c r="CJ8" s="542">
        <v>1570.97</v>
      </c>
      <c r="CK8" s="519">
        <f t="shared" ref="CK8:CK10" si="0">-SUM(BY8:CJ8)</f>
        <v>-7341.1100000000006</v>
      </c>
      <c r="CL8" s="649"/>
      <c r="CM8" s="556">
        <v>1570.97</v>
      </c>
      <c r="CN8" s="542">
        <v>1570.97</v>
      </c>
      <c r="CO8" s="542">
        <v>1570.97</v>
      </c>
      <c r="CP8" s="542">
        <v>1570.97</v>
      </c>
      <c r="CQ8" s="542">
        <v>1570.97</v>
      </c>
      <c r="CR8" s="542">
        <v>1570.97</v>
      </c>
      <c r="CS8" s="542">
        <v>1570.97</v>
      </c>
      <c r="CT8" s="542">
        <v>1570.97</v>
      </c>
      <c r="CU8" s="542">
        <v>1570.97</v>
      </c>
      <c r="CV8" s="542">
        <v>1570.97</v>
      </c>
      <c r="CW8" s="542">
        <v>1570.97</v>
      </c>
      <c r="CX8" s="542">
        <v>1570.97</v>
      </c>
      <c r="CY8" s="519">
        <f>-SUM(CM8:CX8)</f>
        <v>-18851.64</v>
      </c>
      <c r="CZ8" s="544">
        <v>1570.97</v>
      </c>
      <c r="DA8" s="544">
        <v>1570.97</v>
      </c>
      <c r="DB8" s="544">
        <v>1570.97</v>
      </c>
      <c r="DC8" s="544">
        <v>1570.97</v>
      </c>
      <c r="DD8" s="544">
        <v>1570.97</v>
      </c>
      <c r="DE8" s="544">
        <v>1570.97</v>
      </c>
      <c r="DF8" s="544">
        <v>1570.97</v>
      </c>
      <c r="DG8" s="544">
        <v>1570.97</v>
      </c>
      <c r="DH8" s="544">
        <v>1570.97</v>
      </c>
      <c r="DI8" s="572">
        <v>1570.97</v>
      </c>
      <c r="DJ8" s="572">
        <v>1570.97</v>
      </c>
      <c r="DK8" s="572">
        <v>1570.97</v>
      </c>
      <c r="DL8" s="528">
        <f>-SUM(CZ8:DK8)</f>
        <v>-18851.64</v>
      </c>
      <c r="DM8" s="572">
        <v>1570.97</v>
      </c>
      <c r="DN8" s="572">
        <v>1570.97</v>
      </c>
      <c r="DO8" s="572">
        <v>1570.97</v>
      </c>
      <c r="DP8" s="572">
        <v>1570.97</v>
      </c>
      <c r="DQ8" s="572">
        <v>1570.97</v>
      </c>
      <c r="DR8" s="572">
        <v>1570.97</v>
      </c>
      <c r="DS8" s="572">
        <v>1570.97</v>
      </c>
      <c r="DT8" s="572">
        <v>1570.97</v>
      </c>
      <c r="DU8" s="572">
        <v>1570.97</v>
      </c>
      <c r="DY8" s="528">
        <f>-SUM(DM8:DX8)</f>
        <v>-14138.729999999998</v>
      </c>
    </row>
    <row r="9" spans="1:141" ht="15">
      <c r="B9" s="480" t="s">
        <v>525</v>
      </c>
      <c r="C9" s="579"/>
      <c r="D9" s="579"/>
      <c r="E9" s="579"/>
      <c r="F9" s="579"/>
      <c r="G9" s="579"/>
      <c r="H9" s="579"/>
      <c r="I9" s="579"/>
      <c r="J9" s="579"/>
      <c r="K9" s="579"/>
      <c r="L9" s="579"/>
      <c r="M9" s="538"/>
      <c r="N9" s="538"/>
      <c r="O9" s="575"/>
      <c r="P9" s="647"/>
      <c r="Q9" s="647"/>
      <c r="R9" s="647"/>
      <c r="S9" s="647"/>
      <c r="T9" s="647"/>
      <c r="U9" s="647"/>
      <c r="V9" s="647"/>
      <c r="W9" s="647"/>
      <c r="X9" s="647"/>
      <c r="Y9" s="647"/>
      <c r="Z9" s="647"/>
      <c r="AA9" s="647"/>
      <c r="AB9" s="517"/>
      <c r="AC9" s="648"/>
      <c r="AD9" s="647"/>
      <c r="AE9" s="647"/>
      <c r="AF9" s="647"/>
      <c r="AG9" s="647"/>
      <c r="AH9" s="647"/>
      <c r="AI9" s="647"/>
      <c r="AJ9" s="647"/>
      <c r="AK9" s="582"/>
      <c r="AL9" s="647"/>
      <c r="AM9" s="647"/>
      <c r="AN9" s="647"/>
      <c r="AO9" s="647"/>
      <c r="AP9" s="515"/>
      <c r="AQ9" s="515"/>
      <c r="AR9" s="515"/>
      <c r="AS9" s="515"/>
      <c r="AT9" s="515"/>
      <c r="AU9" s="515"/>
      <c r="AV9" s="515"/>
      <c r="AW9" s="515"/>
      <c r="AX9" s="582"/>
      <c r="AY9" s="515"/>
      <c r="AZ9" s="515"/>
      <c r="BA9" s="515"/>
      <c r="BB9" s="532"/>
      <c r="BC9" s="532"/>
      <c r="BD9" s="515"/>
      <c r="BE9" s="515"/>
      <c r="BF9" s="515"/>
      <c r="BG9" s="515"/>
      <c r="BH9" s="515"/>
      <c r="BI9" s="542"/>
      <c r="BJ9" s="532"/>
      <c r="BK9" s="582"/>
      <c r="BL9" s="532"/>
      <c r="BM9" s="542"/>
      <c r="BN9" s="542"/>
      <c r="BO9" s="542"/>
      <c r="BP9" s="542"/>
      <c r="BQ9" s="542"/>
      <c r="BR9" s="542">
        <f>23172.73*1.1</f>
        <v>25490.003000000001</v>
      </c>
      <c r="BS9" s="542"/>
      <c r="BT9" s="542"/>
      <c r="BU9" s="542"/>
      <c r="BV9" s="542"/>
      <c r="BW9" s="542"/>
      <c r="BX9" s="519"/>
      <c r="BY9" s="542"/>
      <c r="BZ9" s="542"/>
      <c r="CA9" s="542"/>
      <c r="CB9" s="542"/>
      <c r="CC9" s="542"/>
      <c r="CD9" s="542">
        <f>23172.73*1.1+2124.17+2124.17</f>
        <v>29738.343000000001</v>
      </c>
      <c r="CE9" s="542">
        <v>2124.17</v>
      </c>
      <c r="CF9" s="542">
        <v>2124.17</v>
      </c>
      <c r="CG9" s="542">
        <v>2124.17</v>
      </c>
      <c r="CH9" s="542">
        <v>2124.17</v>
      </c>
      <c r="CI9" s="542">
        <v>2124.17</v>
      </c>
      <c r="CJ9" s="542">
        <v>2124.17</v>
      </c>
      <c r="CK9" s="519">
        <f t="shared" si="0"/>
        <v>-42483.36299999999</v>
      </c>
      <c r="CL9" s="649"/>
      <c r="CM9" s="556">
        <v>2124.17</v>
      </c>
      <c r="CN9" s="542">
        <v>2124.17</v>
      </c>
      <c r="CO9" s="542">
        <v>2124.17</v>
      </c>
      <c r="CP9" s="542">
        <v>2124.17</v>
      </c>
      <c r="CQ9" s="542">
        <v>1463.63</v>
      </c>
      <c r="CR9" s="542"/>
      <c r="CS9" s="542"/>
      <c r="CT9" s="542">
        <v>686.27</v>
      </c>
      <c r="CU9" s="542"/>
      <c r="CV9" s="542"/>
      <c r="CW9" s="542"/>
      <c r="CX9" s="542"/>
      <c r="CY9" s="519">
        <f>-SUM(CM9:CX9)</f>
        <v>-10646.580000000002</v>
      </c>
      <c r="CZ9" s="516"/>
      <c r="DA9" s="516"/>
      <c r="DB9" s="516"/>
      <c r="DC9" s="516"/>
      <c r="DD9" s="516"/>
      <c r="DE9" s="516"/>
      <c r="DF9" s="544">
        <f>164200+12691.16+1538.8</f>
        <v>178429.96</v>
      </c>
      <c r="DG9" s="516"/>
      <c r="DH9" s="544">
        <f>4764.42+887.96+164.98</f>
        <v>5817.36</v>
      </c>
      <c r="DI9" s="572">
        <f>4764.42+887.96+164.98</f>
        <v>5817.36</v>
      </c>
      <c r="DJ9" s="575"/>
      <c r="DK9" s="575"/>
      <c r="DL9" s="528">
        <f>-SUM(CZ9:DK9)</f>
        <v>-190064.67999999996</v>
      </c>
      <c r="DY9" s="528">
        <f>-SUM(DM9:DX9)</f>
        <v>0</v>
      </c>
    </row>
    <row r="10" spans="1:141" ht="15">
      <c r="B10" s="510" t="s">
        <v>184</v>
      </c>
      <c r="C10" s="502"/>
      <c r="D10" s="502"/>
      <c r="E10" s="502"/>
      <c r="F10" s="502"/>
      <c r="G10" s="502"/>
      <c r="H10" s="502"/>
      <c r="I10" s="502"/>
      <c r="J10" s="502"/>
      <c r="K10" s="502"/>
      <c r="L10" s="502"/>
      <c r="M10" s="501"/>
      <c r="N10" s="501"/>
      <c r="O10" s="748"/>
      <c r="P10" s="686"/>
      <c r="Q10" s="686"/>
      <c r="R10" s="686"/>
      <c r="S10" s="686"/>
      <c r="T10" s="686"/>
      <c r="U10" s="686"/>
      <c r="V10" s="686"/>
      <c r="W10" s="686"/>
      <c r="X10" s="686"/>
      <c r="Y10" s="686"/>
      <c r="Z10" s="686"/>
      <c r="AA10" s="686"/>
      <c r="AB10" s="687"/>
      <c r="AC10" s="688"/>
      <c r="AD10" s="686"/>
      <c r="AE10" s="686"/>
      <c r="AF10" s="686"/>
      <c r="AG10" s="686"/>
      <c r="AH10" s="686"/>
      <c r="AI10" s="686"/>
      <c r="AJ10" s="686"/>
      <c r="AK10" s="664"/>
      <c r="AL10" s="688"/>
      <c r="AM10" s="686"/>
      <c r="AN10" s="686"/>
      <c r="AO10" s="686"/>
      <c r="AP10" s="690"/>
      <c r="AQ10" s="690"/>
      <c r="AR10" s="690"/>
      <c r="AS10" s="690"/>
      <c r="AT10" s="690"/>
      <c r="AU10" s="690"/>
      <c r="AV10" s="690"/>
      <c r="AW10" s="690"/>
      <c r="AX10" s="664"/>
      <c r="AY10" s="691"/>
      <c r="AZ10" s="515"/>
      <c r="BA10" s="690"/>
      <c r="BB10" s="504"/>
      <c r="BC10" s="504"/>
      <c r="BD10" s="690"/>
      <c r="BE10" s="690"/>
      <c r="BF10" s="690"/>
      <c r="BG10" s="690"/>
      <c r="BH10" s="690"/>
      <c r="BI10" s="721"/>
      <c r="BJ10" s="504"/>
      <c r="BK10" s="664"/>
      <c r="BL10" s="504"/>
      <c r="BM10" s="721"/>
      <c r="BN10" s="721"/>
      <c r="BO10" s="721"/>
      <c r="BP10" s="721"/>
      <c r="BQ10" s="721"/>
      <c r="BR10" s="721"/>
      <c r="BS10" s="722"/>
      <c r="BT10" s="722"/>
      <c r="BU10" s="722"/>
      <c r="BV10" s="722"/>
      <c r="BW10" s="722"/>
      <c r="BX10" s="664"/>
      <c r="BY10" s="722"/>
      <c r="BZ10" s="721"/>
      <c r="CA10" s="722"/>
      <c r="CB10" s="722"/>
      <c r="CC10" s="721"/>
      <c r="CD10" s="751"/>
      <c r="CE10" s="721"/>
      <c r="CF10" s="721"/>
      <c r="CG10" s="721"/>
      <c r="CH10" s="721"/>
      <c r="CI10" s="721"/>
      <c r="CJ10" s="721"/>
      <c r="CK10" s="664">
        <f t="shared" si="0"/>
        <v>0</v>
      </c>
      <c r="CL10" s="720"/>
      <c r="CM10" s="796"/>
      <c r="CN10" s="721"/>
      <c r="CO10" s="721"/>
      <c r="CP10" s="721"/>
      <c r="CQ10" s="721"/>
      <c r="CR10" s="663"/>
      <c r="CS10" s="663"/>
      <c r="CT10" s="852"/>
      <c r="CU10" s="663"/>
      <c r="CV10" s="663"/>
      <c r="CW10" s="663"/>
      <c r="CX10" s="663"/>
      <c r="CY10" s="519">
        <f>-SUM(CM10:CX10)</f>
        <v>0</v>
      </c>
      <c r="CZ10" s="663"/>
      <c r="DA10" s="507">
        <v>1224.45</v>
      </c>
      <c r="DB10" s="663"/>
      <c r="DC10" s="663"/>
      <c r="DD10" s="663"/>
      <c r="DE10" s="663"/>
      <c r="DF10" s="663"/>
      <c r="DG10" s="663"/>
      <c r="DH10" s="663"/>
      <c r="DI10" s="510"/>
      <c r="DJ10" s="510"/>
      <c r="DK10" s="510"/>
      <c r="DL10" s="790">
        <f>-SUM(CZ10:DK10)</f>
        <v>-1224.45</v>
      </c>
      <c r="DM10" s="510"/>
      <c r="DN10" s="510"/>
      <c r="DO10" s="510"/>
      <c r="DP10" s="510"/>
      <c r="DQ10" s="510"/>
      <c r="DR10" s="510"/>
      <c r="DS10" s="510"/>
      <c r="DT10" s="510"/>
      <c r="DU10" s="510"/>
      <c r="DV10" s="510"/>
      <c r="DW10" s="510"/>
      <c r="DX10" s="510"/>
      <c r="DY10" s="790">
        <f>-SUM(DM10:DX10)</f>
        <v>0</v>
      </c>
      <c r="DZ10" s="510"/>
      <c r="EA10" s="510"/>
      <c r="EB10" s="510"/>
      <c r="EC10" s="510"/>
      <c r="ED10" s="510"/>
      <c r="EE10" s="510"/>
      <c r="EF10" s="510"/>
      <c r="EG10" s="510"/>
      <c r="EH10" s="510"/>
      <c r="EI10" s="510"/>
      <c r="EJ10" s="510"/>
      <c r="EK10" s="510"/>
    </row>
    <row r="11" spans="1:141" s="488" customFormat="1" ht="15.75">
      <c r="B11" s="752" t="s">
        <v>537</v>
      </c>
      <c r="C11" s="753"/>
      <c r="D11" s="753"/>
      <c r="E11" s="753"/>
      <c r="F11" s="753"/>
      <c r="G11" s="753"/>
      <c r="H11" s="753"/>
      <c r="I11" s="753"/>
      <c r="J11" s="753"/>
      <c r="K11" s="753"/>
      <c r="L11" s="753"/>
      <c r="M11" s="754"/>
      <c r="N11" s="754"/>
      <c r="O11" s="755"/>
      <c r="P11" s="756"/>
      <c r="Q11" s="756"/>
      <c r="R11" s="756"/>
      <c r="S11" s="756"/>
      <c r="T11" s="756"/>
      <c r="U11" s="756"/>
      <c r="V11" s="756"/>
      <c r="W11" s="756"/>
      <c r="X11" s="756"/>
      <c r="Y11" s="756"/>
      <c r="Z11" s="756"/>
      <c r="AA11" s="756"/>
      <c r="AB11" s="505"/>
      <c r="AC11" s="757"/>
      <c r="AD11" s="756"/>
      <c r="AE11" s="756"/>
      <c r="AF11" s="756"/>
      <c r="AG11" s="756"/>
      <c r="AH11" s="756"/>
      <c r="AI11" s="756"/>
      <c r="AJ11" s="756"/>
      <c r="AK11" s="506"/>
      <c r="AL11" s="757"/>
      <c r="AM11" s="756"/>
      <c r="AN11" s="756"/>
      <c r="AO11" s="756"/>
      <c r="AP11" s="504"/>
      <c r="AQ11" s="504"/>
      <c r="AR11" s="504"/>
      <c r="AS11" s="504"/>
      <c r="AT11" s="504"/>
      <c r="AU11" s="504"/>
      <c r="AV11" s="504">
        <f>SUM(AV6:AV9)+AU11</f>
        <v>709000</v>
      </c>
      <c r="AW11" s="504">
        <f>SUM(AW6:AW9)+AV11</f>
        <v>709000</v>
      </c>
      <c r="AX11" s="506">
        <f>AW11</f>
        <v>709000</v>
      </c>
      <c r="AY11" s="693">
        <f>SUM(AY6:AY9)+AW11</f>
        <v>709000</v>
      </c>
      <c r="AZ11" s="705">
        <f>SUM(AZ6:AZ9)+AY11</f>
        <v>709000</v>
      </c>
      <c r="BA11" s="705">
        <f t="shared" ref="BA11:BJ11" si="1">SUM(BA6:BA9)+AZ11</f>
        <v>709000</v>
      </c>
      <c r="BB11" s="705">
        <f t="shared" si="1"/>
        <v>729000</v>
      </c>
      <c r="BC11" s="705">
        <f t="shared" si="1"/>
        <v>787900</v>
      </c>
      <c r="BD11" s="705">
        <f t="shared" si="1"/>
        <v>787900</v>
      </c>
      <c r="BE11" s="705">
        <f t="shared" si="1"/>
        <v>787900</v>
      </c>
      <c r="BF11" s="705">
        <f t="shared" si="1"/>
        <v>787900</v>
      </c>
      <c r="BG11" s="705">
        <f t="shared" si="1"/>
        <v>787900</v>
      </c>
      <c r="BH11" s="705">
        <f t="shared" si="1"/>
        <v>787900</v>
      </c>
      <c r="BI11" s="705">
        <f t="shared" si="1"/>
        <v>789304.43</v>
      </c>
      <c r="BJ11" s="705">
        <f t="shared" si="1"/>
        <v>790708.8600000001</v>
      </c>
      <c r="BK11" s="506">
        <f>BJ11</f>
        <v>790708.8600000001</v>
      </c>
      <c r="BL11" s="693">
        <f>-SUM(BL6:BL9)</f>
        <v>60174.750000000007</v>
      </c>
      <c r="BM11" s="504">
        <f t="shared" ref="BM11:BW11" si="2">-SUM(BM6:BM9)</f>
        <v>-14253.16</v>
      </c>
      <c r="BN11" s="504">
        <f t="shared" si="2"/>
        <v>-40143.61</v>
      </c>
      <c r="BO11" s="504">
        <f t="shared" si="2"/>
        <v>-51865.32</v>
      </c>
      <c r="BP11" s="504">
        <f t="shared" si="2"/>
        <v>-41161.620000000003</v>
      </c>
      <c r="BQ11" s="504">
        <f t="shared" si="2"/>
        <v>-1470.69</v>
      </c>
      <c r="BR11" s="504">
        <f t="shared" si="2"/>
        <v>-103233.15300000001</v>
      </c>
      <c r="BS11" s="504">
        <f t="shared" si="2"/>
        <v>-10372.959999999999</v>
      </c>
      <c r="BT11" s="504">
        <f t="shared" si="2"/>
        <v>-19148.205649999996</v>
      </c>
      <c r="BU11" s="504">
        <f t="shared" si="2"/>
        <v>-3331.79</v>
      </c>
      <c r="BV11" s="504">
        <f t="shared" si="2"/>
        <v>-8353.24</v>
      </c>
      <c r="BW11" s="504">
        <f t="shared" si="2"/>
        <v>-1502.78</v>
      </c>
      <c r="BX11" s="708">
        <f>SUM(BL11:BW11)</f>
        <v>-234661.77864999999</v>
      </c>
      <c r="BY11" s="504">
        <f>-SUM(BY6:BY9)</f>
        <v>-1502.78</v>
      </c>
      <c r="BZ11" s="504">
        <f t="shared" ref="BZ11" si="3">-SUM(BZ6:BZ9)</f>
        <v>-1502.78</v>
      </c>
      <c r="CA11" s="504">
        <f t="shared" ref="CA11" si="4">-SUM(CA6:CA9)</f>
        <v>-3353.7200000000003</v>
      </c>
      <c r="CB11" s="504">
        <f t="shared" ref="CB11" si="5">-SUM(CB6:CB9)</f>
        <v>-3953.04</v>
      </c>
      <c r="CC11" s="504">
        <f t="shared" ref="CC11" si="6">-SUM(CC6:CC9)</f>
        <v>-6706.4050000000007</v>
      </c>
      <c r="CD11" s="721">
        <f t="shared" ref="CD11" si="7">-SUM(CD6:CD9)</f>
        <v>-37062.292999999998</v>
      </c>
      <c r="CE11" s="504">
        <f>-SUM(CE6:CE9)</f>
        <v>-3618.6400000000003</v>
      </c>
      <c r="CF11" s="504">
        <f>-SUM(CF6:CF9)</f>
        <v>-3618.6400000000003</v>
      </c>
      <c r="CG11" s="504">
        <f t="shared" ref="CG11" si="8">-SUM(CG6:CG9)</f>
        <v>-3618.6400000000003</v>
      </c>
      <c r="CH11" s="504">
        <f t="shared" ref="CH11" si="9">-SUM(CH6:CH9)</f>
        <v>-17266.906000000003</v>
      </c>
      <c r="CI11" s="504">
        <f t="shared" ref="CI11" si="10">-SUM(CI6:CI9)</f>
        <v>-10776.387824999998</v>
      </c>
      <c r="CJ11" s="504">
        <f t="shared" ref="CJ11" si="11">-SUM(CJ6:CJ9)</f>
        <v>-3695.1400000000003</v>
      </c>
      <c r="CK11" s="506">
        <f>SUM(BY11:CJ11)</f>
        <v>-96675.371824999995</v>
      </c>
      <c r="CL11" s="709"/>
      <c r="CM11" s="797">
        <f>-SUM(CM6:CM9)</f>
        <v>-3695.1400000000003</v>
      </c>
      <c r="CN11" s="504">
        <f>-SUM(CN6:CN9)</f>
        <v>-3695.1400000000003</v>
      </c>
      <c r="CO11" s="797">
        <f t="shared" ref="CO11" si="12">-SUM(CO6:CO9)</f>
        <v>-22859.075649999999</v>
      </c>
      <c r="CP11" s="504">
        <f t="shared" ref="CP11" si="13">-SUM(CP6:CP9)</f>
        <v>-3695.1400000000003</v>
      </c>
      <c r="CQ11" s="504">
        <f>-SUM(CQ6:CQ9)</f>
        <v>-4055.27</v>
      </c>
      <c r="CR11" s="504">
        <f>-SUM(CR6:CR9)</f>
        <v>-4314.99</v>
      </c>
      <c r="CS11" s="504">
        <f t="shared" ref="CS11" si="14">-SUM(CS6:CS9)</f>
        <v>-5276.97</v>
      </c>
      <c r="CT11" s="504">
        <f t="shared" ref="CT11" si="15">-SUM(CT6:CT9)</f>
        <v>-2487.2399999999998</v>
      </c>
      <c r="CU11" s="504">
        <f t="shared" ref="CU11" si="16">-SUM(CU6:CU9)</f>
        <v>-2117.9700000000003</v>
      </c>
      <c r="CV11" s="504">
        <f t="shared" ref="CV11" si="17">-SUM(CV6:CV9)</f>
        <v>-1570.97</v>
      </c>
      <c r="CW11" s="504">
        <f t="shared" ref="CW11" si="18">-SUM(CW6:CW9)</f>
        <v>-1570.97</v>
      </c>
      <c r="CX11" s="504">
        <f t="shared" ref="CX11" si="19">-SUM(CX6:CX9)</f>
        <v>-1570.97</v>
      </c>
      <c r="CY11" s="506">
        <f>SUM(CM11:CX11)</f>
        <v>-56909.845649999996</v>
      </c>
      <c r="CZ11" s="507">
        <f>-SUM(CZ6:CZ10)</f>
        <v>-1570.97</v>
      </c>
      <c r="DA11" s="507">
        <f>-SUM(DA6:DA10)</f>
        <v>-10739.7</v>
      </c>
      <c r="DB11" s="507">
        <f t="shared" ref="DB11:DK11" si="20">-SUM(DB6:DB10)</f>
        <v>-1570.97</v>
      </c>
      <c r="DC11" s="507">
        <f t="shared" si="20"/>
        <v>-7581.5700000000006</v>
      </c>
      <c r="DD11" s="507">
        <f t="shared" si="20"/>
        <v>-3901.1399999999994</v>
      </c>
      <c r="DE11" s="507">
        <f t="shared" si="20"/>
        <v>-1570.97</v>
      </c>
      <c r="DF11" s="507">
        <f t="shared" si="20"/>
        <v>-186491.9</v>
      </c>
      <c r="DG11" s="507">
        <f t="shared" si="20"/>
        <v>-4851.7</v>
      </c>
      <c r="DH11" s="507">
        <f t="shared" si="20"/>
        <v>-7824.32</v>
      </c>
      <c r="DI11" s="507">
        <f t="shared" si="20"/>
        <v>-10212.82</v>
      </c>
      <c r="DJ11" s="507">
        <f t="shared" si="20"/>
        <v>-1570.97</v>
      </c>
      <c r="DK11" s="507">
        <f t="shared" si="20"/>
        <v>-1570.97</v>
      </c>
      <c r="DL11" s="509">
        <f>SUM(CZ11:DK11)</f>
        <v>-239458.00000000003</v>
      </c>
      <c r="DM11" s="507">
        <f>-SUM(DM6:DM10)</f>
        <v>-1570.97</v>
      </c>
      <c r="DN11" s="507">
        <f>-SUM(DN6:DN10)</f>
        <v>-1570.97</v>
      </c>
      <c r="DO11" s="507">
        <f t="shared" ref="DO11" si="21">-SUM(DO6:DO10)</f>
        <v>-1570.97</v>
      </c>
      <c r="DP11" s="507">
        <f t="shared" ref="DP11" si="22">-SUM(DP6:DP10)</f>
        <v>-1570.97</v>
      </c>
      <c r="DQ11" s="507">
        <f t="shared" ref="DQ11" si="23">-SUM(DQ6:DQ10)</f>
        <v>-1570.97</v>
      </c>
      <c r="DR11" s="507">
        <f t="shared" ref="DR11" si="24">-SUM(DR6:DR10)</f>
        <v>-1570.97</v>
      </c>
      <c r="DS11" s="507">
        <f t="shared" ref="DS11" si="25">-SUM(DS6:DS10)</f>
        <v>-1570.97</v>
      </c>
      <c r="DT11" s="507">
        <f t="shared" ref="DT11" si="26">-SUM(DT6:DT10)</f>
        <v>-1570.97</v>
      </c>
      <c r="DU11" s="507">
        <f t="shared" ref="DU11" si="27">-SUM(DU6:DU10)</f>
        <v>-1570.97</v>
      </c>
      <c r="DV11" s="507">
        <f t="shared" ref="DV11" si="28">-SUM(DV6:DV10)</f>
        <v>0</v>
      </c>
      <c r="DW11" s="507">
        <f t="shared" ref="DW11" si="29">-SUM(DW6:DW10)</f>
        <v>0</v>
      </c>
      <c r="DX11" s="507">
        <f t="shared" ref="DX11" si="30">-SUM(DX6:DX10)</f>
        <v>0</v>
      </c>
      <c r="DY11" s="509">
        <f>SUM(DM11:DX11)</f>
        <v>-14138.729999999998</v>
      </c>
    </row>
    <row r="12" spans="1:141">
      <c r="B12" s="758" t="s">
        <v>243</v>
      </c>
      <c r="C12" s="513"/>
      <c r="D12" s="513"/>
      <c r="E12" s="513"/>
      <c r="F12" s="513"/>
      <c r="G12" s="513"/>
      <c r="H12" s="513"/>
      <c r="I12" s="513"/>
      <c r="J12" s="513"/>
      <c r="K12" s="513"/>
      <c r="L12" s="513"/>
      <c r="M12" s="512"/>
      <c r="N12" s="512"/>
      <c r="O12" s="596"/>
      <c r="P12" s="711"/>
      <c r="Q12" s="711"/>
      <c r="R12" s="711"/>
      <c r="S12" s="711"/>
      <c r="T12" s="711"/>
      <c r="U12" s="711"/>
      <c r="V12" s="711"/>
      <c r="W12" s="711"/>
      <c r="X12" s="711"/>
      <c r="Y12" s="711"/>
      <c r="Z12" s="711"/>
      <c r="AA12" s="711"/>
      <c r="AB12" s="517"/>
      <c r="AC12" s="648"/>
      <c r="AD12" s="711"/>
      <c r="AE12" s="711"/>
      <c r="AF12" s="711"/>
      <c r="AG12" s="711"/>
      <c r="AH12" s="711"/>
      <c r="AI12" s="711"/>
      <c r="AJ12" s="711"/>
      <c r="AK12" s="519"/>
      <c r="AL12" s="648"/>
      <c r="AM12" s="647"/>
      <c r="AN12" s="647"/>
      <c r="AO12" s="647"/>
      <c r="AP12" s="515"/>
      <c r="AQ12" s="515"/>
      <c r="AR12" s="515"/>
      <c r="AS12" s="515"/>
      <c r="AT12" s="515"/>
      <c r="AU12" s="515"/>
      <c r="AV12" s="515"/>
      <c r="AW12" s="520"/>
      <c r="AX12" s="519"/>
      <c r="AY12" s="518"/>
      <c r="AZ12" s="515"/>
      <c r="BA12" s="515"/>
      <c r="BB12" s="515"/>
      <c r="BC12" s="515"/>
      <c r="BD12" s="515"/>
      <c r="BE12" s="515"/>
      <c r="BF12" s="515"/>
      <c r="BG12" s="515"/>
      <c r="BH12" s="515"/>
      <c r="BI12" s="515"/>
      <c r="BJ12" s="520"/>
      <c r="BK12" s="519"/>
      <c r="BL12" s="518"/>
      <c r="BM12" s="515"/>
      <c r="BN12" s="515"/>
      <c r="BO12" s="515"/>
      <c r="BP12" s="515"/>
      <c r="BQ12" s="515"/>
      <c r="BR12" s="515"/>
      <c r="BS12" s="515"/>
      <c r="BT12" s="515"/>
      <c r="BU12" s="515"/>
      <c r="BV12" s="515"/>
      <c r="BW12" s="520"/>
      <c r="BX12" s="519"/>
      <c r="BY12" s="541"/>
      <c r="BZ12" s="541"/>
      <c r="CA12" s="541"/>
      <c r="CB12" s="541"/>
      <c r="CC12" s="541"/>
      <c r="CD12" s="553"/>
      <c r="CE12" s="541"/>
      <c r="CF12" s="541"/>
      <c r="CG12" s="541"/>
      <c r="CH12" s="541"/>
      <c r="CI12" s="541"/>
      <c r="CJ12" s="541"/>
      <c r="CK12" s="759">
        <f>SUM(CK6:CK9)-CK11</f>
        <v>0</v>
      </c>
      <c r="CL12" s="649"/>
      <c r="CM12" s="543"/>
      <c r="CN12" s="541"/>
      <c r="CO12" s="543"/>
      <c r="CP12" s="541"/>
      <c r="CQ12" s="541"/>
      <c r="CR12" s="541"/>
      <c r="CS12" s="541"/>
      <c r="CT12" s="541"/>
      <c r="CU12" s="541"/>
      <c r="CV12" s="541"/>
      <c r="CW12" s="541"/>
      <c r="CX12" s="541"/>
      <c r="CY12" s="759">
        <f>SUM(CY6:CY10)-CY11</f>
        <v>0</v>
      </c>
      <c r="CZ12" s="525"/>
      <c r="DA12" s="525"/>
      <c r="DB12" s="525"/>
      <c r="DC12" s="525"/>
      <c r="DD12" s="525"/>
      <c r="DE12" s="525"/>
      <c r="DF12" s="525"/>
      <c r="DG12" s="525"/>
      <c r="DH12" s="525"/>
      <c r="DI12" s="527"/>
      <c r="DJ12" s="527"/>
      <c r="DK12" s="527"/>
      <c r="DL12" s="784">
        <f>SUM(DL6:DL10)-DL11</f>
        <v>0</v>
      </c>
      <c r="DY12" s="784">
        <f>SUM(DY6:DY10)-DY11</f>
        <v>0</v>
      </c>
    </row>
    <row r="13" spans="1:141" s="658" customFormat="1" ht="15">
      <c r="C13" s="651"/>
      <c r="D13" s="651"/>
      <c r="E13" s="651"/>
      <c r="F13" s="651"/>
      <c r="G13" s="651"/>
      <c r="H13" s="651"/>
      <c r="I13" s="651"/>
      <c r="J13" s="651"/>
      <c r="K13" s="651"/>
      <c r="L13" s="651"/>
      <c r="M13" s="651"/>
      <c r="N13" s="651"/>
      <c r="O13" s="652"/>
      <c r="P13" s="653"/>
      <c r="Q13" s="653"/>
      <c r="R13" s="653"/>
      <c r="S13" s="653"/>
      <c r="T13" s="653"/>
      <c r="U13" s="653"/>
      <c r="V13" s="653"/>
      <c r="W13" s="653"/>
      <c r="X13" s="653"/>
      <c r="Y13" s="653"/>
      <c r="Z13" s="653"/>
      <c r="AA13" s="653"/>
      <c r="AB13" s="654"/>
      <c r="AC13" s="655"/>
      <c r="AD13" s="653"/>
      <c r="AE13" s="653"/>
      <c r="AF13" s="653"/>
      <c r="AG13" s="653"/>
      <c r="AH13" s="653"/>
      <c r="AI13" s="653"/>
      <c r="AJ13" s="653"/>
      <c r="AK13" s="656"/>
      <c r="AL13" s="653"/>
      <c r="AM13" s="653"/>
      <c r="AN13" s="653"/>
      <c r="AO13" s="653"/>
      <c r="AP13" s="653"/>
      <c r="AQ13" s="653"/>
      <c r="AR13" s="653"/>
      <c r="AS13" s="653"/>
      <c r="AT13" s="653"/>
      <c r="AU13" s="653"/>
      <c r="AV13" s="653"/>
      <c r="AW13" s="653"/>
      <c r="AX13" s="654"/>
      <c r="AY13" s="657"/>
      <c r="AZ13" s="656"/>
      <c r="BA13" s="656"/>
      <c r="BB13" s="656"/>
      <c r="BC13" s="656"/>
      <c r="BD13" s="656"/>
      <c r="BE13" s="656"/>
      <c r="BF13" s="656"/>
      <c r="BG13" s="656"/>
      <c r="BH13" s="656"/>
      <c r="BI13" s="656"/>
      <c r="BJ13" s="656"/>
      <c r="BK13" s="654"/>
      <c r="BL13" s="654"/>
      <c r="BM13" s="656"/>
      <c r="BN13" s="656"/>
      <c r="BO13" s="656"/>
      <c r="BP13" s="656"/>
      <c r="BQ13" s="656"/>
      <c r="BR13" s="656"/>
      <c r="BS13" s="656"/>
      <c r="BT13" s="656"/>
      <c r="BU13" s="656"/>
      <c r="BV13" s="656"/>
      <c r="BW13" s="656"/>
      <c r="BX13" s="659"/>
      <c r="BY13" s="656"/>
      <c r="BZ13" s="656"/>
      <c r="CA13" s="656"/>
      <c r="CB13" s="656"/>
      <c r="CC13" s="656"/>
      <c r="CD13" s="656"/>
      <c r="CE13" s="656"/>
      <c r="CF13" s="656"/>
      <c r="CG13" s="656"/>
      <c r="CH13" s="656"/>
      <c r="CI13" s="656"/>
      <c r="CJ13" s="656"/>
      <c r="CK13" s="659"/>
      <c r="CM13" s="576"/>
      <c r="CN13" s="656"/>
      <c r="CO13" s="656"/>
      <c r="CP13" s="656"/>
      <c r="CQ13" s="656"/>
      <c r="CR13" s="656"/>
      <c r="CS13" s="656"/>
      <c r="CT13" s="656"/>
      <c r="CU13" s="656"/>
      <c r="CV13" s="656"/>
      <c r="CW13" s="656"/>
      <c r="CX13" s="656"/>
      <c r="CY13" s="659"/>
      <c r="CZ13" s="904"/>
      <c r="DA13" s="904"/>
      <c r="DB13" s="904"/>
      <c r="DC13" s="904"/>
      <c r="DD13" s="904"/>
      <c r="DE13" s="904"/>
      <c r="DF13" s="904"/>
      <c r="DG13" s="904"/>
      <c r="DH13" s="904"/>
      <c r="DI13" s="904"/>
      <c r="DJ13" s="904"/>
      <c r="DK13" s="904"/>
      <c r="DL13" s="905"/>
      <c r="DY13" s="905"/>
    </row>
    <row r="14" spans="1:141" ht="15">
      <c r="B14" s="760" t="s">
        <v>478</v>
      </c>
      <c r="C14" s="579"/>
      <c r="D14" s="579"/>
      <c r="E14" s="579"/>
      <c r="F14" s="579"/>
      <c r="G14" s="579"/>
      <c r="H14" s="579"/>
      <c r="I14" s="579"/>
      <c r="J14" s="579"/>
      <c r="K14" s="579"/>
      <c r="L14" s="579"/>
      <c r="M14" s="538"/>
      <c r="N14" s="538"/>
      <c r="O14" s="575"/>
      <c r="P14" s="647"/>
      <c r="Q14" s="647"/>
      <c r="R14" s="647"/>
      <c r="S14" s="647"/>
      <c r="T14" s="647"/>
      <c r="U14" s="647"/>
      <c r="V14" s="647"/>
      <c r="W14" s="647"/>
      <c r="X14" s="647"/>
      <c r="Y14" s="647"/>
      <c r="Z14" s="647"/>
      <c r="AA14" s="647"/>
      <c r="AB14" s="517"/>
      <c r="AC14" s="648"/>
      <c r="AD14" s="647"/>
      <c r="AE14" s="647"/>
      <c r="AF14" s="647"/>
      <c r="AG14" s="647"/>
      <c r="AH14" s="647"/>
      <c r="AI14" s="647"/>
      <c r="AJ14" s="647"/>
      <c r="AK14" s="582"/>
      <c r="AL14" s="647"/>
      <c r="AM14" s="647"/>
      <c r="AN14" s="647"/>
      <c r="AO14" s="647"/>
      <c r="AP14" s="647"/>
      <c r="AQ14" s="647"/>
      <c r="AR14" s="647"/>
      <c r="AS14" s="647"/>
      <c r="AT14" s="647"/>
      <c r="AU14" s="647"/>
      <c r="AV14" s="647"/>
      <c r="AW14" s="647"/>
      <c r="AX14" s="517"/>
      <c r="AY14" s="532"/>
      <c r="AZ14" s="515"/>
      <c r="BA14" s="515"/>
      <c r="BB14" s="515"/>
      <c r="BC14" s="515"/>
      <c r="BD14" s="515"/>
      <c r="BE14" s="515"/>
      <c r="BF14" s="515"/>
      <c r="BG14" s="515"/>
      <c r="BH14" s="515"/>
      <c r="BI14" s="515"/>
      <c r="BJ14" s="515"/>
      <c r="BK14" s="517"/>
      <c r="BL14" s="518"/>
      <c r="BM14" s="515"/>
      <c r="BN14" s="576"/>
      <c r="BO14" s="515"/>
      <c r="BP14" s="515"/>
      <c r="BQ14" s="515"/>
      <c r="BR14" s="515"/>
      <c r="BS14" s="515"/>
      <c r="BT14" s="515"/>
      <c r="BU14" s="515"/>
      <c r="BV14" s="515"/>
      <c r="BW14" s="515"/>
      <c r="BX14" s="517"/>
      <c r="BY14" s="672"/>
      <c r="BZ14" s="671"/>
      <c r="CA14" s="673"/>
      <c r="CB14" s="671"/>
      <c r="CC14" s="671"/>
      <c r="CD14" s="671"/>
      <c r="CE14" s="671"/>
      <c r="CF14" s="671"/>
      <c r="CG14" s="671"/>
      <c r="CH14" s="671"/>
      <c r="CI14" s="671"/>
      <c r="CJ14" s="671"/>
      <c r="CK14" s="667"/>
      <c r="CL14" s="674"/>
      <c r="CM14" s="673"/>
      <c r="CN14" s="671"/>
      <c r="CO14" s="673"/>
      <c r="CP14" s="671"/>
      <c r="CQ14" s="671"/>
      <c r="CR14" s="671"/>
      <c r="CS14" s="671"/>
      <c r="CT14" s="671"/>
      <c r="CU14" s="671"/>
      <c r="CV14" s="671"/>
      <c r="CW14" s="671"/>
      <c r="CX14" s="671"/>
      <c r="CY14" s="674"/>
      <c r="CZ14" s="525"/>
      <c r="DA14" s="525"/>
      <c r="DB14" s="525"/>
      <c r="DC14" s="525"/>
      <c r="DD14" s="525"/>
      <c r="DE14" s="525"/>
      <c r="DF14" s="525"/>
      <c r="DG14" s="525"/>
      <c r="DH14" s="525"/>
      <c r="DI14" s="527"/>
      <c r="DJ14" s="527"/>
      <c r="DK14" s="527"/>
      <c r="DL14" s="528"/>
      <c r="DY14" s="528"/>
    </row>
    <row r="15" spans="1:141" ht="15">
      <c r="B15" s="719" t="s">
        <v>490</v>
      </c>
      <c r="C15" s="579"/>
      <c r="D15" s="579"/>
      <c r="E15" s="579"/>
      <c r="F15" s="579"/>
      <c r="G15" s="579"/>
      <c r="H15" s="579"/>
      <c r="I15" s="579"/>
      <c r="J15" s="579"/>
      <c r="K15" s="579"/>
      <c r="L15" s="579"/>
      <c r="M15" s="538"/>
      <c r="N15" s="538"/>
      <c r="O15" s="575"/>
      <c r="P15" s="647"/>
      <c r="Q15" s="647"/>
      <c r="R15" s="647"/>
      <c r="S15" s="647"/>
      <c r="T15" s="647"/>
      <c r="U15" s="647"/>
      <c r="V15" s="647"/>
      <c r="W15" s="647"/>
      <c r="X15" s="647"/>
      <c r="Y15" s="647"/>
      <c r="Z15" s="647"/>
      <c r="AA15" s="647"/>
      <c r="AB15" s="517"/>
      <c r="AC15" s="648"/>
      <c r="AD15" s="647"/>
      <c r="AE15" s="647"/>
      <c r="AF15" s="647"/>
      <c r="AG15" s="647"/>
      <c r="AH15" s="647"/>
      <c r="AI15" s="647"/>
      <c r="AJ15" s="647"/>
      <c r="AK15" s="582"/>
      <c r="AL15" s="647"/>
      <c r="AM15" s="647"/>
      <c r="AN15" s="647"/>
      <c r="AO15" s="647"/>
      <c r="AP15" s="647"/>
      <c r="AQ15" s="647"/>
      <c r="AR15" s="647"/>
      <c r="AS15" s="647"/>
      <c r="AT15" s="647"/>
      <c r="AU15" s="647"/>
      <c r="AV15" s="647"/>
      <c r="AW15" s="647"/>
      <c r="AX15" s="517"/>
      <c r="AY15" s="532"/>
      <c r="AZ15" s="515"/>
      <c r="BA15" s="515"/>
      <c r="BB15" s="515"/>
      <c r="BC15" s="515"/>
      <c r="BD15" s="515"/>
      <c r="BE15" s="515"/>
      <c r="BF15" s="515"/>
      <c r="BG15" s="515"/>
      <c r="BH15" s="515"/>
      <c r="BI15" s="515"/>
      <c r="BJ15" s="515"/>
      <c r="BK15" s="517"/>
      <c r="BL15" s="518"/>
      <c r="BM15" s="515"/>
      <c r="BN15" s="576"/>
      <c r="BO15" s="515"/>
      <c r="BP15" s="515"/>
      <c r="BQ15" s="515"/>
      <c r="BR15" s="515"/>
      <c r="BS15" s="515"/>
      <c r="BT15" s="515"/>
      <c r="BU15" s="515"/>
      <c r="BV15" s="515"/>
      <c r="BW15" s="515"/>
      <c r="BX15" s="517"/>
      <c r="BY15" s="548"/>
      <c r="BZ15" s="542"/>
      <c r="CA15" s="556"/>
      <c r="CB15" s="542"/>
      <c r="CC15" s="542"/>
      <c r="CD15" s="542"/>
      <c r="CE15" s="542"/>
      <c r="CF15" s="516"/>
      <c r="CG15" s="516"/>
      <c r="CH15" s="516"/>
      <c r="CI15" s="516"/>
      <c r="CJ15" s="516"/>
      <c r="CK15" s="517">
        <f>-SUM(BY15:CJ15)</f>
        <v>0</v>
      </c>
      <c r="CL15" s="519"/>
      <c r="CM15" s="523"/>
      <c r="CN15" s="522"/>
      <c r="CO15" s="523"/>
      <c r="CP15" s="522"/>
      <c r="CQ15" s="522"/>
      <c r="CR15" s="522"/>
      <c r="CS15" s="522"/>
      <c r="CT15" s="522"/>
      <c r="CU15" s="522"/>
      <c r="CV15" s="522"/>
      <c r="CW15" s="522"/>
      <c r="CX15" s="522"/>
      <c r="CY15" s="519">
        <f>-SUM(CM15:CX15)</f>
        <v>0</v>
      </c>
      <c r="CZ15" s="525"/>
      <c r="DA15" s="525"/>
      <c r="DB15" s="525"/>
      <c r="DC15" s="525"/>
      <c r="DD15" s="525"/>
      <c r="DE15" s="525"/>
      <c r="DF15" s="525"/>
      <c r="DG15" s="525"/>
      <c r="DH15" s="525"/>
      <c r="DI15" s="527"/>
      <c r="DJ15" s="527"/>
      <c r="DK15" s="527"/>
      <c r="DL15" s="528">
        <f>-SUM(CZ15:DK15)</f>
        <v>0</v>
      </c>
      <c r="DY15" s="528">
        <f>-SUM(DM15:DX15)</f>
        <v>0</v>
      </c>
    </row>
    <row r="16" spans="1:141" ht="15">
      <c r="B16" s="761" t="s">
        <v>491</v>
      </c>
      <c r="C16" s="579"/>
      <c r="D16" s="579"/>
      <c r="E16" s="579"/>
      <c r="F16" s="579"/>
      <c r="G16" s="579"/>
      <c r="H16" s="579"/>
      <c r="I16" s="579"/>
      <c r="J16" s="579"/>
      <c r="K16" s="579"/>
      <c r="L16" s="579"/>
      <c r="M16" s="538"/>
      <c r="N16" s="538"/>
      <c r="O16" s="575"/>
      <c r="P16" s="647"/>
      <c r="Q16" s="647"/>
      <c r="R16" s="647"/>
      <c r="S16" s="647"/>
      <c r="T16" s="647"/>
      <c r="U16" s="647"/>
      <c r="V16" s="647"/>
      <c r="W16" s="647"/>
      <c r="X16" s="647"/>
      <c r="Y16" s="647"/>
      <c r="Z16" s="647"/>
      <c r="AA16" s="647"/>
      <c r="AB16" s="517"/>
      <c r="AC16" s="648"/>
      <c r="AD16" s="647"/>
      <c r="AE16" s="647"/>
      <c r="AF16" s="647"/>
      <c r="AG16" s="647"/>
      <c r="AH16" s="647"/>
      <c r="AI16" s="647"/>
      <c r="AJ16" s="647"/>
      <c r="AK16" s="582"/>
      <c r="AL16" s="647"/>
      <c r="AM16" s="647"/>
      <c r="AN16" s="647"/>
      <c r="AO16" s="647"/>
      <c r="AP16" s="647"/>
      <c r="AQ16" s="647"/>
      <c r="AR16" s="647"/>
      <c r="AS16" s="647"/>
      <c r="AT16" s="647"/>
      <c r="AU16" s="647"/>
      <c r="AV16" s="647"/>
      <c r="AW16" s="647"/>
      <c r="AX16" s="517"/>
      <c r="AY16" s="532"/>
      <c r="AZ16" s="515"/>
      <c r="BA16" s="515"/>
      <c r="BB16" s="515"/>
      <c r="BC16" s="515"/>
      <c r="BD16" s="515"/>
      <c r="BE16" s="515"/>
      <c r="BF16" s="515"/>
      <c r="BG16" s="515"/>
      <c r="BH16" s="515"/>
      <c r="BI16" s="515"/>
      <c r="BJ16" s="515"/>
      <c r="BK16" s="517"/>
      <c r="BL16" s="518"/>
      <c r="BM16" s="515"/>
      <c r="BN16" s="576"/>
      <c r="BO16" s="515"/>
      <c r="BP16" s="515"/>
      <c r="BQ16" s="515"/>
      <c r="BR16" s="515"/>
      <c r="BS16" s="515"/>
      <c r="BT16" s="515"/>
      <c r="BU16" s="515"/>
      <c r="BV16" s="515"/>
      <c r="BW16" s="515"/>
      <c r="BX16" s="519"/>
      <c r="BY16" s="542"/>
      <c r="BZ16" s="542"/>
      <c r="CA16" s="568"/>
      <c r="CB16" s="515"/>
      <c r="CC16" s="515"/>
      <c r="CD16" s="515"/>
      <c r="CE16" s="515"/>
      <c r="CF16" s="515"/>
      <c r="CG16" s="515"/>
      <c r="CH16" s="515"/>
      <c r="CI16" s="515"/>
      <c r="CJ16" s="515"/>
      <c r="CK16" s="517">
        <f t="shared" ref="CK16:CK25" si="31">-SUM(BY16:CJ16)</f>
        <v>0</v>
      </c>
      <c r="CL16" s="519"/>
      <c r="CM16" s="523"/>
      <c r="CN16" s="522"/>
      <c r="CO16" s="576"/>
      <c r="CP16" s="515"/>
      <c r="CQ16" s="515"/>
      <c r="CR16" s="515"/>
      <c r="CS16" s="515"/>
      <c r="CT16" s="515"/>
      <c r="CU16" s="515"/>
      <c r="CV16" s="515"/>
      <c r="CW16" s="515"/>
      <c r="CX16" s="515"/>
      <c r="CY16" s="519">
        <f t="shared" ref="CY16:CY25" si="32">-SUM(CM16:CX16)</f>
        <v>0</v>
      </c>
      <c r="CZ16" s="525"/>
      <c r="DA16" s="525"/>
      <c r="DB16" s="525"/>
      <c r="DC16" s="525"/>
      <c r="DD16" s="525"/>
      <c r="DE16" s="525"/>
      <c r="DF16" s="525"/>
      <c r="DG16" s="525"/>
      <c r="DH16" s="525"/>
      <c r="DI16" s="527"/>
      <c r="DJ16" s="527"/>
      <c r="DK16" s="527"/>
      <c r="DL16" s="528">
        <f>-SUM(CZ16:DK16)</f>
        <v>0</v>
      </c>
      <c r="DY16" s="528">
        <f>-SUM(DM16:DX16)</f>
        <v>0</v>
      </c>
    </row>
    <row r="17" spans="2:129" ht="15">
      <c r="B17" s="480" t="s">
        <v>393</v>
      </c>
      <c r="C17" s="579"/>
      <c r="D17" s="579"/>
      <c r="E17" s="579"/>
      <c r="F17" s="579"/>
      <c r="G17" s="579"/>
      <c r="H17" s="579"/>
      <c r="I17" s="579"/>
      <c r="J17" s="579"/>
      <c r="K17" s="579"/>
      <c r="L17" s="579"/>
      <c r="M17" s="538"/>
      <c r="N17" s="538"/>
      <c r="O17" s="575"/>
      <c r="P17" s="647"/>
      <c r="Q17" s="647"/>
      <c r="R17" s="647"/>
      <c r="S17" s="647"/>
      <c r="T17" s="647"/>
      <c r="U17" s="647"/>
      <c r="V17" s="647"/>
      <c r="W17" s="647"/>
      <c r="X17" s="647"/>
      <c r="Y17" s="647"/>
      <c r="Z17" s="647"/>
      <c r="AA17" s="647"/>
      <c r="AB17" s="517"/>
      <c r="AC17" s="648"/>
      <c r="AD17" s="647"/>
      <c r="AE17" s="647"/>
      <c r="AF17" s="647"/>
      <c r="AG17" s="647"/>
      <c r="AH17" s="647"/>
      <c r="AI17" s="647"/>
      <c r="AJ17" s="647"/>
      <c r="AK17" s="582"/>
      <c r="AL17" s="647"/>
      <c r="AM17" s="647"/>
      <c r="AN17" s="647"/>
      <c r="AO17" s="647"/>
      <c r="AP17" s="647"/>
      <c r="AQ17" s="647"/>
      <c r="AR17" s="647"/>
      <c r="AS17" s="647"/>
      <c r="AT17" s="647"/>
      <c r="AU17" s="647"/>
      <c r="AV17" s="647"/>
      <c r="AW17" s="647"/>
      <c r="AX17" s="517"/>
      <c r="AY17" s="532"/>
      <c r="AZ17" s="515"/>
      <c r="BA17" s="515"/>
      <c r="BB17" s="515"/>
      <c r="BC17" s="515"/>
      <c r="BD17" s="515"/>
      <c r="BE17" s="515"/>
      <c r="BF17" s="515"/>
      <c r="BG17" s="515"/>
      <c r="BH17" s="515"/>
      <c r="BI17" s="515"/>
      <c r="BJ17" s="515"/>
      <c r="BK17" s="517"/>
      <c r="BL17" s="518"/>
      <c r="BM17" s="515"/>
      <c r="BN17" s="576"/>
      <c r="BO17" s="515"/>
      <c r="BP17" s="515"/>
      <c r="BQ17" s="515"/>
      <c r="BR17" s="515"/>
      <c r="BS17" s="515"/>
      <c r="BT17" s="515"/>
      <c r="BU17" s="515"/>
      <c r="BV17" s="515"/>
      <c r="BW17" s="515"/>
      <c r="BX17" s="519"/>
      <c r="BY17" s="532">
        <v>600</v>
      </c>
      <c r="BZ17" s="532"/>
      <c r="CA17" s="556">
        <f>1207.58</f>
        <v>1207.58</v>
      </c>
      <c r="CB17" s="532"/>
      <c r="CC17" s="542">
        <f>2292.95+1283.65</f>
        <v>3576.6</v>
      </c>
      <c r="CD17" s="516"/>
      <c r="CE17" s="515"/>
      <c r="CF17" s="515"/>
      <c r="CG17" s="515"/>
      <c r="CH17" s="515"/>
      <c r="CI17" s="515"/>
      <c r="CJ17" s="515"/>
      <c r="CK17" s="517">
        <f t="shared" si="31"/>
        <v>-5384.18</v>
      </c>
      <c r="CL17" s="762"/>
      <c r="CM17" s="543"/>
      <c r="CN17" s="541"/>
      <c r="CO17" s="543"/>
      <c r="CP17" s="541"/>
      <c r="CQ17" s="541"/>
      <c r="CR17" s="717">
        <v>1270.0999999999999</v>
      </c>
      <c r="CS17" s="541"/>
      <c r="CT17" s="541"/>
      <c r="CU17" s="542">
        <f>1533.31</f>
        <v>1533.31</v>
      </c>
      <c r="CV17" s="542">
        <f>2600+693</f>
        <v>3293</v>
      </c>
      <c r="CW17" s="716">
        <f>4705.06*0.5</f>
        <v>2352.5300000000002</v>
      </c>
      <c r="CX17" s="516"/>
      <c r="CY17" s="519">
        <f t="shared" si="32"/>
        <v>-8448.94</v>
      </c>
      <c r="CZ17" s="525"/>
      <c r="DA17" s="541"/>
      <c r="DB17" s="541"/>
      <c r="DC17" s="541"/>
      <c r="DD17" s="541"/>
      <c r="DE17" s="534">
        <f>4027.84/2</f>
        <v>2013.92</v>
      </c>
      <c r="DF17" s="534">
        <v>3545.3</v>
      </c>
      <c r="DG17" s="534">
        <f>1577.37+50+89.5</f>
        <v>1716.87</v>
      </c>
      <c r="DH17" s="541"/>
      <c r="DI17" s="527">
        <f>(3670.69-2013.92)+899.16</f>
        <v>2555.9299999999998</v>
      </c>
      <c r="DJ17" s="572">
        <f>4705.06*0.5</f>
        <v>2352.5300000000002</v>
      </c>
      <c r="DK17" s="527"/>
      <c r="DL17" s="528">
        <f>-SUM(CZ17:DK17)</f>
        <v>-12184.550000000001</v>
      </c>
      <c r="DY17" s="528">
        <f>-SUM(DM17:DX17)</f>
        <v>0</v>
      </c>
    </row>
    <row r="18" spans="2:129" ht="15">
      <c r="B18" s="480" t="s">
        <v>394</v>
      </c>
      <c r="C18" s="579"/>
      <c r="D18" s="579"/>
      <c r="E18" s="579"/>
      <c r="F18" s="579"/>
      <c r="G18" s="579"/>
      <c r="H18" s="579"/>
      <c r="I18" s="579"/>
      <c r="J18" s="579"/>
      <c r="K18" s="579"/>
      <c r="L18" s="579"/>
      <c r="M18" s="538"/>
      <c r="N18" s="538"/>
      <c r="O18" s="575"/>
      <c r="P18" s="647"/>
      <c r="Q18" s="647"/>
      <c r="R18" s="647"/>
      <c r="S18" s="647"/>
      <c r="T18" s="647"/>
      <c r="U18" s="647"/>
      <c r="V18" s="647"/>
      <c r="W18" s="647"/>
      <c r="X18" s="647"/>
      <c r="Y18" s="647"/>
      <c r="Z18" s="647"/>
      <c r="AA18" s="647"/>
      <c r="AB18" s="517"/>
      <c r="AC18" s="648"/>
      <c r="AD18" s="647"/>
      <c r="AE18" s="647"/>
      <c r="AF18" s="647"/>
      <c r="AG18" s="647"/>
      <c r="AH18" s="647"/>
      <c r="AI18" s="647"/>
      <c r="AJ18" s="647"/>
      <c r="AK18" s="582"/>
      <c r="AL18" s="647"/>
      <c r="AM18" s="647"/>
      <c r="AN18" s="647"/>
      <c r="AO18" s="647"/>
      <c r="AP18" s="647"/>
      <c r="AQ18" s="647"/>
      <c r="AR18" s="647"/>
      <c r="AS18" s="647"/>
      <c r="AT18" s="647"/>
      <c r="AU18" s="647"/>
      <c r="AV18" s="647"/>
      <c r="AW18" s="647"/>
      <c r="AX18" s="517"/>
      <c r="AY18" s="532"/>
      <c r="AZ18" s="515"/>
      <c r="BA18" s="515"/>
      <c r="BB18" s="515"/>
      <c r="BC18" s="515"/>
      <c r="BD18" s="515"/>
      <c r="BE18" s="515"/>
      <c r="BF18" s="515"/>
      <c r="BG18" s="515"/>
      <c r="BH18" s="515"/>
      <c r="BI18" s="515"/>
      <c r="BJ18" s="515"/>
      <c r="BK18" s="517"/>
      <c r="BL18" s="518"/>
      <c r="BM18" s="515"/>
      <c r="BN18" s="576"/>
      <c r="BO18" s="515"/>
      <c r="BP18" s="515"/>
      <c r="BQ18" s="515"/>
      <c r="BR18" s="515"/>
      <c r="BS18" s="515"/>
      <c r="BT18" s="515"/>
      <c r="BU18" s="515"/>
      <c r="BV18" s="515"/>
      <c r="BW18" s="515"/>
      <c r="BX18" s="519"/>
      <c r="BY18" s="515"/>
      <c r="BZ18" s="515"/>
      <c r="CA18" s="576"/>
      <c r="CB18" s="515"/>
      <c r="CC18" s="515"/>
      <c r="CD18" s="515"/>
      <c r="CE18" s="515"/>
      <c r="CF18" s="515"/>
      <c r="CG18" s="515"/>
      <c r="CH18" s="515"/>
      <c r="CI18" s="515"/>
      <c r="CJ18" s="515"/>
      <c r="CK18" s="517">
        <f t="shared" si="31"/>
        <v>0</v>
      </c>
      <c r="CL18" s="519"/>
      <c r="CM18" s="576"/>
      <c r="CN18" s="515"/>
      <c r="CO18" s="576"/>
      <c r="CP18" s="515"/>
      <c r="CQ18" s="515"/>
      <c r="CR18" s="515"/>
      <c r="CS18" s="515"/>
      <c r="CT18" s="515"/>
      <c r="CU18" s="515"/>
      <c r="CV18" s="515"/>
      <c r="CW18" s="515"/>
      <c r="CX18" s="515"/>
      <c r="CY18" s="519">
        <f t="shared" si="32"/>
        <v>0</v>
      </c>
      <c r="CZ18" s="525"/>
      <c r="DA18" s="525"/>
      <c r="DB18" s="525"/>
      <c r="DC18" s="525"/>
      <c r="DD18" s="525"/>
      <c r="DE18" s="525"/>
      <c r="DF18" s="525"/>
      <c r="DG18" s="525"/>
      <c r="DH18" s="525"/>
      <c r="DI18" s="527"/>
      <c r="DJ18" s="527"/>
      <c r="DK18" s="527"/>
      <c r="DL18" s="528">
        <f t="shared" ref="DL18:DL24" si="33">-SUM(CZ18:DK18)</f>
        <v>0</v>
      </c>
      <c r="DY18" s="528">
        <f t="shared" ref="DY18:DY24" si="34">-SUM(DM18:DX18)</f>
        <v>0</v>
      </c>
    </row>
    <row r="19" spans="2:129" ht="15">
      <c r="B19" s="480" t="s">
        <v>395</v>
      </c>
      <c r="C19" s="579"/>
      <c r="D19" s="579"/>
      <c r="E19" s="579"/>
      <c r="F19" s="579"/>
      <c r="G19" s="579"/>
      <c r="H19" s="579"/>
      <c r="I19" s="579"/>
      <c r="J19" s="579"/>
      <c r="K19" s="579"/>
      <c r="L19" s="579"/>
      <c r="M19" s="538"/>
      <c r="N19" s="538"/>
      <c r="O19" s="575"/>
      <c r="P19" s="647"/>
      <c r="Q19" s="647"/>
      <c r="R19" s="647"/>
      <c r="S19" s="647"/>
      <c r="T19" s="647"/>
      <c r="U19" s="647"/>
      <c r="V19" s="647"/>
      <c r="W19" s="647"/>
      <c r="X19" s="647"/>
      <c r="Y19" s="647"/>
      <c r="Z19" s="647"/>
      <c r="AA19" s="647"/>
      <c r="AB19" s="517"/>
      <c r="AC19" s="648"/>
      <c r="AD19" s="647"/>
      <c r="AE19" s="647"/>
      <c r="AF19" s="647"/>
      <c r="AG19" s="647"/>
      <c r="AH19" s="647"/>
      <c r="AI19" s="647"/>
      <c r="AJ19" s="647"/>
      <c r="AK19" s="582"/>
      <c r="AL19" s="647"/>
      <c r="AM19" s="647"/>
      <c r="AN19" s="647"/>
      <c r="AO19" s="647"/>
      <c r="AP19" s="647"/>
      <c r="AQ19" s="647"/>
      <c r="AR19" s="647"/>
      <c r="AS19" s="647"/>
      <c r="AT19" s="647"/>
      <c r="AU19" s="647"/>
      <c r="AV19" s="647"/>
      <c r="AW19" s="647"/>
      <c r="AX19" s="517"/>
      <c r="AY19" s="532"/>
      <c r="AZ19" s="515"/>
      <c r="BA19" s="515"/>
      <c r="BB19" s="515"/>
      <c r="BC19" s="515"/>
      <c r="BD19" s="515"/>
      <c r="BE19" s="515"/>
      <c r="BF19" s="515"/>
      <c r="BG19" s="515"/>
      <c r="BH19" s="515"/>
      <c r="BI19" s="515"/>
      <c r="BJ19" s="515"/>
      <c r="BK19" s="517"/>
      <c r="BL19" s="518"/>
      <c r="BM19" s="515"/>
      <c r="BN19" s="576"/>
      <c r="BO19" s="515"/>
      <c r="BP19" s="515"/>
      <c r="BQ19" s="515"/>
      <c r="BR19" s="515"/>
      <c r="BS19" s="515"/>
      <c r="BT19" s="515"/>
      <c r="BU19" s="515"/>
      <c r="BV19" s="515"/>
      <c r="BW19" s="515"/>
      <c r="BX19" s="519"/>
      <c r="BY19" s="515"/>
      <c r="BZ19" s="515"/>
      <c r="CA19" s="576"/>
      <c r="CB19" s="515"/>
      <c r="CC19" s="515"/>
      <c r="CD19" s="515"/>
      <c r="CE19" s="515"/>
      <c r="CF19" s="515"/>
      <c r="CG19" s="515"/>
      <c r="CH19" s="515"/>
      <c r="CI19" s="515"/>
      <c r="CJ19" s="515"/>
      <c r="CK19" s="517">
        <f t="shared" si="31"/>
        <v>0</v>
      </c>
      <c r="CL19" s="519"/>
      <c r="CM19" s="576"/>
      <c r="CN19" s="515"/>
      <c r="CO19" s="576"/>
      <c r="CP19" s="515"/>
      <c r="CQ19" s="515"/>
      <c r="CR19" s="515"/>
      <c r="CS19" s="515"/>
      <c r="CT19" s="515"/>
      <c r="CU19" s="515"/>
      <c r="CV19" s="515"/>
      <c r="CW19" s="515"/>
      <c r="CX19" s="515"/>
      <c r="CY19" s="519">
        <f t="shared" si="32"/>
        <v>0</v>
      </c>
      <c r="CZ19" s="525"/>
      <c r="DA19" s="525"/>
      <c r="DB19" s="525"/>
      <c r="DC19" s="525"/>
      <c r="DD19" s="525"/>
      <c r="DE19" s="525"/>
      <c r="DF19" s="525"/>
      <c r="DG19" s="525"/>
      <c r="DH19" s="525"/>
      <c r="DI19" s="527"/>
      <c r="DJ19" s="527"/>
      <c r="DK19" s="527"/>
      <c r="DL19" s="528">
        <f t="shared" si="33"/>
        <v>0</v>
      </c>
      <c r="DY19" s="528">
        <f t="shared" si="34"/>
        <v>0</v>
      </c>
    </row>
    <row r="20" spans="2:129" ht="15">
      <c r="B20" s="480" t="s">
        <v>396</v>
      </c>
      <c r="C20" s="579"/>
      <c r="D20" s="579"/>
      <c r="E20" s="579"/>
      <c r="F20" s="579"/>
      <c r="G20" s="579"/>
      <c r="H20" s="579"/>
      <c r="I20" s="579"/>
      <c r="J20" s="579"/>
      <c r="K20" s="579"/>
      <c r="L20" s="579"/>
      <c r="M20" s="538"/>
      <c r="N20" s="538"/>
      <c r="O20" s="575"/>
      <c r="P20" s="647"/>
      <c r="Q20" s="647"/>
      <c r="R20" s="647"/>
      <c r="S20" s="647"/>
      <c r="T20" s="647"/>
      <c r="U20" s="647"/>
      <c r="V20" s="647"/>
      <c r="W20" s="647"/>
      <c r="X20" s="647"/>
      <c r="Y20" s="647"/>
      <c r="Z20" s="647"/>
      <c r="AA20" s="647"/>
      <c r="AB20" s="517"/>
      <c r="AC20" s="648"/>
      <c r="AD20" s="647"/>
      <c r="AE20" s="647"/>
      <c r="AF20" s="647"/>
      <c r="AG20" s="647"/>
      <c r="AH20" s="647"/>
      <c r="AI20" s="647"/>
      <c r="AJ20" s="647"/>
      <c r="AK20" s="582"/>
      <c r="AL20" s="647"/>
      <c r="AM20" s="647"/>
      <c r="AN20" s="647"/>
      <c r="AO20" s="647"/>
      <c r="AP20" s="647"/>
      <c r="AQ20" s="647"/>
      <c r="AR20" s="647"/>
      <c r="AS20" s="647"/>
      <c r="AT20" s="647"/>
      <c r="AU20" s="647"/>
      <c r="AV20" s="647"/>
      <c r="AW20" s="647"/>
      <c r="AX20" s="517"/>
      <c r="AY20" s="532"/>
      <c r="AZ20" s="515"/>
      <c r="BA20" s="515"/>
      <c r="BB20" s="515"/>
      <c r="BC20" s="515"/>
      <c r="BD20" s="515"/>
      <c r="BE20" s="515"/>
      <c r="BF20" s="515"/>
      <c r="BG20" s="515"/>
      <c r="BH20" s="515"/>
      <c r="BI20" s="515"/>
      <c r="BJ20" s="515"/>
      <c r="BK20" s="517"/>
      <c r="BL20" s="518"/>
      <c r="BM20" s="515"/>
      <c r="BN20" s="576"/>
      <c r="BO20" s="515"/>
      <c r="BP20" s="515"/>
      <c r="BQ20" s="515"/>
      <c r="BR20" s="515"/>
      <c r="BS20" s="515"/>
      <c r="BT20" s="515"/>
      <c r="BU20" s="515"/>
      <c r="BV20" s="515"/>
      <c r="BW20" s="515"/>
      <c r="BX20" s="519"/>
      <c r="BY20" s="522"/>
      <c r="BZ20" s="541"/>
      <c r="CA20" s="576"/>
      <c r="CB20" s="515"/>
      <c r="CC20" s="532">
        <v>2057</v>
      </c>
      <c r="CD20" s="515"/>
      <c r="CE20" s="515"/>
      <c r="CF20" s="532">
        <f>17742.47-17049.72</f>
        <v>692.75</v>
      </c>
      <c r="CG20" s="515"/>
      <c r="CH20" s="515"/>
      <c r="CI20" s="515"/>
      <c r="CJ20" s="717">
        <f>17742.47-692.75</f>
        <v>17049.72</v>
      </c>
      <c r="CK20" s="517">
        <f t="shared" si="31"/>
        <v>-19799.47</v>
      </c>
      <c r="CL20" s="519"/>
      <c r="CM20" s="523"/>
      <c r="CN20" s="522"/>
      <c r="CO20" s="576"/>
      <c r="CP20" s="515"/>
      <c r="CQ20" s="515"/>
      <c r="CR20" s="515"/>
      <c r="CS20" s="515"/>
      <c r="CT20" s="515"/>
      <c r="CU20" s="515"/>
      <c r="CV20" s="515"/>
      <c r="CW20" s="532">
        <f>17500*1.21/2</f>
        <v>10587.5</v>
      </c>
      <c r="CX20" s="515"/>
      <c r="CY20" s="519">
        <f t="shared" si="32"/>
        <v>-10587.5</v>
      </c>
      <c r="CZ20" s="525"/>
      <c r="DA20" s="583">
        <f>17500*1.21/2</f>
        <v>10587.5</v>
      </c>
      <c r="DB20" s="525"/>
      <c r="DC20" s="525"/>
      <c r="DD20" s="525"/>
      <c r="DE20" s="525"/>
      <c r="DF20" s="525"/>
      <c r="DG20" s="525"/>
      <c r="DH20" s="525"/>
      <c r="DI20" s="527"/>
      <c r="DJ20" s="527"/>
      <c r="DK20" s="527"/>
      <c r="DL20" s="528">
        <f t="shared" si="33"/>
        <v>-10587.5</v>
      </c>
      <c r="DY20" s="528">
        <f t="shared" si="34"/>
        <v>0</v>
      </c>
    </row>
    <row r="21" spans="2:129" ht="15">
      <c r="B21" s="480" t="s">
        <v>668</v>
      </c>
      <c r="C21" s="579"/>
      <c r="D21" s="579"/>
      <c r="E21" s="579"/>
      <c r="F21" s="579"/>
      <c r="G21" s="579"/>
      <c r="H21" s="579"/>
      <c r="I21" s="579"/>
      <c r="J21" s="579"/>
      <c r="K21" s="579"/>
      <c r="L21" s="579"/>
      <c r="M21" s="538"/>
      <c r="N21" s="538"/>
      <c r="O21" s="575"/>
      <c r="P21" s="647"/>
      <c r="Q21" s="647"/>
      <c r="R21" s="647"/>
      <c r="S21" s="647"/>
      <c r="T21" s="647"/>
      <c r="U21" s="647"/>
      <c r="V21" s="647"/>
      <c r="W21" s="647"/>
      <c r="X21" s="647"/>
      <c r="Y21" s="647"/>
      <c r="Z21" s="647"/>
      <c r="AA21" s="647"/>
      <c r="AB21" s="517"/>
      <c r="AC21" s="648"/>
      <c r="AD21" s="647"/>
      <c r="AE21" s="647"/>
      <c r="AF21" s="647"/>
      <c r="AG21" s="647"/>
      <c r="AH21" s="647"/>
      <c r="AI21" s="647"/>
      <c r="AJ21" s="647"/>
      <c r="AK21" s="582"/>
      <c r="AL21" s="647"/>
      <c r="AM21" s="647"/>
      <c r="AN21" s="647"/>
      <c r="AO21" s="647"/>
      <c r="AP21" s="647"/>
      <c r="AQ21" s="647"/>
      <c r="AR21" s="647"/>
      <c r="AS21" s="647"/>
      <c r="AT21" s="647"/>
      <c r="AU21" s="647"/>
      <c r="AV21" s="647"/>
      <c r="AW21" s="647"/>
      <c r="AX21" s="517"/>
      <c r="AY21" s="532"/>
      <c r="AZ21" s="515"/>
      <c r="BA21" s="515"/>
      <c r="BB21" s="515"/>
      <c r="BC21" s="515"/>
      <c r="BD21" s="515"/>
      <c r="BE21" s="515"/>
      <c r="BF21" s="515"/>
      <c r="BG21" s="515"/>
      <c r="BH21" s="515"/>
      <c r="BI21" s="515"/>
      <c r="BJ21" s="515"/>
      <c r="BK21" s="517"/>
      <c r="BL21" s="518"/>
      <c r="BM21" s="515"/>
      <c r="BN21" s="576"/>
      <c r="BO21" s="515"/>
      <c r="BP21" s="515"/>
      <c r="BQ21" s="515"/>
      <c r="BR21" s="515"/>
      <c r="BS21" s="515"/>
      <c r="BT21" s="515"/>
      <c r="BU21" s="515"/>
      <c r="BV21" s="515"/>
      <c r="BW21" s="515"/>
      <c r="BX21" s="519"/>
      <c r="BY21" s="522"/>
      <c r="BZ21" s="541"/>
      <c r="CA21" s="576"/>
      <c r="CB21" s="515"/>
      <c r="CC21" s="532"/>
      <c r="CD21" s="515"/>
      <c r="CE21" s="515"/>
      <c r="CF21" s="532"/>
      <c r="CG21" s="515"/>
      <c r="CH21" s="515"/>
      <c r="CI21" s="515"/>
      <c r="CJ21" s="717"/>
      <c r="CK21" s="517"/>
      <c r="CL21" s="519"/>
      <c r="CM21" s="523"/>
      <c r="CN21" s="522"/>
      <c r="CO21" s="576"/>
      <c r="CP21" s="515"/>
      <c r="CQ21" s="515"/>
      <c r="CR21" s="515"/>
      <c r="CS21" s="515"/>
      <c r="CT21" s="515"/>
      <c r="CU21" s="515"/>
      <c r="CV21" s="515"/>
      <c r="CW21" s="532"/>
      <c r="CX21" s="515"/>
      <c r="CY21" s="519"/>
      <c r="CZ21" s="525"/>
      <c r="DA21" s="534"/>
      <c r="DB21" s="525"/>
      <c r="DC21" s="525"/>
      <c r="DD21" s="525"/>
      <c r="DE21" s="525"/>
      <c r="DF21" s="534">
        <f>15*2950</f>
        <v>44250</v>
      </c>
      <c r="DG21" s="525"/>
      <c r="DH21" s="525"/>
      <c r="DI21" s="527"/>
      <c r="DJ21" s="527"/>
      <c r="DK21" s="527"/>
      <c r="DL21" s="528">
        <f t="shared" si="33"/>
        <v>-44250</v>
      </c>
      <c r="DY21" s="528">
        <f t="shared" si="34"/>
        <v>0</v>
      </c>
    </row>
    <row r="22" spans="2:129" ht="15">
      <c r="B22" s="480" t="s">
        <v>397</v>
      </c>
      <c r="C22" s="579"/>
      <c r="D22" s="579"/>
      <c r="E22" s="579"/>
      <c r="F22" s="579"/>
      <c r="G22" s="579"/>
      <c r="H22" s="579"/>
      <c r="I22" s="579"/>
      <c r="J22" s="579"/>
      <c r="K22" s="579"/>
      <c r="L22" s="579"/>
      <c r="M22" s="538"/>
      <c r="N22" s="538"/>
      <c r="O22" s="575"/>
      <c r="P22" s="647"/>
      <c r="Q22" s="647"/>
      <c r="R22" s="647"/>
      <c r="S22" s="647"/>
      <c r="T22" s="647"/>
      <c r="U22" s="647"/>
      <c r="V22" s="647"/>
      <c r="W22" s="647"/>
      <c r="X22" s="647"/>
      <c r="Y22" s="647"/>
      <c r="Z22" s="647"/>
      <c r="AA22" s="647"/>
      <c r="AB22" s="517"/>
      <c r="AC22" s="648"/>
      <c r="AD22" s="647"/>
      <c r="AE22" s="647"/>
      <c r="AF22" s="647"/>
      <c r="AG22" s="647"/>
      <c r="AH22" s="647"/>
      <c r="AI22" s="647"/>
      <c r="AJ22" s="647"/>
      <c r="AK22" s="582"/>
      <c r="AL22" s="647"/>
      <c r="AM22" s="647"/>
      <c r="AN22" s="647"/>
      <c r="AO22" s="647"/>
      <c r="AP22" s="647"/>
      <c r="AQ22" s="647"/>
      <c r="AR22" s="647"/>
      <c r="AS22" s="647"/>
      <c r="AT22" s="647"/>
      <c r="AU22" s="647"/>
      <c r="AV22" s="647"/>
      <c r="AW22" s="647"/>
      <c r="AX22" s="517"/>
      <c r="AY22" s="532"/>
      <c r="AZ22" s="515"/>
      <c r="BA22" s="515"/>
      <c r="BB22" s="515"/>
      <c r="BC22" s="515"/>
      <c r="BD22" s="515"/>
      <c r="BE22" s="515"/>
      <c r="BF22" s="515"/>
      <c r="BG22" s="515"/>
      <c r="BH22" s="515"/>
      <c r="BI22" s="515"/>
      <c r="BJ22" s="515"/>
      <c r="BK22" s="517"/>
      <c r="BL22" s="518"/>
      <c r="BM22" s="515"/>
      <c r="BN22" s="576"/>
      <c r="BO22" s="515"/>
      <c r="BP22" s="515"/>
      <c r="BQ22" s="515"/>
      <c r="BR22" s="515"/>
      <c r="BS22" s="515"/>
      <c r="BT22" s="515"/>
      <c r="BU22" s="515"/>
      <c r="BV22" s="515"/>
      <c r="BW22" s="515"/>
      <c r="BX22" s="519"/>
      <c r="BY22" s="532">
        <v>106000</v>
      </c>
      <c r="BZ22" s="541"/>
      <c r="CA22" s="556">
        <f>(4770-954)</f>
        <v>3816</v>
      </c>
      <c r="CB22" s="763"/>
      <c r="CC22" s="541"/>
      <c r="CD22" s="717">
        <f>4873.05+5252.06+954+954</f>
        <v>12033.11</v>
      </c>
      <c r="CE22" s="541"/>
      <c r="CF22" s="541"/>
      <c r="CG22" s="541"/>
      <c r="CH22" s="541"/>
      <c r="CI22" s="541"/>
      <c r="CJ22" s="516"/>
      <c r="CK22" s="517">
        <f>-SUM(BY22:CJ22)</f>
        <v>-121849.11</v>
      </c>
      <c r="CL22" s="519"/>
      <c r="CM22" s="543"/>
      <c r="CN22" s="541"/>
      <c r="CO22" s="543"/>
      <c r="CP22" s="541"/>
      <c r="CQ22" s="541"/>
      <c r="CR22" s="541"/>
      <c r="CS22" s="541"/>
      <c r="CT22" s="541"/>
      <c r="CU22" s="541"/>
      <c r="CV22" s="541"/>
      <c r="CW22" s="541"/>
      <c r="CX22" s="516"/>
      <c r="CY22" s="519">
        <f>-SUM(CX22:CX22)</f>
        <v>0</v>
      </c>
      <c r="CZ22" s="563"/>
      <c r="DA22" s="541"/>
      <c r="DB22" s="563">
        <f>(152000-6000-12889.6-2650-9400-2650-558-508.03-508.03-212-1139.57-500-868.16-1622.7-3185.45-133.98-10461.71-4770-954-10000+38000-2000-2000-3000-5000)*0</f>
        <v>0</v>
      </c>
      <c r="DC22" s="525"/>
      <c r="DD22" s="525"/>
      <c r="DE22" s="525"/>
      <c r="DF22" s="525"/>
      <c r="DG22" s="525"/>
      <c r="DH22" s="525"/>
      <c r="DI22" s="527"/>
      <c r="DJ22" s="527"/>
      <c r="DK22" s="527"/>
      <c r="DL22" s="528">
        <f t="shared" si="33"/>
        <v>0</v>
      </c>
      <c r="DY22" s="528">
        <f t="shared" si="34"/>
        <v>0</v>
      </c>
    </row>
    <row r="23" spans="2:129" ht="15">
      <c r="B23" s="480" t="s">
        <v>398</v>
      </c>
      <c r="C23" s="579"/>
      <c r="D23" s="579"/>
      <c r="E23" s="579"/>
      <c r="F23" s="579"/>
      <c r="G23" s="579"/>
      <c r="H23" s="579"/>
      <c r="I23" s="579"/>
      <c r="J23" s="579"/>
      <c r="K23" s="579"/>
      <c r="L23" s="579"/>
      <c r="M23" s="538"/>
      <c r="N23" s="538"/>
      <c r="O23" s="575"/>
      <c r="P23" s="647"/>
      <c r="Q23" s="647"/>
      <c r="R23" s="647"/>
      <c r="S23" s="647"/>
      <c r="T23" s="647"/>
      <c r="U23" s="647"/>
      <c r="V23" s="647"/>
      <c r="W23" s="647"/>
      <c r="X23" s="647"/>
      <c r="Y23" s="647"/>
      <c r="Z23" s="647"/>
      <c r="AA23" s="647"/>
      <c r="AB23" s="517"/>
      <c r="AC23" s="648"/>
      <c r="AD23" s="647"/>
      <c r="AE23" s="647"/>
      <c r="AF23" s="647"/>
      <c r="AG23" s="647"/>
      <c r="AH23" s="647"/>
      <c r="AI23" s="647"/>
      <c r="AJ23" s="647"/>
      <c r="AK23" s="582"/>
      <c r="AL23" s="647"/>
      <c r="AM23" s="647"/>
      <c r="AN23" s="647"/>
      <c r="AO23" s="647"/>
      <c r="AP23" s="647"/>
      <c r="AQ23" s="647"/>
      <c r="AR23" s="647"/>
      <c r="AS23" s="647"/>
      <c r="AT23" s="647"/>
      <c r="AU23" s="647"/>
      <c r="AV23" s="647"/>
      <c r="AW23" s="647"/>
      <c r="AX23" s="517"/>
      <c r="AY23" s="532"/>
      <c r="AZ23" s="515"/>
      <c r="BA23" s="515"/>
      <c r="BB23" s="515"/>
      <c r="BC23" s="515"/>
      <c r="BD23" s="515"/>
      <c r="BE23" s="515"/>
      <c r="BF23" s="515"/>
      <c r="BG23" s="515"/>
      <c r="BH23" s="515"/>
      <c r="BI23" s="515"/>
      <c r="BJ23" s="515"/>
      <c r="BK23" s="517"/>
      <c r="BL23" s="518"/>
      <c r="BM23" s="515"/>
      <c r="BN23" s="576"/>
      <c r="BO23" s="515"/>
      <c r="BP23" s="515"/>
      <c r="BQ23" s="515"/>
      <c r="BR23" s="515"/>
      <c r="BS23" s="515"/>
      <c r="BT23" s="515"/>
      <c r="BU23" s="515"/>
      <c r="BV23" s="515"/>
      <c r="BW23" s="515"/>
      <c r="BX23" s="519"/>
      <c r="BY23" s="515"/>
      <c r="BZ23" s="515"/>
      <c r="CA23" s="576"/>
      <c r="CB23" s="542">
        <f>318+(126000-6000)</f>
        <v>120318</v>
      </c>
      <c r="CC23" s="532">
        <f>1260*1.21</f>
        <v>1524.6</v>
      </c>
      <c r="CD23" s="542">
        <f>1260*1.21*2</f>
        <v>3049.2</v>
      </c>
      <c r="CE23" s="516"/>
      <c r="CF23" s="515"/>
      <c r="CG23" s="515"/>
      <c r="CH23" s="515"/>
      <c r="CI23" s="515"/>
      <c r="CJ23" s="515"/>
      <c r="CK23" s="517">
        <f t="shared" si="31"/>
        <v>-124891.8</v>
      </c>
      <c r="CL23" s="762"/>
      <c r="CM23" s="576"/>
      <c r="CN23" s="515"/>
      <c r="CO23" s="576"/>
      <c r="CP23" s="515"/>
      <c r="CQ23" s="515"/>
      <c r="CR23" s="515"/>
      <c r="CS23" s="515"/>
      <c r="CT23" s="515"/>
      <c r="CU23" s="515"/>
      <c r="CV23" s="515"/>
      <c r="CW23" s="515"/>
      <c r="CX23" s="515"/>
      <c r="CY23" s="519">
        <f t="shared" si="32"/>
        <v>0</v>
      </c>
      <c r="CZ23" s="525"/>
      <c r="DA23" s="525"/>
      <c r="DB23" s="525"/>
      <c r="DC23" s="525"/>
      <c r="DD23" s="525"/>
      <c r="DE23" s="525"/>
      <c r="DF23" s="525"/>
      <c r="DG23" s="525"/>
      <c r="DH23" s="525"/>
      <c r="DI23" s="527"/>
      <c r="DJ23" s="527"/>
      <c r="DK23" s="527"/>
      <c r="DL23" s="528">
        <f t="shared" si="33"/>
        <v>0</v>
      </c>
      <c r="DY23" s="528">
        <f t="shared" si="34"/>
        <v>0</v>
      </c>
    </row>
    <row r="24" spans="2:129" ht="15">
      <c r="B24" s="480" t="s">
        <v>399</v>
      </c>
      <c r="C24" s="579"/>
      <c r="D24" s="579"/>
      <c r="E24" s="579"/>
      <c r="F24" s="579"/>
      <c r="G24" s="579"/>
      <c r="H24" s="579"/>
      <c r="I24" s="579"/>
      <c r="J24" s="579"/>
      <c r="K24" s="579"/>
      <c r="L24" s="579"/>
      <c r="M24" s="538"/>
      <c r="N24" s="538"/>
      <c r="O24" s="575"/>
      <c r="P24" s="647"/>
      <c r="Q24" s="647"/>
      <c r="R24" s="647"/>
      <c r="S24" s="647"/>
      <c r="T24" s="647"/>
      <c r="U24" s="647"/>
      <c r="V24" s="647"/>
      <c r="W24" s="647"/>
      <c r="X24" s="647"/>
      <c r="Y24" s="647"/>
      <c r="Z24" s="647"/>
      <c r="AA24" s="647"/>
      <c r="AB24" s="517"/>
      <c r="AC24" s="648"/>
      <c r="AD24" s="647"/>
      <c r="AE24" s="647"/>
      <c r="AF24" s="647"/>
      <c r="AG24" s="647"/>
      <c r="AH24" s="647"/>
      <c r="AI24" s="647"/>
      <c r="AJ24" s="647"/>
      <c r="AK24" s="582"/>
      <c r="AL24" s="647"/>
      <c r="AM24" s="647"/>
      <c r="AN24" s="647"/>
      <c r="AO24" s="647"/>
      <c r="AP24" s="647"/>
      <c r="AQ24" s="647"/>
      <c r="AR24" s="647"/>
      <c r="AS24" s="647"/>
      <c r="AT24" s="647"/>
      <c r="AU24" s="647"/>
      <c r="AV24" s="647"/>
      <c r="AW24" s="647"/>
      <c r="AX24" s="517"/>
      <c r="AY24" s="532"/>
      <c r="AZ24" s="515"/>
      <c r="BA24" s="515"/>
      <c r="BB24" s="515"/>
      <c r="BC24" s="515"/>
      <c r="BD24" s="515"/>
      <c r="BE24" s="515"/>
      <c r="BF24" s="515"/>
      <c r="BG24" s="515"/>
      <c r="BH24" s="515"/>
      <c r="BI24" s="515"/>
      <c r="BJ24" s="515"/>
      <c r="BK24" s="517"/>
      <c r="BL24" s="518"/>
      <c r="BM24" s="515"/>
      <c r="BN24" s="576"/>
      <c r="BO24" s="515"/>
      <c r="BP24" s="515"/>
      <c r="BQ24" s="515"/>
      <c r="BR24" s="515"/>
      <c r="BS24" s="515"/>
      <c r="BT24" s="515"/>
      <c r="BU24" s="515"/>
      <c r="BV24" s="515"/>
      <c r="BW24" s="515"/>
      <c r="BX24" s="519"/>
      <c r="BY24" s="515"/>
      <c r="BZ24" s="515"/>
      <c r="CA24" s="576"/>
      <c r="CB24" s="515"/>
      <c r="CC24" s="515"/>
      <c r="CD24" s="515"/>
      <c r="CE24" s="515"/>
      <c r="CF24" s="515"/>
      <c r="CG24" s="515"/>
      <c r="CH24" s="515"/>
      <c r="CI24" s="515"/>
      <c r="CJ24" s="515"/>
      <c r="CK24" s="517">
        <f t="shared" si="31"/>
        <v>0</v>
      </c>
      <c r="CL24" s="519"/>
      <c r="CM24" s="576"/>
      <c r="CN24" s="515"/>
      <c r="CO24" s="576"/>
      <c r="CP24" s="515"/>
      <c r="CQ24" s="515"/>
      <c r="CR24" s="515"/>
      <c r="CS24" s="515"/>
      <c r="CT24" s="515"/>
      <c r="CU24" s="515"/>
      <c r="CV24" s="515"/>
      <c r="CW24" s="515"/>
      <c r="CX24" s="515"/>
      <c r="CY24" s="519">
        <f t="shared" si="32"/>
        <v>0</v>
      </c>
      <c r="CZ24" s="525"/>
      <c r="DA24" s="525"/>
      <c r="DB24" s="525"/>
      <c r="DC24" s="525"/>
      <c r="DD24" s="525"/>
      <c r="DE24" s="525"/>
      <c r="DF24" s="525"/>
      <c r="DG24" s="525"/>
      <c r="DH24" s="525"/>
      <c r="DI24" s="527"/>
      <c r="DJ24" s="527"/>
      <c r="DK24" s="527"/>
      <c r="DL24" s="528">
        <f t="shared" si="33"/>
        <v>0</v>
      </c>
      <c r="DY24" s="528">
        <f t="shared" si="34"/>
        <v>0</v>
      </c>
    </row>
    <row r="25" spans="2:129" ht="15">
      <c r="B25" s="480" t="s">
        <v>400</v>
      </c>
      <c r="C25" s="579"/>
      <c r="D25" s="579"/>
      <c r="E25" s="579"/>
      <c r="F25" s="579"/>
      <c r="G25" s="579"/>
      <c r="H25" s="579"/>
      <c r="I25" s="579"/>
      <c r="J25" s="579"/>
      <c r="K25" s="579"/>
      <c r="L25" s="579"/>
      <c r="M25" s="538"/>
      <c r="N25" s="538"/>
      <c r="O25" s="575"/>
      <c r="P25" s="647"/>
      <c r="Q25" s="647"/>
      <c r="R25" s="647"/>
      <c r="S25" s="647"/>
      <c r="T25" s="647"/>
      <c r="U25" s="647"/>
      <c r="V25" s="647"/>
      <c r="W25" s="647"/>
      <c r="X25" s="647"/>
      <c r="Y25" s="647"/>
      <c r="Z25" s="647"/>
      <c r="AA25" s="647"/>
      <c r="AB25" s="517"/>
      <c r="AC25" s="648"/>
      <c r="AD25" s="647"/>
      <c r="AE25" s="647"/>
      <c r="AF25" s="647"/>
      <c r="AG25" s="647"/>
      <c r="AH25" s="647"/>
      <c r="AI25" s="647"/>
      <c r="AJ25" s="647"/>
      <c r="AK25" s="582"/>
      <c r="AL25" s="647"/>
      <c r="AM25" s="647"/>
      <c r="AN25" s="647"/>
      <c r="AO25" s="647"/>
      <c r="AP25" s="647"/>
      <c r="AQ25" s="647"/>
      <c r="AR25" s="647"/>
      <c r="AS25" s="647"/>
      <c r="AT25" s="647"/>
      <c r="AU25" s="647"/>
      <c r="AV25" s="647"/>
      <c r="AW25" s="647"/>
      <c r="AX25" s="517"/>
      <c r="AY25" s="532"/>
      <c r="AZ25" s="515"/>
      <c r="BA25" s="515"/>
      <c r="BB25" s="515"/>
      <c r="BC25" s="515"/>
      <c r="BD25" s="515"/>
      <c r="BE25" s="515"/>
      <c r="BF25" s="515"/>
      <c r="BG25" s="515"/>
      <c r="BH25" s="515"/>
      <c r="BI25" s="515"/>
      <c r="BJ25" s="515"/>
      <c r="BK25" s="517"/>
      <c r="BL25" s="518"/>
      <c r="BM25" s="515"/>
      <c r="BN25" s="576"/>
      <c r="BO25" s="515"/>
      <c r="BP25" s="515"/>
      <c r="BQ25" s="515"/>
      <c r="BR25" s="515"/>
      <c r="BS25" s="515"/>
      <c r="BT25" s="515"/>
      <c r="BU25" s="515"/>
      <c r="BV25" s="515"/>
      <c r="BW25" s="515"/>
      <c r="BX25" s="519"/>
      <c r="BY25" s="532">
        <v>304000</v>
      </c>
      <c r="BZ25" s="515">
        <f>404000*0</f>
        <v>0</v>
      </c>
      <c r="CA25" s="543"/>
      <c r="CB25" s="532">
        <f>17.87+5.4</f>
        <v>23.270000000000003</v>
      </c>
      <c r="CC25" s="532">
        <f>(81.02+268.11)+(1.56+24)</f>
        <v>374.69</v>
      </c>
      <c r="CD25" s="560">
        <f>291.77+85.47</f>
        <v>377.24</v>
      </c>
      <c r="CE25" s="560">
        <f>291.77+85.47</f>
        <v>377.24</v>
      </c>
      <c r="CF25" s="560">
        <f>(272.31+79.77)+(26.46+26.46+24.7)</f>
        <v>429.7</v>
      </c>
      <c r="CG25" s="541"/>
      <c r="CH25" s="541"/>
      <c r="CI25" s="515"/>
      <c r="CJ25" s="515"/>
      <c r="CK25" s="517">
        <f t="shared" si="31"/>
        <v>-305582.14</v>
      </c>
      <c r="CL25" s="664">
        <f>-(17.87+1.56+5.4)-(268.11+24+81.02)-(291.77+85.47+26.46)*2-(272.31+24.7+79.77)</f>
        <v>-1582.1399999999999</v>
      </c>
      <c r="CM25" s="576"/>
      <c r="CN25" s="515"/>
      <c r="CO25" s="576"/>
      <c r="CP25" s="541"/>
      <c r="CQ25" s="515"/>
      <c r="CR25" s="515"/>
      <c r="CS25" s="515"/>
      <c r="CT25" s="716">
        <f>(53*168+18*280)*1.085</f>
        <v>15129.24</v>
      </c>
      <c r="CU25" s="541"/>
      <c r="CV25" s="515"/>
      <c r="CW25" s="515"/>
      <c r="CX25" s="515"/>
      <c r="CY25" s="664">
        <f t="shared" si="32"/>
        <v>-15129.24</v>
      </c>
      <c r="CZ25" s="525"/>
      <c r="DA25" s="525"/>
      <c r="DB25" s="525"/>
      <c r="DC25" s="541"/>
      <c r="DD25" s="541"/>
      <c r="DE25" s="541"/>
      <c r="DF25" s="541"/>
      <c r="DG25" s="541"/>
      <c r="DH25" s="525"/>
      <c r="DI25" s="527"/>
      <c r="DJ25" s="527"/>
      <c r="DK25" s="527"/>
      <c r="DL25" s="790">
        <f>-SUM(CZ25:DK25)</f>
        <v>0</v>
      </c>
      <c r="DM25" s="527">
        <f>85000</f>
        <v>85000</v>
      </c>
      <c r="DY25" s="790">
        <f>-SUM(DM25:DX25)</f>
        <v>-85000</v>
      </c>
    </row>
    <row r="26" spans="2:129" ht="15.75">
      <c r="B26" s="752" t="s">
        <v>538</v>
      </c>
      <c r="C26" s="579"/>
      <c r="D26" s="579"/>
      <c r="E26" s="579"/>
      <c r="F26" s="579"/>
      <c r="G26" s="579"/>
      <c r="H26" s="579"/>
      <c r="I26" s="579"/>
      <c r="J26" s="579"/>
      <c r="K26" s="579"/>
      <c r="L26" s="579"/>
      <c r="M26" s="538"/>
      <c r="N26" s="538"/>
      <c r="O26" s="575"/>
      <c r="P26" s="647"/>
      <c r="Q26" s="647"/>
      <c r="R26" s="647"/>
      <c r="S26" s="647"/>
      <c r="T26" s="647"/>
      <c r="U26" s="647"/>
      <c r="V26" s="647"/>
      <c r="W26" s="647"/>
      <c r="X26" s="647"/>
      <c r="Y26" s="647"/>
      <c r="Z26" s="647"/>
      <c r="AA26" s="647"/>
      <c r="AB26" s="517"/>
      <c r="AC26" s="648"/>
      <c r="AD26" s="647"/>
      <c r="AE26" s="647"/>
      <c r="AF26" s="647"/>
      <c r="AG26" s="647"/>
      <c r="AH26" s="647"/>
      <c r="AI26" s="647"/>
      <c r="AJ26" s="647"/>
      <c r="AK26" s="582"/>
      <c r="AL26" s="647"/>
      <c r="AM26" s="647"/>
      <c r="AN26" s="647"/>
      <c r="AO26" s="647"/>
      <c r="AP26" s="647"/>
      <c r="AQ26" s="647"/>
      <c r="AR26" s="647"/>
      <c r="AS26" s="647"/>
      <c r="AT26" s="647"/>
      <c r="AU26" s="647"/>
      <c r="AV26" s="647"/>
      <c r="AW26" s="647"/>
      <c r="AX26" s="517"/>
      <c r="AY26" s="532"/>
      <c r="AZ26" s="515"/>
      <c r="BA26" s="515"/>
      <c r="BB26" s="515"/>
      <c r="BC26" s="515"/>
      <c r="BD26" s="515"/>
      <c r="BE26" s="515"/>
      <c r="BF26" s="515"/>
      <c r="BG26" s="515"/>
      <c r="BH26" s="515"/>
      <c r="BI26" s="515"/>
      <c r="BJ26" s="515"/>
      <c r="BK26" s="517"/>
      <c r="BL26" s="518"/>
      <c r="BM26" s="515"/>
      <c r="BN26" s="576"/>
      <c r="BO26" s="515"/>
      <c r="BP26" s="515"/>
      <c r="BQ26" s="515"/>
      <c r="BR26" s="515"/>
      <c r="BS26" s="515"/>
      <c r="BT26" s="515"/>
      <c r="BU26" s="515"/>
      <c r="BV26" s="515"/>
      <c r="BW26" s="515"/>
      <c r="BX26" s="519"/>
      <c r="BY26" s="706">
        <f t="shared" ref="BY26:CJ26" si="35">-SUM(BY15:BY25)</f>
        <v>-410600</v>
      </c>
      <c r="BZ26" s="705">
        <f t="shared" si="35"/>
        <v>0</v>
      </c>
      <c r="CA26" s="707">
        <f t="shared" si="35"/>
        <v>-5023.58</v>
      </c>
      <c r="CB26" s="705">
        <f t="shared" si="35"/>
        <v>-120341.27</v>
      </c>
      <c r="CC26" s="705">
        <f t="shared" si="35"/>
        <v>-7532.89</v>
      </c>
      <c r="CD26" s="705">
        <f t="shared" si="35"/>
        <v>-15459.550000000001</v>
      </c>
      <c r="CE26" s="705">
        <f t="shared" si="35"/>
        <v>-377.24</v>
      </c>
      <c r="CF26" s="705">
        <f t="shared" si="35"/>
        <v>-1122.45</v>
      </c>
      <c r="CG26" s="705">
        <f t="shared" si="35"/>
        <v>0</v>
      </c>
      <c r="CH26" s="705">
        <f t="shared" si="35"/>
        <v>0</v>
      </c>
      <c r="CI26" s="705">
        <f t="shared" si="35"/>
        <v>0</v>
      </c>
      <c r="CJ26" s="705">
        <f t="shared" si="35"/>
        <v>-17049.72</v>
      </c>
      <c r="CK26" s="708">
        <f>SUM(CK15:CK25)</f>
        <v>-577506.69999999995</v>
      </c>
      <c r="CL26" s="506"/>
      <c r="CM26" s="707">
        <f t="shared" ref="CM26:CX26" si="36">-SUM(CM15:CM25)</f>
        <v>0</v>
      </c>
      <c r="CN26" s="705">
        <f t="shared" si="36"/>
        <v>0</v>
      </c>
      <c r="CO26" s="707">
        <f t="shared" si="36"/>
        <v>0</v>
      </c>
      <c r="CP26" s="705">
        <f t="shared" si="36"/>
        <v>0</v>
      </c>
      <c r="CQ26" s="705">
        <f t="shared" si="36"/>
        <v>0</v>
      </c>
      <c r="CR26" s="705">
        <f t="shared" si="36"/>
        <v>-1270.0999999999999</v>
      </c>
      <c r="CS26" s="705">
        <f t="shared" si="36"/>
        <v>0</v>
      </c>
      <c r="CT26" s="705">
        <f t="shared" si="36"/>
        <v>-15129.24</v>
      </c>
      <c r="CU26" s="705">
        <f t="shared" si="36"/>
        <v>-1533.31</v>
      </c>
      <c r="CV26" s="705">
        <f t="shared" si="36"/>
        <v>-3293</v>
      </c>
      <c r="CW26" s="705">
        <f t="shared" si="36"/>
        <v>-12940.03</v>
      </c>
      <c r="CX26" s="705">
        <f t="shared" si="36"/>
        <v>0</v>
      </c>
      <c r="CY26" s="708">
        <f>SUM(CY15:CY25)</f>
        <v>-34165.68</v>
      </c>
      <c r="CZ26" s="901">
        <f>-SUM(CZ15:CZ25)</f>
        <v>0</v>
      </c>
      <c r="DA26" s="901">
        <f t="shared" ref="DA26:DI26" si="37">-SUM(DA15:DA25)</f>
        <v>-10587.5</v>
      </c>
      <c r="DB26" s="901">
        <f t="shared" si="37"/>
        <v>0</v>
      </c>
      <c r="DC26" s="901">
        <f t="shared" si="37"/>
        <v>0</v>
      </c>
      <c r="DD26" s="901">
        <f>-SUM(DD15:DD25)</f>
        <v>0</v>
      </c>
      <c r="DE26" s="901">
        <f>-SUM(DE15:DE25)</f>
        <v>-2013.92</v>
      </c>
      <c r="DF26" s="901">
        <f>-SUM(DF15:DF25)</f>
        <v>-47795.3</v>
      </c>
      <c r="DG26" s="901">
        <f>-SUM(DG15:DG25)</f>
        <v>-1716.87</v>
      </c>
      <c r="DH26" s="901">
        <f>-SUM(DH15:DH25)</f>
        <v>0</v>
      </c>
      <c r="DI26" s="895">
        <f t="shared" si="37"/>
        <v>-2555.9299999999998</v>
      </c>
      <c r="DJ26" s="895">
        <f>-SUM(DJ15:DJ25)</f>
        <v>-2352.5300000000002</v>
      </c>
      <c r="DK26" s="895">
        <f>-SUM(DK15:DK25)</f>
        <v>0</v>
      </c>
      <c r="DL26" s="603">
        <f>SUM(DL15:DL25)</f>
        <v>-67022.05</v>
      </c>
      <c r="DM26" s="901">
        <f>-SUM(DM15:DM25)</f>
        <v>-85000</v>
      </c>
      <c r="DN26" s="901">
        <f t="shared" ref="DN26:DW26" si="38">-SUM(DN15:DN25)</f>
        <v>0</v>
      </c>
      <c r="DO26" s="901">
        <f t="shared" si="38"/>
        <v>0</v>
      </c>
      <c r="DP26" s="901">
        <f t="shared" si="38"/>
        <v>0</v>
      </c>
      <c r="DQ26" s="901">
        <f>-SUM(DQ15:DQ25)</f>
        <v>0</v>
      </c>
      <c r="DR26" s="901">
        <f>-SUM(DR15:DR25)</f>
        <v>0</v>
      </c>
      <c r="DS26" s="901">
        <f>-SUM(DS15:DS25)</f>
        <v>0</v>
      </c>
      <c r="DT26" s="895">
        <f>-SUM(DT15:DT25)</f>
        <v>0</v>
      </c>
      <c r="DU26" s="895">
        <f>-SUM(DU15:DU25)</f>
        <v>0</v>
      </c>
      <c r="DV26" s="895">
        <f t="shared" si="38"/>
        <v>0</v>
      </c>
      <c r="DW26" s="895">
        <f t="shared" si="38"/>
        <v>0</v>
      </c>
      <c r="DX26" s="895">
        <f>-SUM(DX15:DX25)</f>
        <v>0</v>
      </c>
      <c r="DY26" s="603">
        <f>SUM(DY15:DY25)</f>
        <v>-85000</v>
      </c>
    </row>
    <row r="27" spans="2:129" ht="15">
      <c r="B27" s="758" t="s">
        <v>243</v>
      </c>
      <c r="C27" s="579"/>
      <c r="D27" s="579"/>
      <c r="E27" s="579"/>
      <c r="F27" s="579"/>
      <c r="G27" s="579"/>
      <c r="H27" s="579"/>
      <c r="I27" s="579"/>
      <c r="J27" s="579"/>
      <c r="K27" s="579"/>
      <c r="L27" s="579"/>
      <c r="M27" s="538"/>
      <c r="N27" s="538"/>
      <c r="O27" s="575"/>
      <c r="P27" s="647"/>
      <c r="Q27" s="647"/>
      <c r="R27" s="647"/>
      <c r="S27" s="647"/>
      <c r="T27" s="647"/>
      <c r="U27" s="647"/>
      <c r="V27" s="647"/>
      <c r="W27" s="647"/>
      <c r="X27" s="647"/>
      <c r="Y27" s="647"/>
      <c r="Z27" s="647"/>
      <c r="AA27" s="647"/>
      <c r="AB27" s="517"/>
      <c r="AC27" s="648"/>
      <c r="AD27" s="647"/>
      <c r="AE27" s="647"/>
      <c r="AF27" s="647"/>
      <c r="AG27" s="647"/>
      <c r="AH27" s="647"/>
      <c r="AI27" s="647"/>
      <c r="AJ27" s="647"/>
      <c r="AK27" s="582"/>
      <c r="AL27" s="647"/>
      <c r="AM27" s="647"/>
      <c r="AN27" s="647"/>
      <c r="AO27" s="647"/>
      <c r="AP27" s="647"/>
      <c r="AQ27" s="647"/>
      <c r="AR27" s="647"/>
      <c r="AS27" s="647"/>
      <c r="AT27" s="647"/>
      <c r="AU27" s="647"/>
      <c r="AV27" s="647"/>
      <c r="AW27" s="647"/>
      <c r="AX27" s="517"/>
      <c r="AY27" s="532"/>
      <c r="AZ27" s="515"/>
      <c r="BA27" s="515"/>
      <c r="BB27" s="515"/>
      <c r="BC27" s="515"/>
      <c r="BD27" s="515"/>
      <c r="BE27" s="515"/>
      <c r="BF27" s="515"/>
      <c r="BG27" s="515"/>
      <c r="BH27" s="515"/>
      <c r="BI27" s="515"/>
      <c r="BJ27" s="515"/>
      <c r="BK27" s="517"/>
      <c r="BL27" s="518"/>
      <c r="BM27" s="515"/>
      <c r="BN27" s="576"/>
      <c r="BO27" s="515"/>
      <c r="BP27" s="515"/>
      <c r="BQ27" s="515"/>
      <c r="BR27" s="515"/>
      <c r="BS27" s="515"/>
      <c r="BT27" s="515"/>
      <c r="BU27" s="515"/>
      <c r="BV27" s="515"/>
      <c r="BW27" s="515"/>
      <c r="BX27" s="519"/>
      <c r="BY27" s="515"/>
      <c r="BZ27" s="515"/>
      <c r="CA27" s="576"/>
      <c r="CB27" s="515"/>
      <c r="CC27" s="515"/>
      <c r="CD27" s="515"/>
      <c r="CE27" s="515"/>
      <c r="CF27" s="515"/>
      <c r="CG27" s="515"/>
      <c r="CH27" s="515"/>
      <c r="CI27" s="515"/>
      <c r="CJ27" s="515"/>
      <c r="CK27" s="759">
        <f>SUM(BY26:CJ26)-CK26</f>
        <v>0</v>
      </c>
      <c r="CL27" s="649"/>
      <c r="CM27" s="543"/>
      <c r="CN27" s="541"/>
      <c r="CO27" s="543"/>
      <c r="CP27" s="541"/>
      <c r="CQ27" s="541"/>
      <c r="CR27" s="541"/>
      <c r="CS27" s="541"/>
      <c r="CT27" s="541"/>
      <c r="CU27" s="541"/>
      <c r="CV27" s="541"/>
      <c r="CW27" s="541"/>
      <c r="CX27" s="541"/>
      <c r="CY27" s="759">
        <f>SUM(CM26:CX26)-CY26</f>
        <v>0</v>
      </c>
      <c r="CZ27" s="525"/>
      <c r="DA27" s="527"/>
      <c r="DB27" s="525"/>
      <c r="DC27" s="525"/>
      <c r="DD27" s="525"/>
      <c r="DE27" s="527"/>
      <c r="DF27" s="527"/>
      <c r="DG27" s="527"/>
      <c r="DH27" s="527"/>
      <c r="DI27" s="527"/>
      <c r="DJ27" s="527"/>
      <c r="DK27" s="527"/>
      <c r="DL27" s="784">
        <f>SUM(CZ26:DK26)-DL26</f>
        <v>0</v>
      </c>
      <c r="DY27" s="784">
        <f>SUM(DM26:DX26)-DY26</f>
        <v>0</v>
      </c>
    </row>
    <row r="28" spans="2:129" ht="15">
      <c r="AA28" s="480"/>
      <c r="AL28" s="552"/>
      <c r="AM28" s="764"/>
      <c r="AN28" s="552"/>
      <c r="AO28" s="589"/>
      <c r="AT28" s="552" t="s">
        <v>247</v>
      </c>
      <c r="AU28" s="764"/>
      <c r="AV28" s="552" t="s">
        <v>248</v>
      </c>
      <c r="AW28" s="589"/>
      <c r="CZ28" s="527"/>
      <c r="DA28" s="527"/>
      <c r="DB28" s="527"/>
      <c r="DC28" s="527"/>
      <c r="DD28" s="527"/>
      <c r="DE28" s="527"/>
      <c r="DF28" s="527"/>
      <c r="DG28" s="527"/>
      <c r="DH28" s="527"/>
      <c r="DI28" s="527"/>
      <c r="DJ28" s="527"/>
      <c r="DK28" s="527"/>
      <c r="DL28" s="856"/>
      <c r="DY28" s="856"/>
    </row>
    <row r="29" spans="2:129" ht="15">
      <c r="AA29" s="480"/>
      <c r="AM29" s="765"/>
      <c r="AN29" s="589"/>
      <c r="AO29" s="589"/>
      <c r="AT29" s="480" t="s">
        <v>249</v>
      </c>
      <c r="AU29" s="765"/>
      <c r="AV29" s="589" t="s">
        <v>250</v>
      </c>
      <c r="AW29" s="589"/>
    </row>
    <row r="30" spans="2:129">
      <c r="AA30" s="480"/>
      <c r="AL30" s="766"/>
      <c r="AM30" s="766"/>
      <c r="AN30" s="766"/>
      <c r="AO30" s="589"/>
      <c r="AT30" s="766" t="s">
        <v>251</v>
      </c>
      <c r="AU30" s="766"/>
      <c r="AV30" s="766" t="s">
        <v>252</v>
      </c>
      <c r="AW30" s="589"/>
      <c r="DB30" s="719" t="s">
        <v>541</v>
      </c>
    </row>
    <row r="31" spans="2:129" ht="15.75">
      <c r="AA31" s="480"/>
      <c r="AL31" s="511"/>
      <c r="AM31" s="767"/>
      <c r="AN31" s="768"/>
      <c r="AO31" s="589"/>
      <c r="AT31" s="511" t="s">
        <v>253</v>
      </c>
      <c r="AU31" s="767"/>
      <c r="AV31" s="768" t="s">
        <v>254</v>
      </c>
      <c r="AW31" s="589"/>
      <c r="CO31" s="774"/>
      <c r="CP31" s="527"/>
      <c r="DB31" s="774" t="s">
        <v>542</v>
      </c>
      <c r="DC31" s="527">
        <v>100000</v>
      </c>
    </row>
    <row r="32" spans="2:129">
      <c r="AA32" s="480"/>
      <c r="AT32" s="541" t="s">
        <v>255</v>
      </c>
      <c r="AU32" s="541"/>
      <c r="AV32" s="541" t="s">
        <v>256</v>
      </c>
      <c r="AW32" s="541"/>
      <c r="AX32" s="541"/>
      <c r="BZ32" s="480" t="s">
        <v>414</v>
      </c>
      <c r="CO32" s="812"/>
      <c r="CP32" s="527"/>
      <c r="DB32" s="812">
        <v>45627</v>
      </c>
      <c r="DC32" s="527">
        <v>-15000</v>
      </c>
    </row>
    <row r="33" spans="1:141">
      <c r="AA33" s="480"/>
      <c r="AL33" s="582"/>
      <c r="AM33" s="582"/>
      <c r="AN33" s="582"/>
      <c r="AO33" s="582"/>
      <c r="AP33" s="582"/>
      <c r="AQ33" s="582"/>
      <c r="AT33" s="769" t="s">
        <v>257</v>
      </c>
      <c r="AU33" s="769"/>
      <c r="AV33" s="769" t="s">
        <v>258</v>
      </c>
      <c r="AW33" s="769"/>
      <c r="AX33" s="769"/>
      <c r="BZ33" s="480" t="s">
        <v>415</v>
      </c>
      <c r="CO33" s="820"/>
      <c r="CP33" s="536"/>
      <c r="DB33" s="820">
        <v>45992</v>
      </c>
      <c r="DC33" s="536">
        <v>-25000</v>
      </c>
    </row>
    <row r="34" spans="1:141">
      <c r="AA34" s="480"/>
      <c r="AO34" s="589"/>
      <c r="AT34" s="770" t="s">
        <v>259</v>
      </c>
      <c r="AU34" s="770"/>
      <c r="AV34" s="770" t="s">
        <v>260</v>
      </c>
      <c r="AW34" s="771"/>
      <c r="AX34" s="770"/>
      <c r="CO34" s="820"/>
      <c r="CP34" s="536"/>
      <c r="DB34" s="820">
        <v>46357</v>
      </c>
      <c r="DC34" s="536">
        <v>-25000</v>
      </c>
    </row>
    <row r="35" spans="1:141">
      <c r="AA35" s="480"/>
      <c r="CO35" s="820"/>
      <c r="CP35" s="536"/>
      <c r="DB35" s="820">
        <v>46722</v>
      </c>
      <c r="DC35" s="536">
        <v>-35000</v>
      </c>
    </row>
    <row r="36" spans="1:141">
      <c r="AA36" s="480"/>
      <c r="BZ36" s="480" t="s">
        <v>416</v>
      </c>
      <c r="CO36" s="811"/>
      <c r="CP36" s="527"/>
      <c r="DB36" s="811"/>
      <c r="DC36" s="527">
        <f>SUM(DC31:DC35)</f>
        <v>0</v>
      </c>
    </row>
    <row r="37" spans="1:141">
      <c r="AA37" s="480"/>
      <c r="AI37" s="589"/>
    </row>
    <row r="38" spans="1:141">
      <c r="AA38" s="480"/>
      <c r="AI38" s="589"/>
    </row>
    <row r="39" spans="1:141">
      <c r="AA39" s="480"/>
      <c r="AI39" s="589"/>
    </row>
    <row r="40" spans="1:141">
      <c r="AA40" s="480"/>
      <c r="BZ40" s="480" t="s">
        <v>417</v>
      </c>
      <c r="CA40" s="582">
        <f>-18560+(3700*2+900*9+2200*3.5)*1.21+1334.03+852.38+1762.96+1766+851.24</f>
        <v>16078.609999999999</v>
      </c>
    </row>
    <row r="41" spans="1:141" s="481" customFormat="1">
      <c r="A41" s="480"/>
      <c r="B41" s="480"/>
      <c r="C41" s="480"/>
      <c r="D41" s="480"/>
      <c r="E41" s="480"/>
      <c r="F41" s="480"/>
      <c r="G41" s="480"/>
      <c r="H41" s="480"/>
      <c r="I41" s="480"/>
      <c r="J41" s="480"/>
      <c r="K41" s="480"/>
      <c r="L41" s="480"/>
      <c r="M41" s="480"/>
      <c r="N41" s="480"/>
      <c r="O41" s="480"/>
      <c r="P41" s="480"/>
      <c r="Q41" s="480"/>
      <c r="R41" s="480"/>
      <c r="S41" s="480"/>
      <c r="T41" s="480"/>
      <c r="U41" s="480"/>
      <c r="V41" s="480"/>
      <c r="W41" s="480"/>
      <c r="X41" s="480"/>
      <c r="Y41" s="480"/>
      <c r="Z41" s="480"/>
      <c r="AA41" s="480"/>
      <c r="AD41" s="480"/>
      <c r="AE41" s="480"/>
      <c r="AF41" s="480"/>
      <c r="AG41" s="480"/>
      <c r="AH41" s="480"/>
      <c r="AI41" s="480"/>
      <c r="AJ41" s="480"/>
      <c r="AK41" s="480"/>
      <c r="AL41" s="480"/>
      <c r="AM41" s="480"/>
      <c r="AN41" s="480"/>
      <c r="AO41" s="480"/>
      <c r="AP41" s="480"/>
      <c r="AQ41" s="480"/>
      <c r="AR41" s="480"/>
      <c r="AS41" s="480"/>
      <c r="AT41" s="480"/>
      <c r="AU41" s="480"/>
      <c r="AV41" s="480"/>
      <c r="AW41" s="480"/>
      <c r="AX41" s="480"/>
      <c r="AY41" s="480"/>
      <c r="AZ41" s="480"/>
      <c r="BA41" s="480"/>
      <c r="BB41" s="480"/>
      <c r="BC41" s="480"/>
      <c r="BD41" s="480"/>
      <c r="BE41" s="480"/>
      <c r="BF41" s="480"/>
      <c r="BG41" s="480"/>
      <c r="BH41" s="480"/>
      <c r="BI41" s="480"/>
      <c r="BJ41" s="480"/>
      <c r="BK41" s="480"/>
      <c r="BL41" s="480"/>
      <c r="BM41" s="480"/>
      <c r="BN41" s="480"/>
      <c r="BO41" s="480"/>
      <c r="BP41" s="480"/>
      <c r="BQ41" s="480"/>
      <c r="BR41" s="480"/>
      <c r="BS41" s="480"/>
      <c r="BT41" s="480"/>
      <c r="BU41" s="480"/>
      <c r="BV41" s="480"/>
      <c r="BW41" s="480"/>
      <c r="BX41" s="480"/>
      <c r="BY41" s="480"/>
      <c r="BZ41" s="480"/>
      <c r="CA41" s="480"/>
      <c r="CB41" s="480"/>
      <c r="CC41" s="480"/>
      <c r="CD41" s="480"/>
      <c r="CE41" s="480"/>
      <c r="CF41" s="480"/>
      <c r="CG41" s="480"/>
      <c r="CH41" s="480"/>
      <c r="CI41" s="480"/>
      <c r="CJ41" s="480"/>
      <c r="CK41" s="482"/>
      <c r="CL41" s="480"/>
      <c r="CM41" s="480"/>
      <c r="CN41" s="480"/>
      <c r="CO41" s="480"/>
      <c r="CP41" s="480"/>
      <c r="CQ41" s="480"/>
      <c r="CR41" s="480"/>
      <c r="CS41" s="480"/>
      <c r="CT41" s="480"/>
      <c r="CU41" s="480"/>
      <c r="CV41" s="480"/>
      <c r="CW41" s="480"/>
      <c r="CX41" s="480"/>
      <c r="CY41" s="482"/>
      <c r="CZ41" s="480"/>
      <c r="DA41" s="480"/>
      <c r="DB41" s="480"/>
      <c r="DC41" s="480"/>
      <c r="DD41" s="480"/>
      <c r="DE41" s="480"/>
      <c r="DF41" s="480"/>
      <c r="DG41" s="480"/>
      <c r="DH41" s="480"/>
      <c r="DI41" s="480"/>
      <c r="DJ41" s="480"/>
      <c r="DK41" s="480"/>
      <c r="DL41" s="482"/>
      <c r="DM41" s="480"/>
      <c r="DN41" s="480"/>
      <c r="DO41" s="480"/>
      <c r="DP41" s="480"/>
      <c r="DQ41" s="480"/>
      <c r="DR41" s="480"/>
      <c r="DS41" s="480"/>
      <c r="DT41" s="480"/>
      <c r="DU41" s="480"/>
      <c r="DV41" s="480"/>
      <c r="DW41" s="480"/>
      <c r="DX41" s="480"/>
      <c r="DY41" s="482"/>
      <c r="DZ41" s="480"/>
      <c r="EA41" s="480"/>
      <c r="EB41" s="480"/>
      <c r="EC41" s="480"/>
      <c r="ED41" s="480"/>
      <c r="EE41" s="480"/>
      <c r="EF41" s="480"/>
      <c r="EG41" s="480"/>
      <c r="EH41" s="480"/>
      <c r="EI41" s="480"/>
      <c r="EJ41" s="480"/>
      <c r="EK41" s="480"/>
    </row>
    <row r="42" spans="1:141" s="481" customFormat="1">
      <c r="A42" s="480"/>
      <c r="B42" s="480"/>
      <c r="C42" s="480"/>
      <c r="D42" s="480"/>
      <c r="E42" s="480"/>
      <c r="F42" s="480"/>
      <c r="G42" s="480"/>
      <c r="H42" s="480"/>
      <c r="I42" s="480"/>
      <c r="J42" s="480"/>
      <c r="K42" s="480"/>
      <c r="L42" s="480"/>
      <c r="M42" s="480"/>
      <c r="N42" s="480"/>
      <c r="O42" s="480"/>
      <c r="P42" s="480"/>
      <c r="Q42" s="480"/>
      <c r="R42" s="480"/>
      <c r="S42" s="480"/>
      <c r="T42" s="480"/>
      <c r="U42" s="480"/>
      <c r="V42" s="480"/>
      <c r="W42" s="480"/>
      <c r="X42" s="480"/>
      <c r="Y42" s="480"/>
      <c r="Z42" s="480"/>
      <c r="AA42" s="480"/>
      <c r="AD42" s="480"/>
      <c r="AE42" s="480"/>
      <c r="AF42" s="480"/>
      <c r="AG42" s="480"/>
      <c r="AH42" s="480"/>
      <c r="AI42" s="480"/>
      <c r="AJ42" s="480"/>
      <c r="AK42" s="480"/>
      <c r="AL42" s="480"/>
      <c r="AM42" s="480"/>
      <c r="AN42" s="480"/>
      <c r="AO42" s="480"/>
      <c r="AP42" s="480"/>
      <c r="AQ42" s="480"/>
      <c r="AR42" s="480"/>
      <c r="AS42" s="480"/>
      <c r="AT42" s="480"/>
      <c r="AU42" s="480"/>
      <c r="AV42" s="480"/>
      <c r="AW42" s="480"/>
      <c r="AX42" s="480"/>
      <c r="AY42" s="480"/>
      <c r="AZ42" s="480"/>
      <c r="BA42" s="480"/>
      <c r="BB42" s="480"/>
      <c r="BC42" s="480"/>
      <c r="BD42" s="480"/>
      <c r="BE42" s="480"/>
      <c r="BF42" s="480"/>
      <c r="BG42" s="480"/>
      <c r="BH42" s="480"/>
      <c r="BI42" s="480"/>
      <c r="BJ42" s="480"/>
      <c r="BK42" s="480"/>
      <c r="BL42" s="480"/>
      <c r="BM42" s="480"/>
      <c r="BN42" s="480"/>
      <c r="BO42" s="480"/>
      <c r="BP42" s="480"/>
      <c r="BQ42" s="480"/>
      <c r="BR42" s="480"/>
      <c r="BS42" s="480"/>
      <c r="BT42" s="480"/>
      <c r="BU42" s="480"/>
      <c r="BV42" s="480"/>
      <c r="BW42" s="480"/>
      <c r="BX42" s="480"/>
      <c r="BY42" s="480"/>
      <c r="BZ42" s="480"/>
      <c r="CA42" s="480"/>
      <c r="CB42" s="480"/>
      <c r="CC42" s="480"/>
      <c r="CD42" s="480"/>
      <c r="CE42" s="480"/>
      <c r="CF42" s="480"/>
      <c r="CG42" s="480"/>
      <c r="CH42" s="480"/>
      <c r="CI42" s="480"/>
      <c r="CJ42" s="480"/>
      <c r="CK42" s="482"/>
      <c r="CL42" s="480"/>
      <c r="CM42" s="480"/>
      <c r="CN42" s="480"/>
      <c r="CO42" s="480"/>
      <c r="CP42" s="480"/>
      <c r="CQ42" s="480"/>
      <c r="CR42" s="480"/>
      <c r="CS42" s="480"/>
      <c r="CT42" s="480"/>
      <c r="CU42" s="480"/>
      <c r="CV42" s="480"/>
      <c r="CW42" s="480"/>
      <c r="CX42" s="480"/>
      <c r="CY42" s="482"/>
      <c r="CZ42" s="480"/>
      <c r="DA42" s="480"/>
      <c r="DB42" s="480"/>
      <c r="DC42" s="480"/>
      <c r="DD42" s="480"/>
      <c r="DE42" s="480"/>
      <c r="DF42" s="480"/>
      <c r="DG42" s="480"/>
      <c r="DH42" s="480"/>
      <c r="DI42" s="480"/>
      <c r="DJ42" s="480"/>
      <c r="DK42" s="480"/>
      <c r="DL42" s="482"/>
      <c r="DM42" s="480"/>
      <c r="DN42" s="480"/>
      <c r="DO42" s="480"/>
      <c r="DP42" s="480"/>
      <c r="DQ42" s="480"/>
      <c r="DR42" s="480"/>
      <c r="DS42" s="480"/>
      <c r="DT42" s="480"/>
      <c r="DU42" s="480"/>
      <c r="DV42" s="480"/>
      <c r="DW42" s="480"/>
      <c r="DX42" s="480"/>
      <c r="DY42" s="482"/>
      <c r="DZ42" s="480"/>
      <c r="EA42" s="480"/>
      <c r="EB42" s="480"/>
      <c r="EC42" s="480"/>
      <c r="ED42" s="480"/>
      <c r="EE42" s="480"/>
      <c r="EF42" s="480"/>
      <c r="EG42" s="480"/>
      <c r="EH42" s="480"/>
      <c r="EI42" s="480"/>
      <c r="EJ42" s="480"/>
      <c r="EK42" s="480"/>
    </row>
    <row r="43" spans="1:141" s="481" customFormat="1">
      <c r="A43" s="480"/>
      <c r="B43" s="480"/>
      <c r="C43" s="480"/>
      <c r="D43" s="480"/>
      <c r="E43" s="480"/>
      <c r="F43" s="480"/>
      <c r="G43" s="480"/>
      <c r="H43" s="480"/>
      <c r="I43" s="480"/>
      <c r="J43" s="480"/>
      <c r="K43" s="480"/>
      <c r="L43" s="480"/>
      <c r="M43" s="480"/>
      <c r="N43" s="480"/>
      <c r="O43" s="480"/>
      <c r="P43" s="480"/>
      <c r="Q43" s="480"/>
      <c r="R43" s="480"/>
      <c r="S43" s="480"/>
      <c r="T43" s="480"/>
      <c r="U43" s="480"/>
      <c r="V43" s="480"/>
      <c r="W43" s="480"/>
      <c r="X43" s="480"/>
      <c r="Y43" s="480"/>
      <c r="Z43" s="480"/>
      <c r="AA43" s="480"/>
      <c r="AD43" s="480"/>
      <c r="AE43" s="480"/>
      <c r="AF43" s="480"/>
      <c r="AG43" s="480"/>
      <c r="AH43" s="480"/>
      <c r="AI43" s="480"/>
      <c r="AJ43" s="480"/>
      <c r="AK43" s="480"/>
      <c r="AL43" s="480"/>
      <c r="AM43" s="480"/>
      <c r="AN43" s="480"/>
      <c r="AO43" s="480"/>
      <c r="AP43" s="480"/>
      <c r="AQ43" s="480"/>
      <c r="AR43" s="480"/>
      <c r="AS43" s="480"/>
      <c r="AT43" s="480"/>
      <c r="AU43" s="480"/>
      <c r="AV43" s="480"/>
      <c r="AW43" s="480"/>
      <c r="AX43" s="480"/>
      <c r="AY43" s="480"/>
      <c r="AZ43" s="480"/>
      <c r="BA43" s="480"/>
      <c r="BB43" s="480"/>
      <c r="BC43" s="480"/>
      <c r="BD43" s="480"/>
      <c r="BE43" s="480"/>
      <c r="BF43" s="480"/>
      <c r="BG43" s="480"/>
      <c r="BH43" s="480"/>
      <c r="BI43" s="480"/>
      <c r="BJ43" s="480"/>
      <c r="BK43" s="480"/>
      <c r="BL43" s="480"/>
      <c r="BM43" s="480"/>
      <c r="BN43" s="480"/>
      <c r="BO43" s="480"/>
      <c r="BP43" s="480"/>
      <c r="BQ43" s="480"/>
      <c r="BR43" s="480"/>
      <c r="BS43" s="480"/>
      <c r="BT43" s="480"/>
      <c r="BU43" s="480"/>
      <c r="BV43" s="480"/>
      <c r="BW43" s="480"/>
      <c r="BX43" s="480"/>
      <c r="BY43" s="480"/>
      <c r="BZ43" s="480"/>
      <c r="CA43" s="480"/>
      <c r="CB43" s="480"/>
      <c r="CC43" s="480"/>
      <c r="CD43" s="480"/>
      <c r="CE43" s="480"/>
      <c r="CF43" s="480"/>
      <c r="CG43" s="480"/>
      <c r="CH43" s="480"/>
      <c r="CI43" s="480"/>
      <c r="CJ43" s="480"/>
      <c r="CK43" s="482"/>
      <c r="CL43" s="480"/>
      <c r="CM43" s="480"/>
      <c r="CN43" s="480"/>
      <c r="CO43" s="480"/>
      <c r="CP43" s="480"/>
      <c r="CQ43" s="480"/>
      <c r="CR43" s="480"/>
      <c r="CS43" s="480"/>
      <c r="CT43" s="480"/>
      <c r="CU43" s="480"/>
      <c r="CV43" s="480"/>
      <c r="CW43" s="480"/>
      <c r="CX43" s="480"/>
      <c r="CY43" s="482"/>
      <c r="CZ43" s="480"/>
      <c r="DA43" s="480"/>
      <c r="DB43" s="480"/>
      <c r="DC43" s="480"/>
      <c r="DD43" s="480"/>
      <c r="DE43" s="480"/>
      <c r="DF43" s="480"/>
      <c r="DG43" s="480"/>
      <c r="DH43" s="480"/>
      <c r="DI43" s="480"/>
      <c r="DJ43" s="480"/>
      <c r="DK43" s="480"/>
      <c r="DL43" s="482"/>
      <c r="DM43" s="480"/>
      <c r="DN43" s="480"/>
      <c r="DO43" s="480"/>
      <c r="DP43" s="480"/>
      <c r="DQ43" s="480"/>
      <c r="DR43" s="480"/>
      <c r="DS43" s="480"/>
      <c r="DT43" s="480"/>
      <c r="DU43" s="480"/>
      <c r="DV43" s="480"/>
      <c r="DW43" s="480"/>
      <c r="DX43" s="480"/>
      <c r="DY43" s="482"/>
      <c r="DZ43" s="480"/>
      <c r="EA43" s="480"/>
      <c r="EB43" s="480"/>
      <c r="EC43" s="480"/>
      <c r="ED43" s="480"/>
      <c r="EE43" s="480"/>
      <c r="EF43" s="480"/>
      <c r="EG43" s="480"/>
      <c r="EH43" s="480"/>
      <c r="EI43" s="480"/>
      <c r="EJ43" s="480"/>
      <c r="EK43" s="480"/>
    </row>
    <row r="44" spans="1:141" s="481" customFormat="1">
      <c r="A44" s="480"/>
      <c r="B44" s="480"/>
      <c r="C44" s="480"/>
      <c r="D44" s="480"/>
      <c r="E44" s="480"/>
      <c r="F44" s="480"/>
      <c r="G44" s="480"/>
      <c r="H44" s="480"/>
      <c r="I44" s="480"/>
      <c r="J44" s="480"/>
      <c r="K44" s="480"/>
      <c r="L44" s="480"/>
      <c r="M44" s="480"/>
      <c r="N44" s="480"/>
      <c r="O44" s="480"/>
      <c r="P44" s="480"/>
      <c r="Q44" s="480"/>
      <c r="R44" s="480"/>
      <c r="S44" s="480"/>
      <c r="T44" s="480"/>
      <c r="U44" s="480"/>
      <c r="V44" s="480"/>
      <c r="W44" s="480"/>
      <c r="X44" s="480"/>
      <c r="Y44" s="480"/>
      <c r="Z44" s="480"/>
      <c r="AA44" s="480"/>
      <c r="AD44" s="480"/>
      <c r="AE44" s="480"/>
      <c r="AF44" s="480"/>
      <c r="AG44" s="480"/>
      <c r="AH44" s="480"/>
      <c r="AI44" s="480"/>
      <c r="AJ44" s="480"/>
      <c r="AK44" s="480"/>
      <c r="AL44" s="480"/>
      <c r="AM44" s="480"/>
      <c r="AN44" s="480"/>
      <c r="AO44" s="480"/>
      <c r="AP44" s="480"/>
      <c r="AQ44" s="480"/>
      <c r="AR44" s="480"/>
      <c r="AS44" s="480"/>
      <c r="AT44" s="480"/>
      <c r="AU44" s="480"/>
      <c r="AV44" s="480"/>
      <c r="AW44" s="480"/>
      <c r="AX44" s="480"/>
      <c r="AY44" s="480"/>
      <c r="AZ44" s="480"/>
      <c r="BA44" s="480"/>
      <c r="BB44" s="480"/>
      <c r="BC44" s="480"/>
      <c r="BD44" s="480"/>
      <c r="BE44" s="480"/>
      <c r="BF44" s="480"/>
      <c r="BG44" s="480"/>
      <c r="BH44" s="480"/>
      <c r="BI44" s="480"/>
      <c r="BJ44" s="480"/>
      <c r="BK44" s="480"/>
      <c r="BL44" s="480"/>
      <c r="BM44" s="480"/>
      <c r="BN44" s="480"/>
      <c r="BO44" s="480"/>
      <c r="BP44" s="480"/>
      <c r="BQ44" s="480"/>
      <c r="BR44" s="480"/>
      <c r="BS44" s="480"/>
      <c r="BT44" s="480"/>
      <c r="BU44" s="480"/>
      <c r="BV44" s="480"/>
      <c r="BW44" s="480"/>
      <c r="BX44" s="480"/>
      <c r="BY44" s="480"/>
      <c r="BZ44" s="480"/>
      <c r="CA44" s="480"/>
      <c r="CB44" s="480"/>
      <c r="CC44" s="480"/>
      <c r="CD44" s="480"/>
      <c r="CE44" s="480"/>
      <c r="CF44" s="480"/>
      <c r="CG44" s="480"/>
      <c r="CH44" s="480"/>
      <c r="CI44" s="480"/>
      <c r="CJ44" s="480"/>
      <c r="CK44" s="482"/>
      <c r="CL44" s="480"/>
      <c r="CM44" s="480"/>
      <c r="CN44" s="480"/>
      <c r="CO44" s="480"/>
      <c r="CP44" s="480"/>
      <c r="CQ44" s="480"/>
      <c r="CR44" s="480"/>
      <c r="CS44" s="480"/>
      <c r="CT44" s="480"/>
      <c r="CU44" s="480"/>
      <c r="CV44" s="480"/>
      <c r="CW44" s="480"/>
      <c r="CX44" s="480"/>
      <c r="CY44" s="482"/>
      <c r="CZ44" s="480"/>
      <c r="DA44" s="480"/>
      <c r="DB44" s="480"/>
      <c r="DC44" s="480"/>
      <c r="DD44" s="480"/>
      <c r="DE44" s="480"/>
      <c r="DF44" s="480"/>
      <c r="DG44" s="480"/>
      <c r="DH44" s="480"/>
      <c r="DI44" s="480"/>
      <c r="DJ44" s="480"/>
      <c r="DK44" s="480"/>
      <c r="DL44" s="482"/>
      <c r="DM44" s="480"/>
      <c r="DN44" s="480"/>
      <c r="DO44" s="480"/>
      <c r="DP44" s="480"/>
      <c r="DQ44" s="480"/>
      <c r="DR44" s="480"/>
      <c r="DS44" s="480"/>
      <c r="DT44" s="480"/>
      <c r="DU44" s="480"/>
      <c r="DV44" s="480"/>
      <c r="DW44" s="480"/>
      <c r="DX44" s="480"/>
      <c r="DY44" s="482"/>
      <c r="DZ44" s="480"/>
      <c r="EA44" s="480"/>
      <c r="EB44" s="480"/>
      <c r="EC44" s="480"/>
      <c r="ED44" s="480"/>
      <c r="EE44" s="480"/>
      <c r="EF44" s="480"/>
      <c r="EG44" s="480"/>
      <c r="EH44" s="480"/>
      <c r="EI44" s="480"/>
      <c r="EJ44" s="480"/>
      <c r="EK44" s="480"/>
    </row>
    <row r="45" spans="1:141" s="481" customFormat="1">
      <c r="A45" s="480"/>
      <c r="B45" s="480"/>
      <c r="C45" s="480"/>
      <c r="D45" s="480"/>
      <c r="E45" s="480"/>
      <c r="F45" s="480"/>
      <c r="G45" s="480"/>
      <c r="H45" s="480"/>
      <c r="I45" s="480"/>
      <c r="J45" s="480"/>
      <c r="K45" s="480"/>
      <c r="L45" s="480"/>
      <c r="M45" s="480"/>
      <c r="N45" s="480"/>
      <c r="O45" s="480"/>
      <c r="P45" s="480"/>
      <c r="Q45" s="480"/>
      <c r="R45" s="480"/>
      <c r="S45" s="480"/>
      <c r="T45" s="480"/>
      <c r="U45" s="480"/>
      <c r="V45" s="480"/>
      <c r="W45" s="480"/>
      <c r="X45" s="480"/>
      <c r="Y45" s="480"/>
      <c r="Z45" s="480"/>
      <c r="AA45" s="480"/>
      <c r="AD45" s="480"/>
      <c r="AE45" s="480"/>
      <c r="AF45" s="480"/>
      <c r="AG45" s="480"/>
      <c r="AH45" s="480"/>
      <c r="AI45" s="480"/>
      <c r="AJ45" s="480"/>
      <c r="AK45" s="480"/>
      <c r="AL45" s="480"/>
      <c r="AM45" s="480"/>
      <c r="AN45" s="480"/>
      <c r="AO45" s="480"/>
      <c r="AP45" s="480"/>
      <c r="AQ45" s="480"/>
      <c r="AR45" s="480"/>
      <c r="AS45" s="480"/>
      <c r="AT45" s="480"/>
      <c r="AU45" s="480"/>
      <c r="AV45" s="480"/>
      <c r="AW45" s="480"/>
      <c r="AX45" s="480"/>
      <c r="AY45" s="480"/>
      <c r="AZ45" s="480"/>
      <c r="BA45" s="480"/>
      <c r="BB45" s="480"/>
      <c r="BC45" s="480"/>
      <c r="BD45" s="480"/>
      <c r="BE45" s="480"/>
      <c r="BF45" s="480"/>
      <c r="BG45" s="480"/>
      <c r="BH45" s="480"/>
      <c r="BI45" s="480"/>
      <c r="BJ45" s="480"/>
      <c r="BK45" s="480"/>
      <c r="BL45" s="480"/>
      <c r="BM45" s="480"/>
      <c r="BN45" s="480"/>
      <c r="BO45" s="480"/>
      <c r="BP45" s="480"/>
      <c r="BQ45" s="480"/>
      <c r="BR45" s="480"/>
      <c r="BS45" s="480"/>
      <c r="BT45" s="480"/>
      <c r="BU45" s="480"/>
      <c r="BV45" s="480"/>
      <c r="BW45" s="480"/>
      <c r="BX45" s="480"/>
      <c r="BY45" s="480"/>
      <c r="BZ45" s="480"/>
      <c r="CA45" s="480"/>
      <c r="CB45" s="480"/>
      <c r="CC45" s="480"/>
      <c r="CD45" s="480"/>
      <c r="CE45" s="480"/>
      <c r="CF45" s="480"/>
      <c r="CG45" s="480"/>
      <c r="CH45" s="480"/>
      <c r="CI45" s="480"/>
      <c r="CJ45" s="480"/>
      <c r="CK45" s="482"/>
      <c r="CL45" s="480"/>
      <c r="CM45" s="480"/>
      <c r="CN45" s="480"/>
      <c r="CO45" s="480"/>
      <c r="CP45" s="480"/>
      <c r="CQ45" s="480"/>
      <c r="CR45" s="480"/>
      <c r="CS45" s="480"/>
      <c r="CT45" s="480"/>
      <c r="CU45" s="480"/>
      <c r="CV45" s="480"/>
      <c r="CW45" s="480"/>
      <c r="CX45" s="480"/>
      <c r="CY45" s="482"/>
      <c r="CZ45" s="480"/>
      <c r="DA45" s="480"/>
      <c r="DB45" s="480"/>
      <c r="DC45" s="480"/>
      <c r="DD45" s="480"/>
      <c r="DE45" s="480"/>
      <c r="DF45" s="480"/>
      <c r="DG45" s="480"/>
      <c r="DH45" s="480"/>
      <c r="DI45" s="480"/>
      <c r="DJ45" s="480"/>
      <c r="DK45" s="480"/>
      <c r="DL45" s="482"/>
      <c r="DM45" s="480"/>
      <c r="DN45" s="480"/>
      <c r="DO45" s="480"/>
      <c r="DP45" s="480"/>
      <c r="DQ45" s="480"/>
      <c r="DR45" s="480"/>
      <c r="DS45" s="480"/>
      <c r="DT45" s="480"/>
      <c r="DU45" s="480"/>
      <c r="DV45" s="480"/>
      <c r="DW45" s="480"/>
      <c r="DX45" s="480"/>
      <c r="DY45" s="482"/>
      <c r="DZ45" s="480"/>
      <c r="EA45" s="480"/>
      <c r="EB45" s="480"/>
      <c r="EC45" s="480"/>
      <c r="ED45" s="480"/>
      <c r="EE45" s="480"/>
      <c r="EF45" s="480"/>
      <c r="EG45" s="480"/>
      <c r="EH45" s="480"/>
      <c r="EI45" s="480"/>
      <c r="EJ45" s="480"/>
      <c r="EK45" s="480"/>
    </row>
    <row r="46" spans="1:141" s="481" customFormat="1">
      <c r="A46" s="480"/>
      <c r="B46" s="480"/>
      <c r="C46" s="480"/>
      <c r="D46" s="480"/>
      <c r="E46" s="480"/>
      <c r="F46" s="480"/>
      <c r="G46" s="480"/>
      <c r="H46" s="480"/>
      <c r="I46" s="480"/>
      <c r="J46" s="480"/>
      <c r="K46" s="480"/>
      <c r="L46" s="480"/>
      <c r="M46" s="480"/>
      <c r="N46" s="480"/>
      <c r="O46" s="480"/>
      <c r="P46" s="480"/>
      <c r="Q46" s="480"/>
      <c r="R46" s="480"/>
      <c r="S46" s="480"/>
      <c r="T46" s="480"/>
      <c r="U46" s="480"/>
      <c r="V46" s="480"/>
      <c r="W46" s="480"/>
      <c r="X46" s="480"/>
      <c r="Y46" s="480"/>
      <c r="Z46" s="480"/>
      <c r="AA46" s="480"/>
      <c r="AD46" s="480"/>
      <c r="AE46" s="480"/>
      <c r="AF46" s="480"/>
      <c r="AG46" s="480"/>
      <c r="AH46" s="480"/>
      <c r="AI46" s="480"/>
      <c r="AJ46" s="480"/>
      <c r="AK46" s="480"/>
      <c r="AL46" s="480"/>
      <c r="AM46" s="480"/>
      <c r="AN46" s="480"/>
      <c r="AO46" s="480"/>
      <c r="AP46" s="480"/>
      <c r="AQ46" s="480"/>
      <c r="AR46" s="480"/>
      <c r="AS46" s="480"/>
      <c r="AT46" s="480"/>
      <c r="AU46" s="480"/>
      <c r="AV46" s="480"/>
      <c r="AW46" s="480"/>
      <c r="AX46" s="480"/>
      <c r="AY46" s="480"/>
      <c r="AZ46" s="480"/>
      <c r="BA46" s="480"/>
      <c r="BB46" s="480"/>
      <c r="BC46" s="480"/>
      <c r="BD46" s="480"/>
      <c r="BE46" s="480"/>
      <c r="BF46" s="480"/>
      <c r="BG46" s="480"/>
      <c r="BH46" s="480"/>
      <c r="BI46" s="480"/>
      <c r="BJ46" s="480"/>
      <c r="BK46" s="480"/>
      <c r="BL46" s="480"/>
      <c r="BM46" s="480"/>
      <c r="BN46" s="480"/>
      <c r="BO46" s="480"/>
      <c r="BP46" s="480"/>
      <c r="BQ46" s="480"/>
      <c r="BR46" s="480"/>
      <c r="BS46" s="480"/>
      <c r="BT46" s="480"/>
      <c r="BU46" s="480"/>
      <c r="BV46" s="480"/>
      <c r="BW46" s="480"/>
      <c r="BX46" s="480"/>
      <c r="BY46" s="480"/>
      <c r="BZ46" s="480"/>
      <c r="CA46" s="480"/>
      <c r="CB46" s="480"/>
      <c r="CC46" s="480"/>
      <c r="CD46" s="480"/>
      <c r="CE46" s="480"/>
      <c r="CF46" s="480"/>
      <c r="CG46" s="480"/>
      <c r="CH46" s="480"/>
      <c r="CI46" s="480"/>
      <c r="CJ46" s="480"/>
      <c r="CK46" s="482"/>
      <c r="CL46" s="480"/>
      <c r="CM46" s="480"/>
      <c r="CN46" s="480"/>
      <c r="CO46" s="480"/>
      <c r="CP46" s="480"/>
      <c r="CQ46" s="480"/>
      <c r="CR46" s="480"/>
      <c r="CS46" s="480"/>
      <c r="CT46" s="480"/>
      <c r="CU46" s="480"/>
      <c r="CV46" s="480"/>
      <c r="CW46" s="480"/>
      <c r="CX46" s="480"/>
      <c r="CY46" s="482"/>
      <c r="CZ46" s="480"/>
      <c r="DA46" s="480"/>
      <c r="DB46" s="480"/>
      <c r="DC46" s="480"/>
      <c r="DD46" s="480"/>
      <c r="DE46" s="480"/>
      <c r="DF46" s="480"/>
      <c r="DG46" s="480"/>
      <c r="DH46" s="480"/>
      <c r="DI46" s="480"/>
      <c r="DJ46" s="480"/>
      <c r="DK46" s="480"/>
      <c r="DL46" s="482"/>
      <c r="DM46" s="480"/>
      <c r="DN46" s="480"/>
      <c r="DO46" s="480"/>
      <c r="DP46" s="480"/>
      <c r="DQ46" s="480"/>
      <c r="DR46" s="480"/>
      <c r="DS46" s="480"/>
      <c r="DT46" s="480"/>
      <c r="DU46" s="480"/>
      <c r="DV46" s="480"/>
      <c r="DW46" s="480"/>
      <c r="DX46" s="480"/>
      <c r="DY46" s="482"/>
      <c r="DZ46" s="480"/>
      <c r="EA46" s="480"/>
      <c r="EB46" s="480"/>
      <c r="EC46" s="480"/>
      <c r="ED46" s="480"/>
      <c r="EE46" s="480"/>
      <c r="EF46" s="480"/>
      <c r="EG46" s="480"/>
      <c r="EH46" s="480"/>
      <c r="EI46" s="480"/>
      <c r="EJ46" s="480"/>
      <c r="EK46" s="480"/>
    </row>
    <row r="47" spans="1:141" s="481" customFormat="1">
      <c r="A47" s="480"/>
      <c r="B47" s="480"/>
      <c r="C47" s="480"/>
      <c r="D47" s="480"/>
      <c r="E47" s="480"/>
      <c r="F47" s="480"/>
      <c r="G47" s="480"/>
      <c r="H47" s="480"/>
      <c r="I47" s="480"/>
      <c r="J47" s="480"/>
      <c r="K47" s="480"/>
      <c r="L47" s="480"/>
      <c r="M47" s="480"/>
      <c r="N47" s="480"/>
      <c r="O47" s="480"/>
      <c r="P47" s="480"/>
      <c r="Q47" s="480"/>
      <c r="R47" s="480"/>
      <c r="S47" s="480"/>
      <c r="T47" s="480"/>
      <c r="U47" s="480"/>
      <c r="V47" s="480"/>
      <c r="W47" s="480"/>
      <c r="X47" s="480"/>
      <c r="Y47" s="480"/>
      <c r="Z47" s="480"/>
      <c r="AA47" s="480"/>
      <c r="AD47" s="480"/>
      <c r="AE47" s="480"/>
      <c r="AF47" s="480"/>
      <c r="AG47" s="480"/>
      <c r="AH47" s="480"/>
      <c r="AI47" s="480"/>
      <c r="AJ47" s="480"/>
      <c r="AK47" s="480"/>
      <c r="AL47" s="480"/>
      <c r="AM47" s="480"/>
      <c r="AN47" s="480"/>
      <c r="AO47" s="480"/>
      <c r="AP47" s="480"/>
      <c r="AQ47" s="480"/>
      <c r="AR47" s="480"/>
      <c r="AS47" s="480"/>
      <c r="AT47" s="480"/>
      <c r="AU47" s="480"/>
      <c r="AV47" s="480"/>
      <c r="AW47" s="480"/>
      <c r="AX47" s="480"/>
      <c r="AY47" s="480"/>
      <c r="AZ47" s="480"/>
      <c r="BA47" s="480"/>
      <c r="BB47" s="480"/>
      <c r="BC47" s="480"/>
      <c r="BD47" s="480"/>
      <c r="BE47" s="480"/>
      <c r="BF47" s="480"/>
      <c r="BG47" s="480"/>
      <c r="BH47" s="480"/>
      <c r="BI47" s="480"/>
      <c r="BJ47" s="480"/>
      <c r="BK47" s="480"/>
      <c r="BL47" s="480"/>
      <c r="BM47" s="480"/>
      <c r="BN47" s="480"/>
      <c r="BO47" s="480"/>
      <c r="BP47" s="480"/>
      <c r="BQ47" s="480"/>
      <c r="BR47" s="480"/>
      <c r="BS47" s="480"/>
      <c r="BT47" s="480"/>
      <c r="BU47" s="480"/>
      <c r="BV47" s="480"/>
      <c r="BW47" s="480"/>
      <c r="BX47" s="480"/>
      <c r="BY47" s="480"/>
      <c r="BZ47" s="480"/>
      <c r="CA47" s="480"/>
      <c r="CB47" s="480"/>
      <c r="CC47" s="480"/>
      <c r="CD47" s="480"/>
      <c r="CE47" s="480"/>
      <c r="CF47" s="480"/>
      <c r="CG47" s="480"/>
      <c r="CH47" s="480"/>
      <c r="CI47" s="480"/>
      <c r="CJ47" s="480"/>
      <c r="CK47" s="482"/>
      <c r="CL47" s="480"/>
      <c r="CM47" s="480"/>
      <c r="CN47" s="480"/>
      <c r="CO47" s="480"/>
      <c r="CP47" s="480"/>
      <c r="CQ47" s="480"/>
      <c r="CR47" s="480"/>
      <c r="CS47" s="480"/>
      <c r="CT47" s="480"/>
      <c r="CU47" s="480"/>
      <c r="CV47" s="480"/>
      <c r="CW47" s="480"/>
      <c r="CX47" s="480"/>
      <c r="CY47" s="482"/>
      <c r="CZ47" s="480"/>
      <c r="DA47" s="480"/>
      <c r="DB47" s="480"/>
      <c r="DC47" s="480"/>
      <c r="DD47" s="480"/>
      <c r="DE47" s="480"/>
      <c r="DF47" s="480"/>
      <c r="DG47" s="480"/>
      <c r="DH47" s="480"/>
      <c r="DI47" s="480"/>
      <c r="DJ47" s="480"/>
      <c r="DK47" s="480"/>
      <c r="DL47" s="482"/>
      <c r="DM47" s="480"/>
      <c r="DN47" s="480"/>
      <c r="DO47" s="480"/>
      <c r="DP47" s="480"/>
      <c r="DQ47" s="480"/>
      <c r="DR47" s="480"/>
      <c r="DS47" s="480"/>
      <c r="DT47" s="480"/>
      <c r="DU47" s="480"/>
      <c r="DV47" s="480"/>
      <c r="DW47" s="480"/>
      <c r="DX47" s="480"/>
      <c r="DY47" s="482"/>
      <c r="DZ47" s="480"/>
      <c r="EA47" s="480"/>
      <c r="EB47" s="480"/>
      <c r="EC47" s="480"/>
      <c r="ED47" s="480"/>
      <c r="EE47" s="480"/>
      <c r="EF47" s="480"/>
      <c r="EG47" s="480"/>
      <c r="EH47" s="480"/>
      <c r="EI47" s="480"/>
      <c r="EJ47" s="480"/>
      <c r="EK47" s="480"/>
    </row>
    <row r="48" spans="1:141" s="481" customFormat="1">
      <c r="A48" s="480"/>
      <c r="B48" s="480"/>
      <c r="C48" s="480"/>
      <c r="D48" s="480"/>
      <c r="E48" s="480"/>
      <c r="F48" s="480"/>
      <c r="G48" s="480"/>
      <c r="H48" s="480"/>
      <c r="I48" s="480"/>
      <c r="J48" s="480"/>
      <c r="K48" s="480"/>
      <c r="L48" s="480"/>
      <c r="M48" s="480"/>
      <c r="N48" s="480"/>
      <c r="O48" s="480"/>
      <c r="P48" s="480"/>
      <c r="Q48" s="480"/>
      <c r="R48" s="480"/>
      <c r="S48" s="480"/>
      <c r="T48" s="480"/>
      <c r="U48" s="480"/>
      <c r="V48" s="480"/>
      <c r="W48" s="480"/>
      <c r="X48" s="480"/>
      <c r="Y48" s="480"/>
      <c r="Z48" s="480"/>
      <c r="AA48" s="480"/>
      <c r="AD48" s="480"/>
      <c r="AE48" s="480"/>
      <c r="AF48" s="480"/>
      <c r="AG48" s="480"/>
      <c r="AH48" s="480"/>
      <c r="AI48" s="480"/>
      <c r="AJ48" s="480"/>
      <c r="AK48" s="480"/>
      <c r="AL48" s="480"/>
      <c r="AM48" s="480"/>
      <c r="AN48" s="480"/>
      <c r="AO48" s="480"/>
      <c r="AP48" s="480"/>
      <c r="AQ48" s="480"/>
      <c r="AR48" s="480"/>
      <c r="AS48" s="480"/>
      <c r="AT48" s="480"/>
      <c r="AU48" s="480"/>
      <c r="AV48" s="480"/>
      <c r="AW48" s="480"/>
      <c r="AX48" s="480"/>
      <c r="AY48" s="480"/>
      <c r="AZ48" s="480"/>
      <c r="BA48" s="480"/>
      <c r="BB48" s="480"/>
      <c r="BC48" s="480"/>
      <c r="BD48" s="480"/>
      <c r="BE48" s="480"/>
      <c r="BF48" s="480"/>
      <c r="BG48" s="480"/>
      <c r="BH48" s="480"/>
      <c r="BI48" s="480"/>
      <c r="BJ48" s="480"/>
      <c r="BK48" s="480"/>
      <c r="BL48" s="480"/>
      <c r="BM48" s="480"/>
      <c r="BN48" s="480"/>
      <c r="BO48" s="480"/>
      <c r="BP48" s="480"/>
      <c r="BQ48" s="480"/>
      <c r="BR48" s="480"/>
      <c r="BS48" s="480"/>
      <c r="BT48" s="480"/>
      <c r="BU48" s="480"/>
      <c r="BV48" s="480"/>
      <c r="BW48" s="480"/>
      <c r="BX48" s="480"/>
      <c r="BY48" s="480"/>
      <c r="BZ48" s="480"/>
      <c r="CA48" s="480"/>
      <c r="CB48" s="480"/>
      <c r="CC48" s="480"/>
      <c r="CD48" s="480"/>
      <c r="CE48" s="480"/>
      <c r="CF48" s="480"/>
      <c r="CG48" s="480"/>
      <c r="CH48" s="480"/>
      <c r="CI48" s="480"/>
      <c r="CJ48" s="480"/>
      <c r="CK48" s="482"/>
      <c r="CL48" s="480"/>
      <c r="CM48" s="480"/>
      <c r="CN48" s="480"/>
      <c r="CO48" s="480"/>
      <c r="CP48" s="480"/>
      <c r="CQ48" s="480"/>
      <c r="CR48" s="480"/>
      <c r="CS48" s="480"/>
      <c r="CT48" s="480"/>
      <c r="CU48" s="480"/>
      <c r="CV48" s="480"/>
      <c r="CW48" s="480"/>
      <c r="CX48" s="480"/>
      <c r="CY48" s="482"/>
      <c r="CZ48" s="480"/>
      <c r="DA48" s="480"/>
      <c r="DB48" s="480"/>
      <c r="DC48" s="480"/>
      <c r="DD48" s="480"/>
      <c r="DE48" s="480"/>
      <c r="DF48" s="480"/>
      <c r="DG48" s="480"/>
      <c r="DH48" s="480"/>
      <c r="DI48" s="480"/>
      <c r="DJ48" s="480"/>
      <c r="DK48" s="480"/>
      <c r="DL48" s="482"/>
      <c r="DM48" s="480"/>
      <c r="DN48" s="480"/>
      <c r="DO48" s="480"/>
      <c r="DP48" s="480"/>
      <c r="DQ48" s="480"/>
      <c r="DR48" s="480"/>
      <c r="DS48" s="480"/>
      <c r="DT48" s="480"/>
      <c r="DU48" s="480"/>
      <c r="DV48" s="480"/>
      <c r="DW48" s="480"/>
      <c r="DX48" s="480"/>
      <c r="DY48" s="482"/>
      <c r="DZ48" s="480"/>
      <c r="EA48" s="480"/>
      <c r="EB48" s="480"/>
      <c r="EC48" s="480"/>
      <c r="ED48" s="480"/>
      <c r="EE48" s="480"/>
      <c r="EF48" s="480"/>
      <c r="EG48" s="480"/>
      <c r="EH48" s="480"/>
      <c r="EI48" s="480"/>
      <c r="EJ48" s="480"/>
      <c r="EK48" s="480"/>
    </row>
    <row r="49" spans="1:141" s="481" customFormat="1">
      <c r="A49" s="480"/>
      <c r="B49" s="480"/>
      <c r="C49" s="480"/>
      <c r="D49" s="480"/>
      <c r="E49" s="480"/>
      <c r="F49" s="480"/>
      <c r="G49" s="480"/>
      <c r="H49" s="480"/>
      <c r="I49" s="480"/>
      <c r="J49" s="480"/>
      <c r="K49" s="480"/>
      <c r="L49" s="480"/>
      <c r="M49" s="480"/>
      <c r="N49" s="480"/>
      <c r="O49" s="480"/>
      <c r="P49" s="480"/>
      <c r="Q49" s="480"/>
      <c r="R49" s="480"/>
      <c r="S49" s="480"/>
      <c r="T49" s="480"/>
      <c r="U49" s="480"/>
      <c r="V49" s="480"/>
      <c r="W49" s="480"/>
      <c r="X49" s="480"/>
      <c r="Y49" s="480"/>
      <c r="Z49" s="480"/>
      <c r="AA49" s="480"/>
      <c r="AD49" s="480"/>
      <c r="AE49" s="480"/>
      <c r="AF49" s="480"/>
      <c r="AG49" s="480"/>
      <c r="AH49" s="480"/>
      <c r="AI49" s="480"/>
      <c r="AJ49" s="480"/>
      <c r="AK49" s="480"/>
      <c r="AL49" s="480"/>
      <c r="AM49" s="480"/>
      <c r="AN49" s="480"/>
      <c r="AO49" s="480"/>
      <c r="AP49" s="480"/>
      <c r="AQ49" s="480"/>
      <c r="AR49" s="480"/>
      <c r="AS49" s="480"/>
      <c r="AT49" s="480"/>
      <c r="AU49" s="480"/>
      <c r="AV49" s="480"/>
      <c r="AW49" s="480"/>
      <c r="AX49" s="480"/>
      <c r="AY49" s="480"/>
      <c r="AZ49" s="480"/>
      <c r="BA49" s="480"/>
      <c r="BB49" s="480"/>
      <c r="BC49" s="480"/>
      <c r="BD49" s="480"/>
      <c r="BE49" s="480"/>
      <c r="BF49" s="480"/>
      <c r="BG49" s="480"/>
      <c r="BH49" s="480"/>
      <c r="BI49" s="480"/>
      <c r="BJ49" s="480"/>
      <c r="BK49" s="480"/>
      <c r="BL49" s="480"/>
      <c r="BM49" s="480"/>
      <c r="BN49" s="480"/>
      <c r="BO49" s="480"/>
      <c r="BP49" s="480"/>
      <c r="BQ49" s="480"/>
      <c r="BR49" s="480"/>
      <c r="BS49" s="480"/>
      <c r="BT49" s="480"/>
      <c r="BU49" s="480"/>
      <c r="BV49" s="480"/>
      <c r="BW49" s="480"/>
      <c r="BX49" s="480"/>
      <c r="BY49" s="480"/>
      <c r="BZ49" s="480"/>
      <c r="CA49" s="480"/>
      <c r="CB49" s="480"/>
      <c r="CC49" s="480"/>
      <c r="CD49" s="480"/>
      <c r="CE49" s="480"/>
      <c r="CF49" s="480"/>
      <c r="CG49" s="480"/>
      <c r="CH49" s="480"/>
      <c r="CI49" s="480"/>
      <c r="CJ49" s="480"/>
      <c r="CK49" s="482"/>
      <c r="CL49" s="480"/>
      <c r="CM49" s="480"/>
      <c r="CN49" s="480"/>
      <c r="CO49" s="480"/>
      <c r="CP49" s="480"/>
      <c r="CQ49" s="480"/>
      <c r="CR49" s="480"/>
      <c r="CS49" s="480"/>
      <c r="CT49" s="480"/>
      <c r="CU49" s="480"/>
      <c r="CV49" s="480"/>
      <c r="CW49" s="480"/>
      <c r="CX49" s="480"/>
      <c r="CY49" s="482"/>
      <c r="CZ49" s="480"/>
      <c r="DA49" s="480"/>
      <c r="DB49" s="480"/>
      <c r="DC49" s="480"/>
      <c r="DD49" s="480"/>
      <c r="DE49" s="480"/>
      <c r="DF49" s="480"/>
      <c r="DG49" s="480"/>
      <c r="DH49" s="480"/>
      <c r="DI49" s="480"/>
      <c r="DJ49" s="480"/>
      <c r="DK49" s="480"/>
      <c r="DL49" s="482"/>
      <c r="DM49" s="480"/>
      <c r="DN49" s="480"/>
      <c r="DO49" s="480"/>
      <c r="DP49" s="480"/>
      <c r="DQ49" s="480"/>
      <c r="DR49" s="480"/>
      <c r="DS49" s="480"/>
      <c r="DT49" s="480"/>
      <c r="DU49" s="480"/>
      <c r="DV49" s="480"/>
      <c r="DW49" s="480"/>
      <c r="DX49" s="480"/>
      <c r="DY49" s="482"/>
      <c r="DZ49" s="480"/>
      <c r="EA49" s="480"/>
      <c r="EB49" s="480"/>
      <c r="EC49" s="480"/>
      <c r="ED49" s="480"/>
      <c r="EE49" s="480"/>
      <c r="EF49" s="480"/>
      <c r="EG49" s="480"/>
      <c r="EH49" s="480"/>
      <c r="EI49" s="480"/>
      <c r="EJ49" s="480"/>
      <c r="EK49" s="480"/>
    </row>
    <row r="50" spans="1:141" s="481" customFormat="1">
      <c r="A50" s="480"/>
      <c r="B50" s="480"/>
      <c r="C50" s="480"/>
      <c r="D50" s="480"/>
      <c r="E50" s="480"/>
      <c r="F50" s="480"/>
      <c r="G50" s="480"/>
      <c r="H50" s="480"/>
      <c r="I50" s="480"/>
      <c r="J50" s="480"/>
      <c r="K50" s="480"/>
      <c r="L50" s="480"/>
      <c r="M50" s="480"/>
      <c r="N50" s="480"/>
      <c r="O50" s="480"/>
      <c r="P50" s="480"/>
      <c r="Q50" s="480"/>
      <c r="R50" s="480"/>
      <c r="S50" s="480"/>
      <c r="T50" s="480"/>
      <c r="U50" s="480"/>
      <c r="V50" s="480"/>
      <c r="W50" s="480"/>
      <c r="X50" s="480"/>
      <c r="Y50" s="480"/>
      <c r="Z50" s="480"/>
      <c r="AA50" s="480"/>
      <c r="AD50" s="480"/>
      <c r="AE50" s="480"/>
      <c r="AF50" s="480"/>
      <c r="AG50" s="480"/>
      <c r="AH50" s="480"/>
      <c r="AI50" s="480"/>
      <c r="AJ50" s="480"/>
      <c r="AK50" s="480"/>
      <c r="AL50" s="480"/>
      <c r="AM50" s="480"/>
      <c r="AN50" s="480"/>
      <c r="AO50" s="480"/>
      <c r="AP50" s="480"/>
      <c r="AQ50" s="480"/>
      <c r="AR50" s="480"/>
      <c r="AS50" s="480"/>
      <c r="AT50" s="480"/>
      <c r="AU50" s="480"/>
      <c r="AV50" s="480"/>
      <c r="AW50" s="480"/>
      <c r="AX50" s="480"/>
      <c r="AY50" s="480"/>
      <c r="AZ50" s="480"/>
      <c r="BA50" s="480"/>
      <c r="BB50" s="480"/>
      <c r="BC50" s="480"/>
      <c r="BD50" s="480"/>
      <c r="BE50" s="480"/>
      <c r="BF50" s="480"/>
      <c r="BG50" s="480"/>
      <c r="BH50" s="480"/>
      <c r="BI50" s="480"/>
      <c r="BJ50" s="480"/>
      <c r="BK50" s="480"/>
      <c r="BL50" s="480"/>
      <c r="BM50" s="480"/>
      <c r="BN50" s="480"/>
      <c r="BO50" s="480"/>
      <c r="BP50" s="480"/>
      <c r="BQ50" s="480"/>
      <c r="BR50" s="480"/>
      <c r="BS50" s="480"/>
      <c r="BT50" s="480"/>
      <c r="BU50" s="480"/>
      <c r="BV50" s="480"/>
      <c r="BW50" s="480"/>
      <c r="BX50" s="480"/>
      <c r="BY50" s="480"/>
      <c r="BZ50" s="480"/>
      <c r="CA50" s="480"/>
      <c r="CB50" s="480"/>
      <c r="CC50" s="480"/>
      <c r="CD50" s="480"/>
      <c r="CE50" s="480"/>
      <c r="CF50" s="480"/>
      <c r="CG50" s="480"/>
      <c r="CH50" s="480"/>
      <c r="CI50" s="480"/>
      <c r="CJ50" s="480"/>
      <c r="CK50" s="482"/>
      <c r="CL50" s="480"/>
      <c r="CM50" s="480"/>
      <c r="CN50" s="480"/>
      <c r="CO50" s="480"/>
      <c r="CP50" s="480"/>
      <c r="CQ50" s="480"/>
      <c r="CR50" s="480"/>
      <c r="CS50" s="480"/>
      <c r="CT50" s="480"/>
      <c r="CU50" s="480"/>
      <c r="CV50" s="480"/>
      <c r="CW50" s="480"/>
      <c r="CX50" s="480"/>
      <c r="CY50" s="482"/>
      <c r="CZ50" s="480"/>
      <c r="DA50" s="480"/>
      <c r="DB50" s="480"/>
      <c r="DC50" s="480"/>
      <c r="DD50" s="480"/>
      <c r="DE50" s="480"/>
      <c r="DF50" s="480"/>
      <c r="DG50" s="480"/>
      <c r="DH50" s="480"/>
      <c r="DI50" s="480"/>
      <c r="DJ50" s="480"/>
      <c r="DK50" s="480"/>
      <c r="DL50" s="482"/>
      <c r="DM50" s="480"/>
      <c r="DN50" s="480"/>
      <c r="DO50" s="480"/>
      <c r="DP50" s="480"/>
      <c r="DQ50" s="480"/>
      <c r="DR50" s="480"/>
      <c r="DS50" s="480"/>
      <c r="DT50" s="480"/>
      <c r="DU50" s="480"/>
      <c r="DV50" s="480"/>
      <c r="DW50" s="480"/>
      <c r="DX50" s="480"/>
      <c r="DY50" s="482"/>
      <c r="DZ50" s="480"/>
      <c r="EA50" s="480"/>
      <c r="EB50" s="480"/>
      <c r="EC50" s="480"/>
      <c r="ED50" s="480"/>
      <c r="EE50" s="480"/>
      <c r="EF50" s="480"/>
      <c r="EG50" s="480"/>
      <c r="EH50" s="480"/>
      <c r="EI50" s="480"/>
      <c r="EJ50" s="480"/>
      <c r="EK50" s="480"/>
    </row>
    <row r="51" spans="1:141" s="481" customFormat="1">
      <c r="A51" s="480"/>
      <c r="B51" s="480"/>
      <c r="C51" s="480"/>
      <c r="D51" s="480"/>
      <c r="E51" s="480"/>
      <c r="F51" s="480"/>
      <c r="G51" s="480"/>
      <c r="H51" s="480"/>
      <c r="I51" s="480"/>
      <c r="J51" s="480"/>
      <c r="K51" s="480"/>
      <c r="L51" s="480"/>
      <c r="M51" s="480"/>
      <c r="N51" s="480"/>
      <c r="O51" s="480"/>
      <c r="P51" s="480"/>
      <c r="Q51" s="480"/>
      <c r="R51" s="480"/>
      <c r="S51" s="480"/>
      <c r="T51" s="480"/>
      <c r="U51" s="480"/>
      <c r="V51" s="480"/>
      <c r="W51" s="480"/>
      <c r="X51" s="480"/>
      <c r="Y51" s="480"/>
      <c r="Z51" s="480"/>
      <c r="AA51" s="480"/>
      <c r="AD51" s="480"/>
      <c r="AE51" s="480"/>
      <c r="AF51" s="480"/>
      <c r="AG51" s="480"/>
      <c r="AH51" s="480"/>
      <c r="AI51" s="480"/>
      <c r="AJ51" s="480"/>
      <c r="AK51" s="480"/>
      <c r="AL51" s="480"/>
      <c r="AM51" s="480"/>
      <c r="AN51" s="480"/>
      <c r="AO51" s="480"/>
      <c r="AP51" s="480"/>
      <c r="AQ51" s="480"/>
      <c r="AR51" s="480"/>
      <c r="AS51" s="480"/>
      <c r="AT51" s="480"/>
      <c r="AU51" s="480"/>
      <c r="AV51" s="480"/>
      <c r="AW51" s="480"/>
      <c r="AX51" s="480"/>
      <c r="AY51" s="480"/>
      <c r="AZ51" s="480"/>
      <c r="BA51" s="480"/>
      <c r="BB51" s="480"/>
      <c r="BC51" s="480"/>
      <c r="BD51" s="480"/>
      <c r="BE51" s="480"/>
      <c r="BF51" s="480"/>
      <c r="BG51" s="480"/>
      <c r="BH51" s="480"/>
      <c r="BI51" s="480"/>
      <c r="BJ51" s="480"/>
      <c r="BK51" s="480"/>
      <c r="BL51" s="480"/>
      <c r="BM51" s="480"/>
      <c r="BN51" s="480"/>
      <c r="BO51" s="480"/>
      <c r="BP51" s="480"/>
      <c r="BQ51" s="480"/>
      <c r="BR51" s="480"/>
      <c r="BS51" s="480"/>
      <c r="BT51" s="480"/>
      <c r="BU51" s="480"/>
      <c r="BV51" s="480"/>
      <c r="BW51" s="480"/>
      <c r="BX51" s="480"/>
      <c r="BY51" s="480"/>
      <c r="BZ51" s="480"/>
      <c r="CA51" s="480"/>
      <c r="CB51" s="480"/>
      <c r="CC51" s="480"/>
      <c r="CD51" s="480"/>
      <c r="CE51" s="480"/>
      <c r="CF51" s="480"/>
      <c r="CG51" s="480"/>
      <c r="CH51" s="480"/>
      <c r="CI51" s="480"/>
      <c r="CJ51" s="480"/>
      <c r="CK51" s="482"/>
      <c r="CL51" s="480"/>
      <c r="CM51" s="480"/>
      <c r="CN51" s="480"/>
      <c r="CO51" s="480"/>
      <c r="CP51" s="480"/>
      <c r="CQ51" s="480"/>
      <c r="CR51" s="480"/>
      <c r="CS51" s="480"/>
      <c r="CT51" s="480"/>
      <c r="CU51" s="480"/>
      <c r="CV51" s="480"/>
      <c r="CW51" s="480"/>
      <c r="CX51" s="480"/>
      <c r="CY51" s="482"/>
      <c r="CZ51" s="480"/>
      <c r="DA51" s="480"/>
      <c r="DB51" s="480"/>
      <c r="DC51" s="480"/>
      <c r="DD51" s="480"/>
      <c r="DE51" s="480"/>
      <c r="DF51" s="480"/>
      <c r="DG51" s="480"/>
      <c r="DH51" s="480"/>
      <c r="DI51" s="480"/>
      <c r="DJ51" s="480"/>
      <c r="DK51" s="480"/>
      <c r="DL51" s="482"/>
      <c r="DM51" s="480"/>
      <c r="DN51" s="480"/>
      <c r="DO51" s="480"/>
      <c r="DP51" s="480"/>
      <c r="DQ51" s="480"/>
      <c r="DR51" s="480"/>
      <c r="DS51" s="480"/>
      <c r="DT51" s="480"/>
      <c r="DU51" s="480"/>
      <c r="DV51" s="480"/>
      <c r="DW51" s="480"/>
      <c r="DX51" s="480"/>
      <c r="DY51" s="482"/>
      <c r="DZ51" s="480"/>
      <c r="EA51" s="480"/>
      <c r="EB51" s="480"/>
      <c r="EC51" s="480"/>
      <c r="ED51" s="480"/>
      <c r="EE51" s="480"/>
      <c r="EF51" s="480"/>
      <c r="EG51" s="480"/>
      <c r="EH51" s="480"/>
      <c r="EI51" s="480"/>
      <c r="EJ51" s="480"/>
      <c r="EK51" s="480"/>
    </row>
    <row r="52" spans="1:141" s="481" customFormat="1">
      <c r="A52" s="480"/>
      <c r="B52" s="480"/>
      <c r="C52" s="480"/>
      <c r="D52" s="480"/>
      <c r="E52" s="480"/>
      <c r="F52" s="480"/>
      <c r="G52" s="480"/>
      <c r="H52" s="480"/>
      <c r="I52" s="480"/>
      <c r="J52" s="480"/>
      <c r="K52" s="480"/>
      <c r="L52" s="480"/>
      <c r="M52" s="480"/>
      <c r="N52" s="480"/>
      <c r="O52" s="480"/>
      <c r="P52" s="480"/>
      <c r="Q52" s="480"/>
      <c r="R52" s="480"/>
      <c r="S52" s="480"/>
      <c r="T52" s="480"/>
      <c r="U52" s="480"/>
      <c r="V52" s="480"/>
      <c r="W52" s="480"/>
      <c r="X52" s="480"/>
      <c r="Y52" s="480"/>
      <c r="Z52" s="480"/>
      <c r="AA52" s="480"/>
      <c r="AD52" s="480"/>
      <c r="AE52" s="480"/>
      <c r="AF52" s="480"/>
      <c r="AG52" s="480"/>
      <c r="AH52" s="480"/>
      <c r="AI52" s="480"/>
      <c r="AJ52" s="480"/>
      <c r="AK52" s="480"/>
      <c r="AL52" s="480"/>
      <c r="AM52" s="480"/>
      <c r="AN52" s="480"/>
      <c r="AO52" s="480"/>
      <c r="AP52" s="480"/>
      <c r="AQ52" s="480"/>
      <c r="AR52" s="480"/>
      <c r="AS52" s="480"/>
      <c r="AT52" s="480"/>
      <c r="AU52" s="480"/>
      <c r="AV52" s="480"/>
      <c r="AW52" s="480"/>
      <c r="AX52" s="480"/>
      <c r="AY52" s="480"/>
      <c r="AZ52" s="480"/>
      <c r="BA52" s="480"/>
      <c r="BB52" s="480"/>
      <c r="BC52" s="480"/>
      <c r="BD52" s="480"/>
      <c r="BE52" s="480"/>
      <c r="BF52" s="480"/>
      <c r="BG52" s="480"/>
      <c r="BH52" s="480"/>
      <c r="BI52" s="480"/>
      <c r="BJ52" s="480"/>
      <c r="BK52" s="480"/>
      <c r="BL52" s="480"/>
      <c r="BM52" s="480"/>
      <c r="BN52" s="480"/>
      <c r="BO52" s="480"/>
      <c r="BP52" s="480"/>
      <c r="BQ52" s="480"/>
      <c r="BR52" s="480"/>
      <c r="BS52" s="480"/>
      <c r="BT52" s="480"/>
      <c r="BU52" s="480"/>
      <c r="BV52" s="480"/>
      <c r="BW52" s="480"/>
      <c r="BX52" s="480"/>
      <c r="BY52" s="480"/>
      <c r="BZ52" s="480"/>
      <c r="CA52" s="480"/>
      <c r="CB52" s="480"/>
      <c r="CC52" s="480"/>
      <c r="CD52" s="480"/>
      <c r="CE52" s="480"/>
      <c r="CF52" s="480"/>
      <c r="CG52" s="480"/>
      <c r="CH52" s="480"/>
      <c r="CI52" s="480"/>
      <c r="CJ52" s="480"/>
      <c r="CK52" s="482"/>
      <c r="CL52" s="480"/>
      <c r="CM52" s="480"/>
      <c r="CN52" s="480"/>
      <c r="CO52" s="480"/>
      <c r="CP52" s="480"/>
      <c r="CQ52" s="480"/>
      <c r="CR52" s="480"/>
      <c r="CS52" s="480"/>
      <c r="CT52" s="480"/>
      <c r="CU52" s="480"/>
      <c r="CV52" s="480"/>
      <c r="CW52" s="480"/>
      <c r="CX52" s="480"/>
      <c r="CY52" s="482"/>
      <c r="CZ52" s="480"/>
      <c r="DA52" s="480"/>
      <c r="DB52" s="480"/>
      <c r="DC52" s="480"/>
      <c r="DD52" s="480"/>
      <c r="DE52" s="480"/>
      <c r="DF52" s="480"/>
      <c r="DG52" s="480"/>
      <c r="DH52" s="480"/>
      <c r="DI52" s="480"/>
      <c r="DJ52" s="480"/>
      <c r="DK52" s="480"/>
      <c r="DL52" s="482"/>
      <c r="DM52" s="480"/>
      <c r="DN52" s="480"/>
      <c r="DO52" s="480"/>
      <c r="DP52" s="480"/>
      <c r="DQ52" s="480"/>
      <c r="DR52" s="480"/>
      <c r="DS52" s="480"/>
      <c r="DT52" s="480"/>
      <c r="DU52" s="480"/>
      <c r="DV52" s="480"/>
      <c r="DW52" s="480"/>
      <c r="DX52" s="480"/>
      <c r="DY52" s="482"/>
      <c r="DZ52" s="480"/>
      <c r="EA52" s="480"/>
      <c r="EB52" s="480"/>
      <c r="EC52" s="480"/>
      <c r="ED52" s="480"/>
      <c r="EE52" s="480"/>
      <c r="EF52" s="480"/>
      <c r="EG52" s="480"/>
      <c r="EH52" s="480"/>
      <c r="EI52" s="480"/>
      <c r="EJ52" s="480"/>
      <c r="EK52" s="480"/>
    </row>
    <row r="53" spans="1:141" s="481" customFormat="1">
      <c r="A53" s="480"/>
      <c r="B53" s="480"/>
      <c r="C53" s="480"/>
      <c r="D53" s="480"/>
      <c r="E53" s="480"/>
      <c r="F53" s="480"/>
      <c r="G53" s="480"/>
      <c r="H53" s="480"/>
      <c r="I53" s="480"/>
      <c r="J53" s="480"/>
      <c r="K53" s="480"/>
      <c r="L53" s="480"/>
      <c r="M53" s="480"/>
      <c r="N53" s="480"/>
      <c r="O53" s="480"/>
      <c r="P53" s="480"/>
      <c r="Q53" s="480"/>
      <c r="R53" s="480"/>
      <c r="S53" s="480"/>
      <c r="T53" s="480"/>
      <c r="U53" s="480"/>
      <c r="V53" s="480"/>
      <c r="W53" s="480"/>
      <c r="X53" s="480"/>
      <c r="Y53" s="480"/>
      <c r="Z53" s="480"/>
      <c r="AA53" s="480"/>
      <c r="AD53" s="480"/>
      <c r="AE53" s="480"/>
      <c r="AF53" s="480"/>
      <c r="AG53" s="480"/>
      <c r="AH53" s="480"/>
      <c r="AI53" s="480"/>
      <c r="AJ53" s="480"/>
      <c r="AK53" s="480"/>
      <c r="AL53" s="480"/>
      <c r="AM53" s="480"/>
      <c r="AN53" s="480"/>
      <c r="AO53" s="480"/>
      <c r="AP53" s="480"/>
      <c r="AQ53" s="480"/>
      <c r="AR53" s="480"/>
      <c r="AS53" s="480"/>
      <c r="AT53" s="480"/>
      <c r="AU53" s="480"/>
      <c r="AV53" s="480"/>
      <c r="AW53" s="480"/>
      <c r="AX53" s="480"/>
      <c r="AY53" s="480"/>
      <c r="AZ53" s="480"/>
      <c r="BA53" s="480"/>
      <c r="BB53" s="480"/>
      <c r="BC53" s="480"/>
      <c r="BD53" s="480"/>
      <c r="BE53" s="480"/>
      <c r="BF53" s="480"/>
      <c r="BG53" s="480"/>
      <c r="BH53" s="480"/>
      <c r="BI53" s="480"/>
      <c r="BJ53" s="480"/>
      <c r="BK53" s="480"/>
      <c r="BL53" s="480"/>
      <c r="BM53" s="480"/>
      <c r="BN53" s="480"/>
      <c r="BO53" s="480"/>
      <c r="BP53" s="480"/>
      <c r="BQ53" s="480"/>
      <c r="BR53" s="480"/>
      <c r="BS53" s="480"/>
      <c r="BT53" s="480"/>
      <c r="BU53" s="480"/>
      <c r="BV53" s="480"/>
      <c r="BW53" s="480"/>
      <c r="BX53" s="480"/>
      <c r="BY53" s="480"/>
      <c r="BZ53" s="480"/>
      <c r="CA53" s="480"/>
      <c r="CB53" s="480"/>
      <c r="CC53" s="480"/>
      <c r="CD53" s="480"/>
      <c r="CE53" s="480"/>
      <c r="CF53" s="480"/>
      <c r="CG53" s="480"/>
      <c r="CH53" s="480"/>
      <c r="CI53" s="480"/>
      <c r="CJ53" s="480"/>
      <c r="CK53" s="482"/>
      <c r="CL53" s="480"/>
      <c r="CM53" s="480"/>
      <c r="CN53" s="480"/>
      <c r="CO53" s="480"/>
      <c r="CP53" s="480"/>
      <c r="CQ53" s="480"/>
      <c r="CR53" s="480"/>
      <c r="CS53" s="480"/>
      <c r="CT53" s="480"/>
      <c r="CU53" s="480"/>
      <c r="CV53" s="480"/>
      <c r="CW53" s="480"/>
      <c r="CX53" s="480"/>
      <c r="CY53" s="482"/>
      <c r="CZ53" s="480"/>
      <c r="DA53" s="480"/>
      <c r="DB53" s="480"/>
      <c r="DC53" s="480"/>
      <c r="DD53" s="480"/>
      <c r="DE53" s="480"/>
      <c r="DF53" s="480"/>
      <c r="DG53" s="480"/>
      <c r="DH53" s="480"/>
      <c r="DI53" s="480"/>
      <c r="DJ53" s="480"/>
      <c r="DK53" s="480"/>
      <c r="DL53" s="482"/>
      <c r="DM53" s="480"/>
      <c r="DN53" s="480"/>
      <c r="DO53" s="480"/>
      <c r="DP53" s="480"/>
      <c r="DQ53" s="480"/>
      <c r="DR53" s="480"/>
      <c r="DS53" s="480"/>
      <c r="DT53" s="480"/>
      <c r="DU53" s="480"/>
      <c r="DV53" s="480"/>
      <c r="DW53" s="480"/>
      <c r="DX53" s="480"/>
      <c r="DY53" s="482"/>
      <c r="DZ53" s="480"/>
      <c r="EA53" s="480"/>
      <c r="EB53" s="480"/>
      <c r="EC53" s="480"/>
      <c r="ED53" s="480"/>
      <c r="EE53" s="480"/>
      <c r="EF53" s="480"/>
      <c r="EG53" s="480"/>
      <c r="EH53" s="480"/>
      <c r="EI53" s="480"/>
      <c r="EJ53" s="480"/>
      <c r="EK53" s="480"/>
    </row>
    <row r="54" spans="1:141" s="481" customFormat="1">
      <c r="A54" s="480"/>
      <c r="B54" s="480"/>
      <c r="C54" s="480"/>
      <c r="D54" s="480"/>
      <c r="E54" s="480"/>
      <c r="F54" s="480"/>
      <c r="G54" s="480"/>
      <c r="H54" s="480"/>
      <c r="I54" s="480"/>
      <c r="J54" s="480"/>
      <c r="K54" s="480"/>
      <c r="L54" s="480"/>
      <c r="M54" s="480"/>
      <c r="N54" s="480"/>
      <c r="O54" s="480"/>
      <c r="P54" s="480"/>
      <c r="Q54" s="480"/>
      <c r="R54" s="480"/>
      <c r="S54" s="480"/>
      <c r="T54" s="480"/>
      <c r="U54" s="480"/>
      <c r="V54" s="480"/>
      <c r="W54" s="480"/>
      <c r="X54" s="480"/>
      <c r="Y54" s="480"/>
      <c r="Z54" s="480"/>
      <c r="AA54" s="480"/>
      <c r="AD54" s="480"/>
      <c r="AE54" s="480"/>
      <c r="AF54" s="480"/>
      <c r="AG54" s="480"/>
      <c r="AH54" s="480"/>
      <c r="AI54" s="480"/>
      <c r="AJ54" s="480"/>
      <c r="AK54" s="480"/>
      <c r="AL54" s="480"/>
      <c r="AM54" s="480"/>
      <c r="AN54" s="480"/>
      <c r="AO54" s="480"/>
      <c r="AP54" s="480"/>
      <c r="AQ54" s="480"/>
      <c r="AR54" s="480"/>
      <c r="AS54" s="480"/>
      <c r="AT54" s="480"/>
      <c r="AU54" s="480"/>
      <c r="AV54" s="480"/>
      <c r="AW54" s="480"/>
      <c r="AX54" s="480"/>
      <c r="AY54" s="480"/>
      <c r="AZ54" s="480"/>
      <c r="BA54" s="480"/>
      <c r="BB54" s="480"/>
      <c r="BC54" s="480"/>
      <c r="BD54" s="480"/>
      <c r="BE54" s="480"/>
      <c r="BF54" s="480"/>
      <c r="BG54" s="480"/>
      <c r="BH54" s="480"/>
      <c r="BI54" s="480"/>
      <c r="BJ54" s="480"/>
      <c r="BK54" s="480"/>
      <c r="BL54" s="480"/>
      <c r="BM54" s="480"/>
      <c r="BN54" s="480"/>
      <c r="BO54" s="480"/>
      <c r="BP54" s="480"/>
      <c r="BQ54" s="480"/>
      <c r="BR54" s="480"/>
      <c r="BS54" s="480"/>
      <c r="BT54" s="480"/>
      <c r="BU54" s="480"/>
      <c r="BV54" s="480"/>
      <c r="BW54" s="480"/>
      <c r="BX54" s="480"/>
      <c r="BY54" s="480"/>
      <c r="BZ54" s="480"/>
      <c r="CA54" s="480"/>
      <c r="CB54" s="480"/>
      <c r="CC54" s="480"/>
      <c r="CD54" s="480"/>
      <c r="CE54" s="480"/>
      <c r="CF54" s="480"/>
      <c r="CG54" s="480"/>
      <c r="CH54" s="480"/>
      <c r="CI54" s="480"/>
      <c r="CJ54" s="480"/>
      <c r="CK54" s="482"/>
      <c r="CL54" s="480"/>
      <c r="CM54" s="480"/>
      <c r="CN54" s="480"/>
      <c r="CO54" s="480"/>
      <c r="CP54" s="480"/>
      <c r="CQ54" s="480"/>
      <c r="CR54" s="480"/>
      <c r="CS54" s="480"/>
      <c r="CT54" s="480"/>
      <c r="CU54" s="480"/>
      <c r="CV54" s="480"/>
      <c r="CW54" s="480"/>
      <c r="CX54" s="480"/>
      <c r="CY54" s="482"/>
      <c r="CZ54" s="480"/>
      <c r="DA54" s="480"/>
      <c r="DB54" s="480"/>
      <c r="DC54" s="480"/>
      <c r="DD54" s="480"/>
      <c r="DE54" s="480"/>
      <c r="DF54" s="480"/>
      <c r="DG54" s="480"/>
      <c r="DH54" s="480"/>
      <c r="DI54" s="480"/>
      <c r="DJ54" s="480"/>
      <c r="DK54" s="480"/>
      <c r="DL54" s="482"/>
      <c r="DM54" s="480"/>
      <c r="DN54" s="480"/>
      <c r="DO54" s="480"/>
      <c r="DP54" s="480"/>
      <c r="DQ54" s="480"/>
      <c r="DR54" s="480"/>
      <c r="DS54" s="480"/>
      <c r="DT54" s="480"/>
      <c r="DU54" s="480"/>
      <c r="DV54" s="480"/>
      <c r="DW54" s="480"/>
      <c r="DX54" s="480"/>
      <c r="DY54" s="482"/>
      <c r="DZ54" s="480"/>
      <c r="EA54" s="480"/>
      <c r="EB54" s="480"/>
      <c r="EC54" s="480"/>
      <c r="ED54" s="480"/>
      <c r="EE54" s="480"/>
      <c r="EF54" s="480"/>
      <c r="EG54" s="480"/>
      <c r="EH54" s="480"/>
      <c r="EI54" s="480"/>
      <c r="EJ54" s="480"/>
      <c r="EK54" s="480"/>
    </row>
    <row r="55" spans="1:141" s="481" customFormat="1">
      <c r="A55" s="480"/>
      <c r="B55" s="480"/>
      <c r="C55" s="480"/>
      <c r="D55" s="480"/>
      <c r="E55" s="480"/>
      <c r="F55" s="480"/>
      <c r="G55" s="480"/>
      <c r="H55" s="480"/>
      <c r="I55" s="480"/>
      <c r="J55" s="480"/>
      <c r="K55" s="480"/>
      <c r="L55" s="480"/>
      <c r="M55" s="480"/>
      <c r="N55" s="480"/>
      <c r="O55" s="480"/>
      <c r="P55" s="480"/>
      <c r="Q55" s="480"/>
      <c r="R55" s="480"/>
      <c r="S55" s="480"/>
      <c r="T55" s="480"/>
      <c r="U55" s="480"/>
      <c r="V55" s="480"/>
      <c r="W55" s="480"/>
      <c r="X55" s="480"/>
      <c r="Y55" s="480"/>
      <c r="Z55" s="480"/>
      <c r="AA55" s="480"/>
      <c r="AD55" s="480"/>
      <c r="AE55" s="480"/>
      <c r="AF55" s="480"/>
      <c r="AG55" s="480"/>
      <c r="AH55" s="480"/>
      <c r="AI55" s="480"/>
      <c r="AJ55" s="480"/>
      <c r="AK55" s="480"/>
      <c r="AL55" s="480"/>
      <c r="AM55" s="480"/>
      <c r="AN55" s="480"/>
      <c r="AO55" s="480"/>
      <c r="AP55" s="480"/>
      <c r="AQ55" s="480"/>
      <c r="AR55" s="480"/>
      <c r="AS55" s="480"/>
      <c r="AT55" s="480"/>
      <c r="AU55" s="480"/>
      <c r="AV55" s="480"/>
      <c r="AW55" s="480"/>
      <c r="AX55" s="480"/>
      <c r="AY55" s="480"/>
      <c r="AZ55" s="480"/>
      <c r="BA55" s="480"/>
      <c r="BB55" s="480"/>
      <c r="BC55" s="480"/>
      <c r="BD55" s="480"/>
      <c r="BE55" s="480"/>
      <c r="BF55" s="480"/>
      <c r="BG55" s="480"/>
      <c r="BH55" s="480"/>
      <c r="BI55" s="480"/>
      <c r="BJ55" s="480"/>
      <c r="BK55" s="480"/>
      <c r="BL55" s="480"/>
      <c r="BM55" s="480"/>
      <c r="BN55" s="480"/>
      <c r="BO55" s="480"/>
      <c r="BP55" s="480"/>
      <c r="BQ55" s="480"/>
      <c r="BR55" s="480"/>
      <c r="BS55" s="480"/>
      <c r="BT55" s="480"/>
      <c r="BU55" s="480"/>
      <c r="BV55" s="480"/>
      <c r="BW55" s="480"/>
      <c r="BX55" s="480"/>
      <c r="BY55" s="480"/>
      <c r="BZ55" s="480"/>
      <c r="CA55" s="480"/>
      <c r="CB55" s="480"/>
      <c r="CC55" s="480"/>
      <c r="CD55" s="480"/>
      <c r="CE55" s="480"/>
      <c r="CF55" s="480"/>
      <c r="CG55" s="480"/>
      <c r="CH55" s="480"/>
      <c r="CI55" s="480"/>
      <c r="CJ55" s="480"/>
      <c r="CK55" s="482"/>
      <c r="CL55" s="480"/>
      <c r="CM55" s="480"/>
      <c r="CN55" s="480"/>
      <c r="CO55" s="480"/>
      <c r="CP55" s="480"/>
      <c r="CQ55" s="480"/>
      <c r="CR55" s="480"/>
      <c r="CS55" s="480"/>
      <c r="CT55" s="480"/>
      <c r="CU55" s="480"/>
      <c r="CV55" s="480"/>
      <c r="CW55" s="480"/>
      <c r="CX55" s="480"/>
      <c r="CY55" s="482"/>
      <c r="CZ55" s="480"/>
      <c r="DA55" s="480"/>
      <c r="DB55" s="480"/>
      <c r="DC55" s="480"/>
      <c r="DD55" s="480"/>
      <c r="DE55" s="480"/>
      <c r="DF55" s="480"/>
      <c r="DG55" s="480"/>
      <c r="DH55" s="480"/>
      <c r="DI55" s="480"/>
      <c r="DJ55" s="480"/>
      <c r="DK55" s="480"/>
      <c r="DL55" s="482"/>
      <c r="DM55" s="480"/>
      <c r="DN55" s="480"/>
      <c r="DO55" s="480"/>
      <c r="DP55" s="480"/>
      <c r="DQ55" s="480"/>
      <c r="DR55" s="480"/>
      <c r="DS55" s="480"/>
      <c r="DT55" s="480"/>
      <c r="DU55" s="480"/>
      <c r="DV55" s="480"/>
      <c r="DW55" s="480"/>
      <c r="DX55" s="480"/>
      <c r="DY55" s="482"/>
      <c r="DZ55" s="480"/>
      <c r="EA55" s="480"/>
      <c r="EB55" s="480"/>
      <c r="EC55" s="480"/>
      <c r="ED55" s="480"/>
      <c r="EE55" s="480"/>
      <c r="EF55" s="480"/>
      <c r="EG55" s="480"/>
      <c r="EH55" s="480"/>
      <c r="EI55" s="480"/>
      <c r="EJ55" s="480"/>
      <c r="EK55" s="480"/>
    </row>
    <row r="56" spans="1:141" s="481" customFormat="1">
      <c r="A56" s="480"/>
      <c r="B56" s="480"/>
      <c r="C56" s="480"/>
      <c r="D56" s="480"/>
      <c r="E56" s="480"/>
      <c r="F56" s="480"/>
      <c r="G56" s="480"/>
      <c r="H56" s="480"/>
      <c r="I56" s="480"/>
      <c r="J56" s="480"/>
      <c r="K56" s="480"/>
      <c r="L56" s="480"/>
      <c r="M56" s="480"/>
      <c r="N56" s="480"/>
      <c r="O56" s="480"/>
      <c r="P56" s="480"/>
      <c r="Q56" s="480"/>
      <c r="R56" s="480"/>
      <c r="S56" s="480"/>
      <c r="T56" s="480"/>
      <c r="U56" s="480"/>
      <c r="V56" s="480"/>
      <c r="W56" s="480"/>
      <c r="X56" s="480"/>
      <c r="Y56" s="480"/>
      <c r="Z56" s="480"/>
      <c r="AA56" s="480"/>
      <c r="AD56" s="480"/>
      <c r="AE56" s="480"/>
      <c r="AF56" s="480"/>
      <c r="AG56" s="480"/>
      <c r="AH56" s="480"/>
      <c r="AI56" s="480"/>
      <c r="AJ56" s="480"/>
      <c r="AK56" s="480"/>
      <c r="AL56" s="480"/>
      <c r="AM56" s="480"/>
      <c r="AN56" s="480"/>
      <c r="AO56" s="480"/>
      <c r="AP56" s="480"/>
      <c r="AQ56" s="480"/>
      <c r="AR56" s="480"/>
      <c r="AS56" s="480"/>
      <c r="AT56" s="480"/>
      <c r="AU56" s="480"/>
      <c r="AV56" s="480"/>
      <c r="AW56" s="480"/>
      <c r="AX56" s="480"/>
      <c r="AY56" s="480"/>
      <c r="AZ56" s="480"/>
      <c r="BA56" s="480"/>
      <c r="BB56" s="480"/>
      <c r="BC56" s="480"/>
      <c r="BD56" s="480"/>
      <c r="BE56" s="480"/>
      <c r="BF56" s="480"/>
      <c r="BG56" s="480"/>
      <c r="BH56" s="480"/>
      <c r="BI56" s="480"/>
      <c r="BJ56" s="480"/>
      <c r="BK56" s="480"/>
      <c r="BL56" s="480"/>
      <c r="BM56" s="480"/>
      <c r="BN56" s="480"/>
      <c r="BO56" s="480"/>
      <c r="BP56" s="480"/>
      <c r="BQ56" s="480"/>
      <c r="BR56" s="480"/>
      <c r="BS56" s="480"/>
      <c r="BT56" s="480"/>
      <c r="BU56" s="480"/>
      <c r="BV56" s="480"/>
      <c r="BW56" s="480"/>
      <c r="BX56" s="480"/>
      <c r="BY56" s="480"/>
      <c r="BZ56" s="480"/>
      <c r="CA56" s="480"/>
      <c r="CB56" s="480"/>
      <c r="CC56" s="480"/>
      <c r="CD56" s="480"/>
      <c r="CE56" s="480"/>
      <c r="CF56" s="480"/>
      <c r="CG56" s="480"/>
      <c r="CH56" s="480"/>
      <c r="CI56" s="480"/>
      <c r="CJ56" s="480"/>
      <c r="CK56" s="482"/>
      <c r="CL56" s="480"/>
      <c r="CM56" s="480"/>
      <c r="CN56" s="480"/>
      <c r="CO56" s="480"/>
      <c r="CP56" s="480"/>
      <c r="CQ56" s="480"/>
      <c r="CR56" s="480"/>
      <c r="CS56" s="480"/>
      <c r="CT56" s="480"/>
      <c r="CU56" s="480"/>
      <c r="CV56" s="480"/>
      <c r="CW56" s="480"/>
      <c r="CX56" s="480"/>
      <c r="CY56" s="482"/>
      <c r="CZ56" s="480"/>
      <c r="DA56" s="480"/>
      <c r="DB56" s="480"/>
      <c r="DC56" s="480"/>
      <c r="DD56" s="480"/>
      <c r="DE56" s="480"/>
      <c r="DF56" s="480"/>
      <c r="DG56" s="480"/>
      <c r="DH56" s="480"/>
      <c r="DI56" s="480"/>
      <c r="DJ56" s="480"/>
      <c r="DK56" s="480"/>
      <c r="DL56" s="482"/>
      <c r="DM56" s="480"/>
      <c r="DN56" s="480"/>
      <c r="DO56" s="480"/>
      <c r="DP56" s="480"/>
      <c r="DQ56" s="480"/>
      <c r="DR56" s="480"/>
      <c r="DS56" s="480"/>
      <c r="DT56" s="480"/>
      <c r="DU56" s="480"/>
      <c r="DV56" s="480"/>
      <c r="DW56" s="480"/>
      <c r="DX56" s="480"/>
      <c r="DY56" s="482"/>
      <c r="DZ56" s="480"/>
      <c r="EA56" s="480"/>
      <c r="EB56" s="480"/>
      <c r="EC56" s="480"/>
      <c r="ED56" s="480"/>
      <c r="EE56" s="480"/>
      <c r="EF56" s="480"/>
      <c r="EG56" s="480"/>
      <c r="EH56" s="480"/>
      <c r="EI56" s="480"/>
      <c r="EJ56" s="480"/>
      <c r="EK56" s="480"/>
    </row>
    <row r="57" spans="1:141" s="481" customFormat="1">
      <c r="A57" s="480"/>
      <c r="B57" s="480"/>
      <c r="C57" s="480"/>
      <c r="D57" s="480"/>
      <c r="E57" s="480"/>
      <c r="F57" s="480"/>
      <c r="G57" s="480"/>
      <c r="H57" s="480"/>
      <c r="I57" s="480"/>
      <c r="J57" s="480"/>
      <c r="K57" s="480"/>
      <c r="L57" s="480"/>
      <c r="M57" s="480"/>
      <c r="N57" s="480"/>
      <c r="O57" s="480"/>
      <c r="P57" s="480"/>
      <c r="Q57" s="480"/>
      <c r="R57" s="480"/>
      <c r="S57" s="480"/>
      <c r="T57" s="480"/>
      <c r="U57" s="480"/>
      <c r="V57" s="480"/>
      <c r="W57" s="480"/>
      <c r="X57" s="480"/>
      <c r="Y57" s="480"/>
      <c r="Z57" s="480"/>
      <c r="AA57" s="480"/>
      <c r="AD57" s="480"/>
      <c r="AE57" s="480"/>
      <c r="AF57" s="480"/>
      <c r="AG57" s="480"/>
      <c r="AH57" s="480"/>
      <c r="AI57" s="480"/>
      <c r="AJ57" s="480"/>
      <c r="AK57" s="480"/>
      <c r="AL57" s="480"/>
      <c r="AM57" s="480"/>
      <c r="AN57" s="480"/>
      <c r="AO57" s="480"/>
      <c r="AP57" s="480"/>
      <c r="AQ57" s="480"/>
      <c r="AR57" s="480"/>
      <c r="AS57" s="480"/>
      <c r="AT57" s="480"/>
      <c r="AU57" s="480"/>
      <c r="AV57" s="480"/>
      <c r="AW57" s="480"/>
      <c r="AX57" s="480"/>
      <c r="AY57" s="480"/>
      <c r="AZ57" s="480"/>
      <c r="BA57" s="480"/>
      <c r="BB57" s="480"/>
      <c r="BC57" s="480"/>
      <c r="BD57" s="480"/>
      <c r="BE57" s="480"/>
      <c r="BF57" s="480"/>
      <c r="BG57" s="480"/>
      <c r="BH57" s="480"/>
      <c r="BI57" s="480"/>
      <c r="BJ57" s="480"/>
      <c r="BK57" s="480"/>
      <c r="BL57" s="480"/>
      <c r="BM57" s="480"/>
      <c r="BN57" s="480"/>
      <c r="BO57" s="480"/>
      <c r="BP57" s="480"/>
      <c r="BQ57" s="480"/>
      <c r="BR57" s="480"/>
      <c r="BS57" s="480"/>
      <c r="BT57" s="480"/>
      <c r="BU57" s="480"/>
      <c r="BV57" s="480"/>
      <c r="BW57" s="480"/>
      <c r="BX57" s="480"/>
      <c r="BY57" s="480"/>
      <c r="BZ57" s="480"/>
      <c r="CA57" s="480"/>
      <c r="CB57" s="480"/>
      <c r="CC57" s="480"/>
      <c r="CD57" s="480"/>
      <c r="CE57" s="480"/>
      <c r="CF57" s="480"/>
      <c r="CG57" s="480"/>
      <c r="CH57" s="480"/>
      <c r="CI57" s="480"/>
      <c r="CJ57" s="480"/>
      <c r="CK57" s="482"/>
      <c r="CL57" s="480"/>
      <c r="CM57" s="480"/>
      <c r="CN57" s="480"/>
      <c r="CO57" s="480"/>
      <c r="CP57" s="480"/>
      <c r="CQ57" s="480"/>
      <c r="CR57" s="480"/>
      <c r="CS57" s="480"/>
      <c r="CT57" s="480"/>
      <c r="CU57" s="480"/>
      <c r="CV57" s="480"/>
      <c r="CW57" s="480"/>
      <c r="CX57" s="480"/>
      <c r="CY57" s="482"/>
      <c r="CZ57" s="480"/>
      <c r="DA57" s="480"/>
      <c r="DB57" s="480"/>
      <c r="DC57" s="480"/>
      <c r="DD57" s="480"/>
      <c r="DE57" s="480"/>
      <c r="DF57" s="480"/>
      <c r="DG57" s="480"/>
      <c r="DH57" s="480"/>
      <c r="DI57" s="480"/>
      <c r="DJ57" s="480"/>
      <c r="DK57" s="480"/>
      <c r="DL57" s="482"/>
      <c r="DM57" s="480"/>
      <c r="DN57" s="480"/>
      <c r="DO57" s="480"/>
      <c r="DP57" s="480"/>
      <c r="DQ57" s="480"/>
      <c r="DR57" s="480"/>
      <c r="DS57" s="480"/>
      <c r="DT57" s="480"/>
      <c r="DU57" s="480"/>
      <c r="DV57" s="480"/>
      <c r="DW57" s="480"/>
      <c r="DX57" s="480"/>
      <c r="DY57" s="482"/>
      <c r="DZ57" s="480"/>
      <c r="EA57" s="480"/>
      <c r="EB57" s="480"/>
      <c r="EC57" s="480"/>
      <c r="ED57" s="480"/>
      <c r="EE57" s="480"/>
      <c r="EF57" s="480"/>
      <c r="EG57" s="480"/>
      <c r="EH57" s="480"/>
      <c r="EI57" s="480"/>
      <c r="EJ57" s="480"/>
      <c r="EK57" s="480"/>
    </row>
    <row r="58" spans="1:141" s="481" customFormat="1">
      <c r="A58" s="480"/>
      <c r="B58" s="480"/>
      <c r="C58" s="480"/>
      <c r="D58" s="480"/>
      <c r="E58" s="480"/>
      <c r="F58" s="480"/>
      <c r="G58" s="480"/>
      <c r="H58" s="480"/>
      <c r="I58" s="480"/>
      <c r="J58" s="480"/>
      <c r="K58" s="480"/>
      <c r="L58" s="480"/>
      <c r="M58" s="480"/>
      <c r="N58" s="480"/>
      <c r="O58" s="480"/>
      <c r="P58" s="480"/>
      <c r="Q58" s="480"/>
      <c r="R58" s="480"/>
      <c r="S58" s="480"/>
      <c r="T58" s="480"/>
      <c r="U58" s="480"/>
      <c r="V58" s="480"/>
      <c r="W58" s="480"/>
      <c r="X58" s="480"/>
      <c r="Y58" s="480"/>
      <c r="Z58" s="480"/>
      <c r="AA58" s="480"/>
      <c r="AD58" s="480"/>
      <c r="AE58" s="480"/>
      <c r="AF58" s="480"/>
      <c r="AG58" s="480"/>
      <c r="AH58" s="480"/>
      <c r="AI58" s="480"/>
      <c r="AJ58" s="480"/>
      <c r="AK58" s="480"/>
      <c r="AL58" s="480"/>
      <c r="AM58" s="480"/>
      <c r="AN58" s="480"/>
      <c r="AO58" s="480"/>
      <c r="AP58" s="480"/>
      <c r="AQ58" s="480"/>
      <c r="AR58" s="480"/>
      <c r="AS58" s="480"/>
      <c r="AT58" s="480"/>
      <c r="AU58" s="480"/>
      <c r="AV58" s="480"/>
      <c r="AW58" s="480"/>
      <c r="AX58" s="480"/>
      <c r="AY58" s="480"/>
      <c r="AZ58" s="480"/>
      <c r="BA58" s="480"/>
      <c r="BB58" s="480"/>
      <c r="BC58" s="480"/>
      <c r="BD58" s="480"/>
      <c r="BE58" s="480"/>
      <c r="BF58" s="480"/>
      <c r="BG58" s="480"/>
      <c r="BH58" s="480"/>
      <c r="BI58" s="480"/>
      <c r="BJ58" s="480"/>
      <c r="BK58" s="480"/>
      <c r="BL58" s="480"/>
      <c r="BM58" s="480"/>
      <c r="BN58" s="480"/>
      <c r="BO58" s="480"/>
      <c r="BP58" s="480"/>
      <c r="BQ58" s="480"/>
      <c r="BR58" s="480"/>
      <c r="BS58" s="480"/>
      <c r="BT58" s="480"/>
      <c r="BU58" s="480"/>
      <c r="BV58" s="480"/>
      <c r="BW58" s="480"/>
      <c r="BX58" s="480"/>
      <c r="BY58" s="480"/>
      <c r="BZ58" s="480"/>
      <c r="CA58" s="480"/>
      <c r="CB58" s="480"/>
      <c r="CC58" s="480"/>
      <c r="CD58" s="480"/>
      <c r="CE58" s="480"/>
      <c r="CF58" s="480"/>
      <c r="CG58" s="480"/>
      <c r="CH58" s="480"/>
      <c r="CI58" s="480"/>
      <c r="CJ58" s="480"/>
      <c r="CK58" s="482"/>
      <c r="CL58" s="480"/>
      <c r="CM58" s="480"/>
      <c r="CN58" s="480"/>
      <c r="CO58" s="480"/>
      <c r="CP58" s="480"/>
      <c r="CQ58" s="480"/>
      <c r="CR58" s="480"/>
      <c r="CS58" s="480"/>
      <c r="CT58" s="480"/>
      <c r="CU58" s="480"/>
      <c r="CV58" s="480"/>
      <c r="CW58" s="480"/>
      <c r="CX58" s="480"/>
      <c r="CY58" s="482"/>
      <c r="CZ58" s="480"/>
      <c r="DA58" s="480"/>
      <c r="DB58" s="480"/>
      <c r="DC58" s="480"/>
      <c r="DD58" s="480"/>
      <c r="DE58" s="480"/>
      <c r="DF58" s="480"/>
      <c r="DG58" s="480"/>
      <c r="DH58" s="480"/>
      <c r="DI58" s="480"/>
      <c r="DJ58" s="480"/>
      <c r="DK58" s="480"/>
      <c r="DL58" s="482"/>
      <c r="DM58" s="480"/>
      <c r="DN58" s="480"/>
      <c r="DO58" s="480"/>
      <c r="DP58" s="480"/>
      <c r="DQ58" s="480"/>
      <c r="DR58" s="480"/>
      <c r="DS58" s="480"/>
      <c r="DT58" s="480"/>
      <c r="DU58" s="480"/>
      <c r="DV58" s="480"/>
      <c r="DW58" s="480"/>
      <c r="DX58" s="480"/>
      <c r="DY58" s="482"/>
      <c r="DZ58" s="480"/>
      <c r="EA58" s="480"/>
      <c r="EB58" s="480"/>
      <c r="EC58" s="480"/>
      <c r="ED58" s="480"/>
      <c r="EE58" s="480"/>
      <c r="EF58" s="480"/>
      <c r="EG58" s="480"/>
      <c r="EH58" s="480"/>
      <c r="EI58" s="480"/>
      <c r="EJ58" s="480"/>
      <c r="EK58" s="480"/>
    </row>
    <row r="59" spans="1:141" s="481" customFormat="1">
      <c r="A59" s="480"/>
      <c r="B59" s="480"/>
      <c r="C59" s="480"/>
      <c r="D59" s="480"/>
      <c r="E59" s="480"/>
      <c r="F59" s="480"/>
      <c r="G59" s="480"/>
      <c r="H59" s="480"/>
      <c r="I59" s="480"/>
      <c r="J59" s="480"/>
      <c r="K59" s="480"/>
      <c r="L59" s="480"/>
      <c r="M59" s="480"/>
      <c r="N59" s="480"/>
      <c r="O59" s="480"/>
      <c r="P59" s="480"/>
      <c r="Q59" s="480"/>
      <c r="R59" s="480"/>
      <c r="S59" s="480"/>
      <c r="T59" s="480"/>
      <c r="U59" s="480"/>
      <c r="V59" s="480"/>
      <c r="W59" s="480"/>
      <c r="X59" s="480"/>
      <c r="Y59" s="480"/>
      <c r="Z59" s="480"/>
      <c r="AA59" s="480"/>
      <c r="AD59" s="480"/>
      <c r="AE59" s="480"/>
      <c r="AF59" s="480"/>
      <c r="AG59" s="480"/>
      <c r="AH59" s="480"/>
      <c r="AI59" s="480"/>
      <c r="AJ59" s="480"/>
      <c r="AK59" s="480"/>
      <c r="AL59" s="480"/>
      <c r="AM59" s="480"/>
      <c r="AN59" s="480"/>
      <c r="AO59" s="480"/>
      <c r="AP59" s="480"/>
      <c r="AQ59" s="480"/>
      <c r="AR59" s="480"/>
      <c r="AS59" s="480"/>
      <c r="AT59" s="480"/>
      <c r="AU59" s="480"/>
      <c r="AV59" s="480"/>
      <c r="AW59" s="480"/>
      <c r="AX59" s="480"/>
      <c r="AY59" s="480"/>
      <c r="AZ59" s="480"/>
      <c r="BA59" s="480"/>
      <c r="BB59" s="480"/>
      <c r="BC59" s="480"/>
      <c r="BD59" s="480"/>
      <c r="BE59" s="480"/>
      <c r="BF59" s="480"/>
      <c r="BG59" s="480"/>
      <c r="BH59" s="480"/>
      <c r="BI59" s="480"/>
      <c r="BJ59" s="480"/>
      <c r="BK59" s="480"/>
      <c r="BL59" s="480"/>
      <c r="BM59" s="480"/>
      <c r="BN59" s="480"/>
      <c r="BO59" s="480"/>
      <c r="BP59" s="480"/>
      <c r="BQ59" s="480"/>
      <c r="BR59" s="480"/>
      <c r="BS59" s="480"/>
      <c r="BT59" s="480"/>
      <c r="BU59" s="480"/>
      <c r="BV59" s="480"/>
      <c r="BW59" s="480"/>
      <c r="BX59" s="480"/>
      <c r="BY59" s="480"/>
      <c r="BZ59" s="480"/>
      <c r="CA59" s="480"/>
      <c r="CB59" s="480"/>
      <c r="CC59" s="480"/>
      <c r="CD59" s="480"/>
      <c r="CE59" s="480"/>
      <c r="CF59" s="480"/>
      <c r="CG59" s="480"/>
      <c r="CH59" s="480"/>
      <c r="CI59" s="480"/>
      <c r="CJ59" s="480"/>
      <c r="CK59" s="482"/>
      <c r="CL59" s="480"/>
      <c r="CM59" s="480"/>
      <c r="CN59" s="480"/>
      <c r="CO59" s="480"/>
      <c r="CP59" s="480"/>
      <c r="CQ59" s="480"/>
      <c r="CR59" s="480"/>
      <c r="CS59" s="480"/>
      <c r="CT59" s="480"/>
      <c r="CU59" s="480"/>
      <c r="CV59" s="480"/>
      <c r="CW59" s="480"/>
      <c r="CX59" s="480"/>
      <c r="CY59" s="482"/>
      <c r="CZ59" s="480"/>
      <c r="DA59" s="480"/>
      <c r="DB59" s="480"/>
      <c r="DC59" s="480"/>
      <c r="DD59" s="480"/>
      <c r="DE59" s="480"/>
      <c r="DF59" s="480"/>
      <c r="DG59" s="480"/>
      <c r="DH59" s="480"/>
      <c r="DI59" s="480"/>
      <c r="DJ59" s="480"/>
      <c r="DK59" s="480"/>
      <c r="DL59" s="482"/>
      <c r="DM59" s="480"/>
      <c r="DN59" s="480"/>
      <c r="DO59" s="480"/>
      <c r="DP59" s="480"/>
      <c r="DQ59" s="480"/>
      <c r="DR59" s="480"/>
      <c r="DS59" s="480"/>
      <c r="DT59" s="480"/>
      <c r="DU59" s="480"/>
      <c r="DV59" s="480"/>
      <c r="DW59" s="480"/>
      <c r="DX59" s="480"/>
      <c r="DY59" s="482"/>
      <c r="DZ59" s="480"/>
      <c r="EA59" s="480"/>
      <c r="EB59" s="480"/>
      <c r="EC59" s="480"/>
      <c r="ED59" s="480"/>
      <c r="EE59" s="480"/>
      <c r="EF59" s="480"/>
      <c r="EG59" s="480"/>
      <c r="EH59" s="480"/>
      <c r="EI59" s="480"/>
      <c r="EJ59" s="480"/>
      <c r="EK59" s="480"/>
    </row>
    <row r="60" spans="1:141" s="481" customFormat="1">
      <c r="A60" s="480"/>
      <c r="B60" s="480"/>
      <c r="C60" s="480"/>
      <c r="D60" s="480"/>
      <c r="E60" s="480"/>
      <c r="F60" s="480"/>
      <c r="G60" s="480"/>
      <c r="H60" s="480"/>
      <c r="I60" s="480"/>
      <c r="J60" s="480"/>
      <c r="K60" s="480"/>
      <c r="L60" s="480"/>
      <c r="M60" s="480"/>
      <c r="N60" s="480"/>
      <c r="O60" s="480"/>
      <c r="P60" s="480"/>
      <c r="Q60" s="480"/>
      <c r="R60" s="480"/>
      <c r="S60" s="480"/>
      <c r="T60" s="480"/>
      <c r="U60" s="480"/>
      <c r="V60" s="480"/>
      <c r="W60" s="480"/>
      <c r="X60" s="480"/>
      <c r="Y60" s="480"/>
      <c r="Z60" s="480"/>
      <c r="AA60" s="480"/>
      <c r="AD60" s="480"/>
      <c r="AE60" s="480"/>
      <c r="AF60" s="480"/>
      <c r="AG60" s="480"/>
      <c r="AH60" s="480"/>
      <c r="AI60" s="480"/>
      <c r="AJ60" s="480"/>
      <c r="AK60" s="480"/>
      <c r="AL60" s="480"/>
      <c r="AM60" s="480"/>
      <c r="AN60" s="480"/>
      <c r="AO60" s="480"/>
      <c r="AP60" s="480"/>
      <c r="AQ60" s="480"/>
      <c r="AR60" s="480"/>
      <c r="AS60" s="480"/>
      <c r="AT60" s="480"/>
      <c r="AU60" s="480"/>
      <c r="AV60" s="480"/>
      <c r="AW60" s="480"/>
      <c r="AX60" s="480"/>
      <c r="AY60" s="480"/>
      <c r="AZ60" s="480"/>
      <c r="BA60" s="480"/>
      <c r="BB60" s="480"/>
      <c r="BC60" s="480"/>
      <c r="BD60" s="480"/>
      <c r="BE60" s="480"/>
      <c r="BF60" s="480"/>
      <c r="BG60" s="480"/>
      <c r="BH60" s="480"/>
      <c r="BI60" s="480"/>
      <c r="BJ60" s="480"/>
      <c r="BK60" s="480"/>
      <c r="BL60" s="480"/>
      <c r="BM60" s="480"/>
      <c r="BN60" s="480"/>
      <c r="BO60" s="480"/>
      <c r="BP60" s="480"/>
      <c r="BQ60" s="480"/>
      <c r="BR60" s="480"/>
      <c r="BS60" s="480"/>
      <c r="BT60" s="480"/>
      <c r="BU60" s="480"/>
      <c r="BV60" s="480"/>
      <c r="BW60" s="480"/>
      <c r="BX60" s="480"/>
      <c r="BY60" s="480"/>
      <c r="BZ60" s="480"/>
      <c r="CA60" s="480"/>
      <c r="CB60" s="480"/>
      <c r="CC60" s="480"/>
      <c r="CD60" s="480"/>
      <c r="CE60" s="480"/>
      <c r="CF60" s="480"/>
      <c r="CG60" s="480"/>
      <c r="CH60" s="480"/>
      <c r="CI60" s="480"/>
      <c r="CJ60" s="480"/>
      <c r="CK60" s="482"/>
      <c r="CL60" s="480"/>
      <c r="CM60" s="480"/>
      <c r="CN60" s="480"/>
      <c r="CO60" s="480"/>
      <c r="CP60" s="480"/>
      <c r="CQ60" s="480"/>
      <c r="CR60" s="480"/>
      <c r="CS60" s="480"/>
      <c r="CT60" s="480"/>
      <c r="CU60" s="480"/>
      <c r="CV60" s="480"/>
      <c r="CW60" s="480"/>
      <c r="CX60" s="480"/>
      <c r="CY60" s="482"/>
      <c r="CZ60" s="480"/>
      <c r="DA60" s="480"/>
      <c r="DB60" s="480"/>
      <c r="DC60" s="480"/>
      <c r="DD60" s="480"/>
      <c r="DE60" s="480"/>
      <c r="DF60" s="480"/>
      <c r="DG60" s="480"/>
      <c r="DH60" s="480"/>
      <c r="DI60" s="480"/>
      <c r="DJ60" s="480"/>
      <c r="DK60" s="480"/>
      <c r="DL60" s="482"/>
      <c r="DM60" s="480"/>
      <c r="DN60" s="480"/>
      <c r="DO60" s="480"/>
      <c r="DP60" s="480"/>
      <c r="DQ60" s="480"/>
      <c r="DR60" s="480"/>
      <c r="DS60" s="480"/>
      <c r="DT60" s="480"/>
      <c r="DU60" s="480"/>
      <c r="DV60" s="480"/>
      <c r="DW60" s="480"/>
      <c r="DX60" s="480"/>
      <c r="DY60" s="482"/>
      <c r="DZ60" s="480"/>
      <c r="EA60" s="480"/>
      <c r="EB60" s="480"/>
      <c r="EC60" s="480"/>
      <c r="ED60" s="480"/>
      <c r="EE60" s="480"/>
      <c r="EF60" s="480"/>
      <c r="EG60" s="480"/>
      <c r="EH60" s="480"/>
      <c r="EI60" s="480"/>
      <c r="EJ60" s="480"/>
      <c r="EK60" s="480"/>
    </row>
    <row r="61" spans="1:141" s="481" customFormat="1">
      <c r="A61" s="480"/>
      <c r="B61" s="480"/>
      <c r="C61" s="480"/>
      <c r="D61" s="480"/>
      <c r="E61" s="480"/>
      <c r="F61" s="480"/>
      <c r="G61" s="480"/>
      <c r="H61" s="480"/>
      <c r="I61" s="480"/>
      <c r="J61" s="480"/>
      <c r="K61" s="480"/>
      <c r="L61" s="480"/>
      <c r="M61" s="480"/>
      <c r="N61" s="480"/>
      <c r="O61" s="480"/>
      <c r="P61" s="480"/>
      <c r="Q61" s="480"/>
      <c r="R61" s="480"/>
      <c r="S61" s="480"/>
      <c r="T61" s="480"/>
      <c r="U61" s="480"/>
      <c r="V61" s="480"/>
      <c r="W61" s="480"/>
      <c r="X61" s="480"/>
      <c r="Y61" s="480"/>
      <c r="Z61" s="480"/>
      <c r="AA61" s="480"/>
      <c r="AD61" s="480"/>
      <c r="AE61" s="480"/>
      <c r="AF61" s="480"/>
      <c r="AG61" s="480"/>
      <c r="AH61" s="480"/>
      <c r="AI61" s="480"/>
      <c r="AJ61" s="480"/>
      <c r="AK61" s="480"/>
      <c r="AL61" s="480"/>
      <c r="AM61" s="480"/>
      <c r="AN61" s="480"/>
      <c r="AO61" s="480"/>
      <c r="AP61" s="480"/>
      <c r="AQ61" s="480"/>
      <c r="AR61" s="480"/>
      <c r="AS61" s="480"/>
      <c r="AT61" s="480"/>
      <c r="AU61" s="480"/>
      <c r="AV61" s="480"/>
      <c r="AW61" s="480"/>
      <c r="AX61" s="480"/>
      <c r="AY61" s="480"/>
      <c r="AZ61" s="480"/>
      <c r="BA61" s="480"/>
      <c r="BB61" s="480"/>
      <c r="BC61" s="480"/>
      <c r="BD61" s="480"/>
      <c r="BE61" s="480"/>
      <c r="BF61" s="480"/>
      <c r="BG61" s="480"/>
      <c r="BH61" s="480"/>
      <c r="BI61" s="480"/>
      <c r="BJ61" s="480"/>
      <c r="BK61" s="480"/>
      <c r="BL61" s="480"/>
      <c r="BM61" s="480"/>
      <c r="BN61" s="480"/>
      <c r="BO61" s="480"/>
      <c r="BP61" s="480"/>
      <c r="BQ61" s="480"/>
      <c r="BR61" s="480"/>
      <c r="BS61" s="480"/>
      <c r="BT61" s="480"/>
      <c r="BU61" s="480"/>
      <c r="BV61" s="480"/>
      <c r="BW61" s="480"/>
      <c r="BX61" s="480"/>
      <c r="BY61" s="480"/>
      <c r="BZ61" s="480"/>
      <c r="CA61" s="480"/>
      <c r="CB61" s="480"/>
      <c r="CC61" s="480"/>
      <c r="CD61" s="480"/>
      <c r="CE61" s="480"/>
      <c r="CF61" s="480"/>
      <c r="CG61" s="480"/>
      <c r="CH61" s="480"/>
      <c r="CI61" s="480"/>
      <c r="CJ61" s="480"/>
      <c r="CK61" s="482"/>
      <c r="CL61" s="480"/>
      <c r="CM61" s="480"/>
      <c r="CN61" s="480"/>
      <c r="CO61" s="480"/>
      <c r="CP61" s="480"/>
      <c r="CQ61" s="480"/>
      <c r="CR61" s="480"/>
      <c r="CS61" s="480"/>
      <c r="CT61" s="480"/>
      <c r="CU61" s="480"/>
      <c r="CV61" s="480"/>
      <c r="CW61" s="480"/>
      <c r="CX61" s="480"/>
      <c r="CY61" s="482"/>
      <c r="CZ61" s="480"/>
      <c r="DA61" s="480"/>
      <c r="DB61" s="480"/>
      <c r="DC61" s="480"/>
      <c r="DD61" s="480"/>
      <c r="DE61" s="480"/>
      <c r="DF61" s="480"/>
      <c r="DG61" s="480"/>
      <c r="DH61" s="480"/>
      <c r="DI61" s="480"/>
      <c r="DJ61" s="480"/>
      <c r="DK61" s="480"/>
      <c r="DL61" s="482"/>
      <c r="DM61" s="480"/>
      <c r="DN61" s="480"/>
      <c r="DO61" s="480"/>
      <c r="DP61" s="480"/>
      <c r="DQ61" s="480"/>
      <c r="DR61" s="480"/>
      <c r="DS61" s="480"/>
      <c r="DT61" s="480"/>
      <c r="DU61" s="480"/>
      <c r="DV61" s="480"/>
      <c r="DW61" s="480"/>
      <c r="DX61" s="480"/>
      <c r="DY61" s="482"/>
      <c r="DZ61" s="480"/>
      <c r="EA61" s="480"/>
      <c r="EB61" s="480"/>
      <c r="EC61" s="480"/>
      <c r="ED61" s="480"/>
      <c r="EE61" s="480"/>
      <c r="EF61" s="480"/>
      <c r="EG61" s="480"/>
      <c r="EH61" s="480"/>
      <c r="EI61" s="480"/>
      <c r="EJ61" s="480"/>
      <c r="EK61" s="480"/>
    </row>
  </sheetData>
  <mergeCells count="5">
    <mergeCell ref="C2:N2"/>
    <mergeCell ref="BY2:CJ2"/>
    <mergeCell ref="CM2:CX2"/>
    <mergeCell ref="CZ2:DK2"/>
    <mergeCell ref="DM2:DX2"/>
  </mergeCells>
  <pageMargins left="0.7" right="0.7" top="0.75" bottom="0.75" header="0.3" footer="0.3"/>
  <pageSetup paperSize="9" scale="10" orientation="landscape"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3679C-646B-449E-B523-FAEFC0160CAB}">
  <sheetPr>
    <tabColor theme="4" tint="0.39997558519241921"/>
    <pageSetUpPr fitToPage="1"/>
  </sheetPr>
  <dimension ref="A1:GA64"/>
  <sheetViews>
    <sheetView showGridLines="0" tabSelected="1" zoomScaleNormal="100" workbookViewId="0">
      <pane xSplit="14" ySplit="3" topLeftCell="DO6" activePane="bottomRight" state="frozen"/>
      <selection activeCell="C32" sqref="C32"/>
      <selection pane="topRight" activeCell="C32" sqref="C32"/>
      <selection pane="bottomLeft" activeCell="C32" sqref="C32"/>
      <selection pane="bottomRight" activeCell="DO15" sqref="DO15"/>
    </sheetView>
  </sheetViews>
  <sheetFormatPr baseColWidth="10" defaultColWidth="10.7109375" defaultRowHeight="14.25"/>
  <cols>
    <col min="1" max="1" width="2.85546875" style="480" customWidth="1"/>
    <col min="2" max="2" width="47" style="480" customWidth="1"/>
    <col min="3" max="3" width="14.5703125" style="480" hidden="1" customWidth="1"/>
    <col min="4" max="4" width="13.28515625" style="480" hidden="1" customWidth="1"/>
    <col min="5" max="5" width="14" style="480" hidden="1" customWidth="1"/>
    <col min="6" max="6" width="15" style="480" hidden="1" customWidth="1"/>
    <col min="7" max="7" width="14" style="480" hidden="1" customWidth="1"/>
    <col min="8" max="8" width="14.85546875" style="480" hidden="1" customWidth="1"/>
    <col min="9" max="9" width="14.5703125" style="480" hidden="1" customWidth="1"/>
    <col min="10" max="10" width="15" style="480" hidden="1" customWidth="1"/>
    <col min="11" max="11" width="14.7109375" style="480" hidden="1" customWidth="1"/>
    <col min="12" max="12" width="14.28515625" style="480" hidden="1" customWidth="1"/>
    <col min="13" max="13" width="13.7109375" style="480" hidden="1" customWidth="1"/>
    <col min="14" max="14" width="13.28515625" style="480" hidden="1" customWidth="1"/>
    <col min="15" max="15" width="12.85546875" style="480" hidden="1" customWidth="1"/>
    <col min="16" max="16" width="15" style="480" hidden="1" customWidth="1"/>
    <col min="17" max="17" width="14.7109375" style="480" hidden="1" customWidth="1"/>
    <col min="18" max="18" width="15.5703125" style="480" hidden="1" customWidth="1"/>
    <col min="19" max="19" width="15.28515625" style="480" hidden="1" customWidth="1"/>
    <col min="20" max="20" width="15.5703125" style="480" hidden="1" customWidth="1"/>
    <col min="21" max="21" width="15" style="480" hidden="1" customWidth="1"/>
    <col min="22" max="22" width="14.28515625" style="480" hidden="1" customWidth="1"/>
    <col min="23" max="23" width="14.85546875" style="480" hidden="1" customWidth="1"/>
    <col min="24" max="24" width="15" style="480" hidden="1" customWidth="1"/>
    <col min="25" max="25" width="15.7109375" style="480" hidden="1" customWidth="1"/>
    <col min="26" max="26" width="16.5703125" style="480" hidden="1" customWidth="1"/>
    <col min="27" max="27" width="15.7109375" style="541" hidden="1" customWidth="1"/>
    <col min="28" max="28" width="15.28515625" style="481" hidden="1" customWidth="1"/>
    <col min="29" max="29" width="16.28515625" style="481" hidden="1" customWidth="1"/>
    <col min="30" max="30" width="15.5703125" style="480" hidden="1" customWidth="1"/>
    <col min="31" max="32" width="16.28515625" style="480" hidden="1" customWidth="1"/>
    <col min="33" max="33" width="17" style="480" hidden="1" customWidth="1"/>
    <col min="34" max="34" width="16.85546875" style="480" hidden="1" customWidth="1"/>
    <col min="35" max="36" width="16.28515625" style="480" hidden="1" customWidth="1"/>
    <col min="37" max="37" width="15.28515625" style="480" hidden="1" customWidth="1"/>
    <col min="38" max="38" width="16.5703125" style="480" hidden="1" customWidth="1"/>
    <col min="39" max="40" width="17" style="480" hidden="1" customWidth="1"/>
    <col min="41" max="41" width="16.28515625" style="480" hidden="1" customWidth="1"/>
    <col min="42" max="42" width="17" style="480" hidden="1" customWidth="1"/>
    <col min="43" max="43" width="16.85546875" style="480" hidden="1" customWidth="1"/>
    <col min="44" max="44" width="16.5703125" style="480" hidden="1" customWidth="1"/>
    <col min="45" max="45" width="17" style="480" hidden="1" customWidth="1"/>
    <col min="46" max="46" width="18.28515625" style="480" hidden="1" customWidth="1"/>
    <col min="47" max="47" width="18" style="480" hidden="1" customWidth="1"/>
    <col min="48" max="48" width="16.85546875" style="480" hidden="1" customWidth="1"/>
    <col min="49" max="49" width="17" style="480" hidden="1" customWidth="1"/>
    <col min="50" max="50" width="16" style="480" hidden="1" customWidth="1"/>
    <col min="51" max="51" width="17.28515625" style="480" hidden="1" customWidth="1"/>
    <col min="52" max="52" width="16.28515625" style="480" hidden="1" customWidth="1"/>
    <col min="53" max="53" width="16.7109375" style="480" hidden="1" customWidth="1"/>
    <col min="54" max="54" width="18" style="480" hidden="1" customWidth="1"/>
    <col min="55" max="55" width="17.85546875" style="480" hidden="1" customWidth="1"/>
    <col min="56" max="56" width="19.5703125" style="480" hidden="1" customWidth="1"/>
    <col min="57" max="57" width="17.7109375" style="480" hidden="1" customWidth="1"/>
    <col min="58" max="58" width="18.28515625" style="480" hidden="1" customWidth="1"/>
    <col min="59" max="59" width="17" style="480" hidden="1" customWidth="1"/>
    <col min="60" max="60" width="19.5703125" style="480" hidden="1" customWidth="1"/>
    <col min="61" max="61" width="18.28515625" style="480" hidden="1" customWidth="1"/>
    <col min="62" max="62" width="19" style="480" hidden="1" customWidth="1"/>
    <col min="63" max="65" width="18" style="480" hidden="1" customWidth="1"/>
    <col min="66" max="66" width="18.85546875" style="480" hidden="1" customWidth="1"/>
    <col min="67" max="67" width="19.28515625" style="480" hidden="1" customWidth="1"/>
    <col min="68" max="68" width="18.28515625" style="480" hidden="1" customWidth="1"/>
    <col min="69" max="69" width="18.7109375" style="480" hidden="1" customWidth="1"/>
    <col min="70" max="70" width="18" style="480" hidden="1" customWidth="1"/>
    <col min="71" max="71" width="20.85546875" style="480" hidden="1" customWidth="1"/>
    <col min="72" max="72" width="18" style="480" hidden="1" customWidth="1"/>
    <col min="73" max="73" width="17.7109375" style="480" hidden="1" customWidth="1"/>
    <col min="74" max="74" width="17.85546875" style="480" hidden="1" customWidth="1"/>
    <col min="75" max="75" width="18.28515625" style="480" hidden="1" customWidth="1"/>
    <col min="76" max="76" width="19.5703125" style="480" hidden="1" customWidth="1"/>
    <col min="77" max="77" width="13" style="480" customWidth="1"/>
    <col min="78" max="78" width="13.140625" style="480" bestFit="1" customWidth="1"/>
    <col min="79" max="79" width="12.42578125" style="480" bestFit="1" customWidth="1"/>
    <col min="80" max="80" width="23.85546875" style="480" customWidth="1"/>
    <col min="81" max="82" width="12.42578125" style="480" bestFit="1" customWidth="1"/>
    <col min="83" max="83" width="13.7109375" style="480" customWidth="1"/>
    <col min="84" max="86" width="12.42578125" style="480" bestFit="1" customWidth="1"/>
    <col min="87" max="87" width="13.28515625" style="480" customWidth="1"/>
    <col min="88" max="88" width="12.42578125" style="480" bestFit="1" customWidth="1"/>
    <col min="89" max="89" width="12.85546875" style="482" bestFit="1" customWidth="1"/>
    <col min="90" max="90" width="12.140625" style="480" bestFit="1" customWidth="1"/>
    <col min="91" max="91" width="11" style="480" bestFit="1" customWidth="1"/>
    <col min="92" max="92" width="12" style="480" bestFit="1" customWidth="1"/>
    <col min="93" max="93" width="11" style="480" bestFit="1" customWidth="1"/>
    <col min="94" max="94" width="10.42578125" style="480" bestFit="1" customWidth="1"/>
    <col min="95" max="95" width="11" style="480" bestFit="1" customWidth="1"/>
    <col min="96" max="96" width="10.42578125" style="480" bestFit="1" customWidth="1"/>
    <col min="97" max="97" width="13.140625" style="480" bestFit="1" customWidth="1"/>
    <col min="98" max="98" width="11.85546875" style="480" bestFit="1" customWidth="1"/>
    <col min="99" max="100" width="10.85546875" style="480" bestFit="1" customWidth="1"/>
    <col min="101" max="101" width="11.85546875" style="480" bestFit="1" customWidth="1"/>
    <col min="102" max="102" width="13.140625" style="482" bestFit="1" customWidth="1"/>
    <col min="103" max="103" width="12.28515625" style="480" bestFit="1" customWidth="1"/>
    <col min="104" max="104" width="12.42578125" style="480" bestFit="1" customWidth="1"/>
    <col min="105" max="105" width="14" style="480" customWidth="1"/>
    <col min="106" max="106" width="13.28515625" style="480" customWidth="1"/>
    <col min="107" max="108" width="10.85546875" style="480" bestFit="1" customWidth="1"/>
    <col min="109" max="109" width="11.7109375" style="480" customWidth="1"/>
    <col min="110" max="110" width="12" style="480" customWidth="1"/>
    <col min="111" max="111" width="12" style="480" bestFit="1" customWidth="1"/>
    <col min="112" max="112" width="14.5703125" style="480" customWidth="1"/>
    <col min="113" max="113" width="13.28515625" style="480" customWidth="1"/>
    <col min="114" max="114" width="12" style="480" bestFit="1" customWidth="1"/>
    <col min="115" max="115" width="12" style="482" bestFit="1" customWidth="1"/>
    <col min="116" max="116" width="10.7109375" style="480"/>
    <col min="117" max="120" width="12" style="480" bestFit="1" customWidth="1"/>
    <col min="121" max="126" width="10.7109375" style="480"/>
    <col min="127" max="127" width="12" style="480" bestFit="1" customWidth="1"/>
    <col min="128" max="128" width="12" style="482" bestFit="1" customWidth="1"/>
    <col min="129" max="140" width="10.7109375" style="480"/>
    <col min="141" max="141" width="12" style="482" bestFit="1" customWidth="1"/>
    <col min="142" max="16384" width="10.7109375" style="480"/>
  </cols>
  <sheetData>
    <row r="1" spans="2:142" ht="7.5" customHeight="1">
      <c r="AA1" s="480"/>
    </row>
    <row r="2" spans="2:142" ht="15" customHeight="1">
      <c r="C2" s="970">
        <v>2018</v>
      </c>
      <c r="D2" s="970"/>
      <c r="E2" s="970"/>
      <c r="F2" s="970"/>
      <c r="G2" s="970"/>
      <c r="H2" s="970"/>
      <c r="I2" s="970"/>
      <c r="J2" s="970"/>
      <c r="K2" s="970"/>
      <c r="L2" s="970"/>
      <c r="M2" s="970"/>
      <c r="N2" s="970"/>
      <c r="P2" s="483">
        <v>2019</v>
      </c>
      <c r="Q2" s="484"/>
      <c r="R2" s="484"/>
      <c r="S2" s="484"/>
      <c r="T2" s="484"/>
      <c r="U2" s="484"/>
      <c r="V2" s="484"/>
      <c r="W2" s="484"/>
      <c r="X2" s="484"/>
      <c r="Y2" s="484"/>
      <c r="Z2" s="484"/>
      <c r="AA2" s="484"/>
      <c r="AC2" s="485">
        <v>2020</v>
      </c>
      <c r="AD2" s="484"/>
      <c r="AE2" s="484"/>
      <c r="AF2" s="484"/>
      <c r="AG2" s="484"/>
      <c r="AH2" s="484"/>
      <c r="AI2" s="484"/>
      <c r="AJ2" s="484"/>
      <c r="AL2" s="483" t="s">
        <v>121</v>
      </c>
      <c r="AM2" s="484"/>
      <c r="AN2" s="484"/>
      <c r="AO2" s="484"/>
      <c r="AP2" s="486"/>
      <c r="AQ2" s="484"/>
      <c r="AR2" s="484"/>
      <c r="AS2" s="484"/>
      <c r="AT2" s="484"/>
      <c r="AU2" s="484"/>
      <c r="AV2" s="484"/>
      <c r="AW2" s="484"/>
      <c r="AY2" s="486" t="s">
        <v>122</v>
      </c>
      <c r="AZ2" s="486"/>
      <c r="BA2" s="486"/>
      <c r="BB2" s="486"/>
      <c r="BC2" s="486"/>
      <c r="BD2" s="486"/>
      <c r="BE2" s="486"/>
      <c r="BF2" s="486"/>
      <c r="BG2" s="486"/>
      <c r="BH2" s="486"/>
      <c r="BI2" s="486"/>
      <c r="BJ2" s="486"/>
      <c r="BL2" s="487" t="s">
        <v>123</v>
      </c>
      <c r="BM2" s="487"/>
      <c r="BN2" s="487"/>
      <c r="BO2" s="487"/>
      <c r="BP2" s="487"/>
      <c r="BQ2" s="487"/>
      <c r="BR2" s="487"/>
      <c r="BS2" s="487"/>
      <c r="BT2" s="487"/>
      <c r="BU2" s="487"/>
      <c r="BV2" s="487"/>
      <c r="BW2" s="487"/>
      <c r="BY2" s="971" t="s">
        <v>124</v>
      </c>
      <c r="BZ2" s="971"/>
      <c r="CA2" s="971"/>
      <c r="CB2" s="971"/>
      <c r="CC2" s="971"/>
      <c r="CD2" s="971"/>
      <c r="CE2" s="971"/>
      <c r="CF2" s="971"/>
      <c r="CG2" s="971"/>
      <c r="CH2" s="971"/>
      <c r="CI2" s="971"/>
      <c r="CJ2" s="971"/>
      <c r="CL2" s="971" t="s">
        <v>344</v>
      </c>
      <c r="CM2" s="971"/>
      <c r="CN2" s="971"/>
      <c r="CO2" s="971"/>
      <c r="CP2" s="971"/>
      <c r="CQ2" s="971"/>
      <c r="CR2" s="971"/>
      <c r="CS2" s="971"/>
      <c r="CT2" s="971"/>
      <c r="CU2" s="971"/>
      <c r="CV2" s="971"/>
      <c r="CW2" s="971"/>
      <c r="CY2" s="971" t="s">
        <v>466</v>
      </c>
      <c r="CZ2" s="971"/>
      <c r="DA2" s="971"/>
      <c r="DB2" s="971"/>
      <c r="DC2" s="971"/>
      <c r="DD2" s="971"/>
      <c r="DE2" s="971"/>
      <c r="DF2" s="971"/>
      <c r="DG2" s="971"/>
      <c r="DH2" s="971"/>
      <c r="DI2" s="971"/>
      <c r="DJ2" s="971"/>
      <c r="DL2" s="971" t="s">
        <v>539</v>
      </c>
      <c r="DM2" s="971"/>
      <c r="DN2" s="971"/>
      <c r="DO2" s="971"/>
      <c r="DP2" s="971"/>
      <c r="DQ2" s="971"/>
      <c r="DR2" s="971"/>
      <c r="DS2" s="971"/>
      <c r="DT2" s="971"/>
      <c r="DU2" s="971"/>
      <c r="DV2" s="971"/>
      <c r="DW2" s="971"/>
      <c r="DY2" s="971" t="s">
        <v>664</v>
      </c>
      <c r="DZ2" s="971"/>
      <c r="EA2" s="971"/>
      <c r="EB2" s="971"/>
      <c r="EC2" s="971"/>
      <c r="ED2" s="971"/>
      <c r="EE2" s="971"/>
      <c r="EF2" s="971"/>
      <c r="EG2" s="971"/>
      <c r="EH2" s="971"/>
      <c r="EI2" s="971"/>
      <c r="EJ2" s="971"/>
    </row>
    <row r="3" spans="2:142" ht="15">
      <c r="B3" s="488" t="s">
        <v>125</v>
      </c>
      <c r="C3" s="489" t="s">
        <v>126</v>
      </c>
      <c r="D3" s="489" t="s">
        <v>127</v>
      </c>
      <c r="E3" s="489" t="s">
        <v>128</v>
      </c>
      <c r="F3" s="489" t="s">
        <v>129</v>
      </c>
      <c r="G3" s="489" t="s">
        <v>130</v>
      </c>
      <c r="H3" s="489" t="s">
        <v>131</v>
      </c>
      <c r="I3" s="489" t="s">
        <v>132</v>
      </c>
      <c r="J3" s="489" t="s">
        <v>133</v>
      </c>
      <c r="K3" s="489" t="s">
        <v>134</v>
      </c>
      <c r="L3" s="489" t="s">
        <v>135</v>
      </c>
      <c r="M3" s="489" t="s">
        <v>136</v>
      </c>
      <c r="N3" s="489" t="s">
        <v>137</v>
      </c>
      <c r="O3" s="490" t="s">
        <v>138</v>
      </c>
      <c r="P3" s="491" t="s">
        <v>126</v>
      </c>
      <c r="Q3" s="491" t="s">
        <v>127</v>
      </c>
      <c r="R3" s="491" t="s">
        <v>128</v>
      </c>
      <c r="S3" s="491" t="s">
        <v>129</v>
      </c>
      <c r="T3" s="491" t="s">
        <v>130</v>
      </c>
      <c r="U3" s="491" t="s">
        <v>131</v>
      </c>
      <c r="V3" s="491" t="s">
        <v>132</v>
      </c>
      <c r="W3" s="492" t="s">
        <v>133</v>
      </c>
      <c r="X3" s="491" t="s">
        <v>134</v>
      </c>
      <c r="Y3" s="491" t="s">
        <v>135</v>
      </c>
      <c r="Z3" s="491" t="s">
        <v>136</v>
      </c>
      <c r="AA3" s="491" t="s">
        <v>137</v>
      </c>
      <c r="AB3" s="493" t="s">
        <v>138</v>
      </c>
      <c r="AC3" s="494" t="s">
        <v>126</v>
      </c>
      <c r="AD3" s="491" t="s">
        <v>127</v>
      </c>
      <c r="AE3" s="491" t="s">
        <v>128</v>
      </c>
      <c r="AF3" s="491" t="s">
        <v>129</v>
      </c>
      <c r="AG3" s="491" t="s">
        <v>130</v>
      </c>
      <c r="AH3" s="491" t="s">
        <v>131</v>
      </c>
      <c r="AI3" s="491" t="s">
        <v>132</v>
      </c>
      <c r="AJ3" s="491" t="s">
        <v>133</v>
      </c>
      <c r="AK3" s="495" t="s">
        <v>138</v>
      </c>
      <c r="AL3" s="491" t="s">
        <v>134</v>
      </c>
      <c r="AM3" s="491" t="s">
        <v>135</v>
      </c>
      <c r="AN3" s="491" t="s">
        <v>136</v>
      </c>
      <c r="AO3" s="496" t="s">
        <v>137</v>
      </c>
      <c r="AP3" s="497" t="s">
        <v>126</v>
      </c>
      <c r="AQ3" s="491" t="s">
        <v>127</v>
      </c>
      <c r="AR3" s="491" t="s">
        <v>128</v>
      </c>
      <c r="AS3" s="491" t="s">
        <v>129</v>
      </c>
      <c r="AT3" s="491" t="s">
        <v>130</v>
      </c>
      <c r="AU3" s="491" t="s">
        <v>131</v>
      </c>
      <c r="AV3" s="491" t="s">
        <v>132</v>
      </c>
      <c r="AW3" s="491" t="s">
        <v>133</v>
      </c>
      <c r="AX3" s="495" t="s">
        <v>138</v>
      </c>
      <c r="AY3" s="498" t="s">
        <v>134</v>
      </c>
      <c r="AZ3" s="496" t="s">
        <v>135</v>
      </c>
      <c r="BA3" s="496" t="s">
        <v>136</v>
      </c>
      <c r="BB3" s="496" t="s">
        <v>137</v>
      </c>
      <c r="BC3" s="496" t="s">
        <v>126</v>
      </c>
      <c r="BD3" s="496" t="s">
        <v>127</v>
      </c>
      <c r="BE3" s="496" t="s">
        <v>128</v>
      </c>
      <c r="BF3" s="496" t="s">
        <v>129</v>
      </c>
      <c r="BG3" s="496" t="s">
        <v>130</v>
      </c>
      <c r="BH3" s="496" t="s">
        <v>131</v>
      </c>
      <c r="BI3" s="496" t="s">
        <v>132</v>
      </c>
      <c r="BJ3" s="499" t="s">
        <v>133</v>
      </c>
      <c r="BK3" s="495" t="s">
        <v>138</v>
      </c>
      <c r="BL3" s="498" t="s">
        <v>134</v>
      </c>
      <c r="BM3" s="496" t="s">
        <v>135</v>
      </c>
      <c r="BN3" s="496" t="s">
        <v>136</v>
      </c>
      <c r="BO3" s="496" t="s">
        <v>137</v>
      </c>
      <c r="BP3" s="496" t="s">
        <v>126</v>
      </c>
      <c r="BQ3" s="496" t="s">
        <v>127</v>
      </c>
      <c r="BR3" s="496" t="s">
        <v>128</v>
      </c>
      <c r="BS3" s="496" t="s">
        <v>129</v>
      </c>
      <c r="BT3" s="496" t="s">
        <v>130</v>
      </c>
      <c r="BU3" s="496" t="s">
        <v>131</v>
      </c>
      <c r="BV3" s="496" t="s">
        <v>132</v>
      </c>
      <c r="BW3" s="499" t="s">
        <v>133</v>
      </c>
      <c r="BX3" s="495" t="s">
        <v>138</v>
      </c>
      <c r="BY3" s="498" t="s">
        <v>134</v>
      </c>
      <c r="BZ3" s="496" t="s">
        <v>135</v>
      </c>
      <c r="CA3" s="496" t="s">
        <v>136</v>
      </c>
      <c r="CB3" s="496" t="s">
        <v>137</v>
      </c>
      <c r="CC3" s="496" t="s">
        <v>126</v>
      </c>
      <c r="CD3" s="496" t="s">
        <v>127</v>
      </c>
      <c r="CE3" s="496" t="s">
        <v>128</v>
      </c>
      <c r="CF3" s="496" t="s">
        <v>129</v>
      </c>
      <c r="CG3" s="496" t="s">
        <v>130</v>
      </c>
      <c r="CH3" s="496" t="s">
        <v>131</v>
      </c>
      <c r="CI3" s="496" t="s">
        <v>132</v>
      </c>
      <c r="CJ3" s="496" t="s">
        <v>133</v>
      </c>
      <c r="CK3" s="495" t="s">
        <v>138</v>
      </c>
      <c r="CL3" s="496" t="s">
        <v>134</v>
      </c>
      <c r="CM3" s="496" t="s">
        <v>135</v>
      </c>
      <c r="CN3" s="496" t="s">
        <v>136</v>
      </c>
      <c r="CO3" s="496" t="s">
        <v>137</v>
      </c>
      <c r="CP3" s="496" t="s">
        <v>126</v>
      </c>
      <c r="CQ3" s="496" t="s">
        <v>127</v>
      </c>
      <c r="CR3" s="496" t="s">
        <v>128</v>
      </c>
      <c r="CS3" s="496" t="s">
        <v>129</v>
      </c>
      <c r="CT3" s="496" t="s">
        <v>130</v>
      </c>
      <c r="CU3" s="496" t="s">
        <v>131</v>
      </c>
      <c r="CV3" s="496" t="s">
        <v>132</v>
      </c>
      <c r="CW3" s="499" t="s">
        <v>133</v>
      </c>
      <c r="CX3" s="495" t="s">
        <v>138</v>
      </c>
      <c r="CY3" s="496" t="s">
        <v>134</v>
      </c>
      <c r="CZ3" s="496" t="s">
        <v>135</v>
      </c>
      <c r="DA3" s="496" t="s">
        <v>136</v>
      </c>
      <c r="DB3" s="496" t="s">
        <v>137</v>
      </c>
      <c r="DC3" s="496" t="s">
        <v>126</v>
      </c>
      <c r="DD3" s="496" t="s">
        <v>127</v>
      </c>
      <c r="DE3" s="496" t="s">
        <v>128</v>
      </c>
      <c r="DF3" s="496" t="s">
        <v>129</v>
      </c>
      <c r="DG3" s="496" t="s">
        <v>130</v>
      </c>
      <c r="DH3" s="496" t="s">
        <v>131</v>
      </c>
      <c r="DI3" s="496" t="s">
        <v>132</v>
      </c>
      <c r="DJ3" s="499" t="s">
        <v>133</v>
      </c>
      <c r="DK3" s="495" t="s">
        <v>138</v>
      </c>
      <c r="DL3" s="496" t="s">
        <v>134</v>
      </c>
      <c r="DM3" s="496" t="s">
        <v>135</v>
      </c>
      <c r="DN3" s="496" t="s">
        <v>136</v>
      </c>
      <c r="DO3" s="496" t="s">
        <v>137</v>
      </c>
      <c r="DP3" s="496" t="s">
        <v>126</v>
      </c>
      <c r="DQ3" s="496" t="s">
        <v>127</v>
      </c>
      <c r="DR3" s="496" t="s">
        <v>128</v>
      </c>
      <c r="DS3" s="496" t="s">
        <v>129</v>
      </c>
      <c r="DT3" s="496" t="s">
        <v>130</v>
      </c>
      <c r="DU3" s="496" t="s">
        <v>131</v>
      </c>
      <c r="DV3" s="496" t="s">
        <v>132</v>
      </c>
      <c r="DW3" s="499" t="s">
        <v>133</v>
      </c>
      <c r="DX3" s="495" t="s">
        <v>138</v>
      </c>
      <c r="DY3" s="496" t="s">
        <v>134</v>
      </c>
      <c r="DZ3" s="496" t="s">
        <v>135</v>
      </c>
      <c r="EA3" s="496" t="s">
        <v>136</v>
      </c>
      <c r="EB3" s="496" t="s">
        <v>137</v>
      </c>
      <c r="EC3" s="496" t="s">
        <v>126</v>
      </c>
      <c r="ED3" s="496" t="s">
        <v>127</v>
      </c>
      <c r="EE3" s="496" t="s">
        <v>128</v>
      </c>
      <c r="EF3" s="496" t="s">
        <v>129</v>
      </c>
      <c r="EG3" s="496" t="s">
        <v>130</v>
      </c>
      <c r="EH3" s="496" t="s">
        <v>131</v>
      </c>
      <c r="EI3" s="496" t="s">
        <v>132</v>
      </c>
      <c r="EJ3" s="499" t="s">
        <v>133</v>
      </c>
      <c r="EK3" s="495" t="s">
        <v>138</v>
      </c>
    </row>
    <row r="4" spans="2:142" ht="15">
      <c r="B4" s="488" t="s">
        <v>514</v>
      </c>
      <c r="C4" s="489"/>
      <c r="D4" s="489"/>
      <c r="E4" s="489"/>
      <c r="F4" s="489"/>
      <c r="G4" s="489"/>
      <c r="H4" s="489"/>
      <c r="I4" s="489"/>
      <c r="J4" s="489"/>
      <c r="K4" s="489"/>
      <c r="L4" s="489"/>
      <c r="M4" s="489"/>
      <c r="N4" s="489"/>
      <c r="O4" s="490"/>
      <c r="P4" s="491"/>
      <c r="Q4" s="491"/>
      <c r="R4" s="491"/>
      <c r="S4" s="491"/>
      <c r="T4" s="491"/>
      <c r="U4" s="491"/>
      <c r="V4" s="491"/>
      <c r="W4" s="492"/>
      <c r="X4" s="491"/>
      <c r="Y4" s="491"/>
      <c r="Z4" s="491"/>
      <c r="AA4" s="491"/>
      <c r="AB4" s="494"/>
      <c r="AC4" s="494"/>
      <c r="AD4" s="491"/>
      <c r="AE4" s="491"/>
      <c r="AF4" s="491"/>
      <c r="AG4" s="491"/>
      <c r="AH4" s="491"/>
      <c r="AI4" s="491"/>
      <c r="AJ4" s="491"/>
      <c r="AK4" s="495"/>
      <c r="AL4" s="491"/>
      <c r="AM4" s="491"/>
      <c r="AN4" s="491"/>
      <c r="AO4" s="491"/>
      <c r="AP4" s="491"/>
      <c r="AQ4" s="491"/>
      <c r="AR4" s="491"/>
      <c r="AS4" s="491"/>
      <c r="AT4" s="491"/>
      <c r="AU4" s="491"/>
      <c r="AV4" s="491"/>
      <c r="AW4" s="491"/>
      <c r="AX4" s="495"/>
      <c r="AY4" s="491"/>
      <c r="AZ4" s="491"/>
      <c r="BA4" s="491"/>
      <c r="BB4" s="491"/>
      <c r="BC4" s="491"/>
      <c r="BD4" s="491"/>
      <c r="BE4" s="491"/>
      <c r="BF4" s="491"/>
      <c r="BG4" s="491"/>
      <c r="BH4" s="491"/>
      <c r="BI4" s="491"/>
      <c r="BJ4" s="491"/>
      <c r="BK4" s="495"/>
      <c r="BL4" s="494"/>
      <c r="BM4" s="491"/>
      <c r="BN4" s="491"/>
      <c r="BO4" s="491"/>
      <c r="BP4" s="491"/>
      <c r="BQ4" s="491"/>
      <c r="BR4" s="491"/>
      <c r="BS4" s="491"/>
      <c r="BT4" s="491"/>
      <c r="BU4" s="491"/>
      <c r="BV4" s="491"/>
      <c r="BW4" s="491"/>
      <c r="BX4" s="495"/>
      <c r="BY4" s="585">
        <f t="shared" ref="BY4:CJ4" si="0">-SUM(BY5:BY35)</f>
        <v>460898.55620000005</v>
      </c>
      <c r="BZ4" s="585">
        <f t="shared" si="0"/>
        <v>50929.193025</v>
      </c>
      <c r="CA4" s="585">
        <f t="shared" si="0"/>
        <v>-17795.135150499998</v>
      </c>
      <c r="CB4" s="585">
        <f t="shared" si="0"/>
        <v>222195.88295</v>
      </c>
      <c r="CC4" s="585">
        <f t="shared" si="0"/>
        <v>-11040.9239375</v>
      </c>
      <c r="CD4" s="585">
        <f t="shared" si="0"/>
        <v>-18191.501240499998</v>
      </c>
      <c r="CE4" s="585">
        <f t="shared" si="0"/>
        <v>-164120.39065454999</v>
      </c>
      <c r="CF4" s="585">
        <f t="shared" si="0"/>
        <v>-12077.979470000004</v>
      </c>
      <c r="CG4" s="585">
        <f t="shared" si="0"/>
        <v>-18303.202032000001</v>
      </c>
      <c r="CH4" s="586">
        <f t="shared" si="0"/>
        <v>-9599.1498971799992</v>
      </c>
      <c r="CI4" s="586">
        <f t="shared" si="0"/>
        <v>-20193.202818500002</v>
      </c>
      <c r="CJ4" s="586">
        <f t="shared" si="0"/>
        <v>-11624.207254500001</v>
      </c>
      <c r="CK4" s="587">
        <f>SUM(BY4:CJ4)</f>
        <v>451077.93971977005</v>
      </c>
      <c r="CL4" s="586">
        <f t="shared" ref="CL4:CW4" si="1">-SUM(CL5:CL35)</f>
        <v>-71050.393369500001</v>
      </c>
      <c r="CM4" s="586">
        <f t="shared" si="1"/>
        <v>-22041.051909499998</v>
      </c>
      <c r="CN4" s="586">
        <f t="shared" si="1"/>
        <v>97064.491630500008</v>
      </c>
      <c r="CO4" s="586">
        <f t="shared" si="1"/>
        <v>-39053.978369499993</v>
      </c>
      <c r="CP4" s="586">
        <f t="shared" si="1"/>
        <v>-33754.017149499996</v>
      </c>
      <c r="CQ4" s="586">
        <f t="shared" si="1"/>
        <v>-21354.518369499998</v>
      </c>
      <c r="CR4" s="586">
        <f t="shared" si="1"/>
        <v>-31093.191487259999</v>
      </c>
      <c r="CS4" s="586">
        <f t="shared" si="1"/>
        <v>-65717.708369499989</v>
      </c>
      <c r="CT4" s="586">
        <f t="shared" si="1"/>
        <v>145245.21326250001</v>
      </c>
      <c r="CU4" s="586">
        <f t="shared" si="1"/>
        <v>-21334.930001500001</v>
      </c>
      <c r="CV4" s="586">
        <f t="shared" si="1"/>
        <v>108518.49163050001</v>
      </c>
      <c r="CW4" s="586">
        <f t="shared" si="1"/>
        <v>-156950.80673750001</v>
      </c>
      <c r="CX4" s="588">
        <f>SUM(CL4:CW4)</f>
        <v>-111522.39923975998</v>
      </c>
      <c r="CY4" s="585">
        <f>-SUM(CY5:CY35)</f>
        <v>-74876.790001500005</v>
      </c>
      <c r="CZ4" s="585">
        <f t="shared" ref="CZ4:DJ4" si="2">-SUM(CZ5:CZ35)</f>
        <v>107540.3116305</v>
      </c>
      <c r="DA4" s="585">
        <f t="shared" si="2"/>
        <v>-37738.0067375</v>
      </c>
      <c r="DB4" s="585">
        <f t="shared" si="2"/>
        <v>-32034.400001500002</v>
      </c>
      <c r="DC4" s="585">
        <f t="shared" si="2"/>
        <v>-49419.316737499998</v>
      </c>
      <c r="DD4" s="585">
        <f t="shared" si="2"/>
        <v>-15576.788369499998</v>
      </c>
      <c r="DE4" s="585">
        <f t="shared" si="2"/>
        <v>215285.95999850001</v>
      </c>
      <c r="DF4" s="585">
        <f t="shared" si="2"/>
        <v>-196876.10170283334</v>
      </c>
      <c r="DG4" s="585">
        <f t="shared" si="2"/>
        <v>-67657.130070833329</v>
      </c>
      <c r="DH4" s="585">
        <f t="shared" si="2"/>
        <v>-59024.173334833336</v>
      </c>
      <c r="DI4" s="585">
        <f t="shared" si="2"/>
        <v>-11609.218369499999</v>
      </c>
      <c r="DJ4" s="585">
        <f t="shared" si="2"/>
        <v>-26288.998369499997</v>
      </c>
      <c r="DK4" s="588">
        <f>SUM(CY4:DJ4)</f>
        <v>-248274.65206599998</v>
      </c>
      <c r="DL4" s="585">
        <f t="shared" ref="DL4:DW4" si="3">-SUM(DL5:DL35)</f>
        <v>-74561.823369499994</v>
      </c>
      <c r="DM4" s="585">
        <f t="shared" si="3"/>
        <v>-345136.25836949999</v>
      </c>
      <c r="DN4" s="585">
        <f t="shared" si="3"/>
        <v>-20702.258369499999</v>
      </c>
      <c r="DO4" s="585">
        <f t="shared" si="3"/>
        <v>-112010.25836950001</v>
      </c>
      <c r="DP4" s="585">
        <f t="shared" si="3"/>
        <v>-116280.46836950001</v>
      </c>
      <c r="DQ4" s="585">
        <f t="shared" si="3"/>
        <v>-20702.258369499996</v>
      </c>
      <c r="DR4" s="585">
        <f t="shared" si="3"/>
        <v>14113.741630500001</v>
      </c>
      <c r="DS4" s="585">
        <f t="shared" si="3"/>
        <v>-10886.258369500001</v>
      </c>
      <c r="DT4" s="585">
        <f t="shared" si="3"/>
        <v>1297.7416305000006</v>
      </c>
      <c r="DU4" s="585">
        <f t="shared" si="3"/>
        <v>21113.741630500001</v>
      </c>
      <c r="DV4" s="585">
        <f t="shared" si="3"/>
        <v>12113.741630499999</v>
      </c>
      <c r="DW4" s="585">
        <f t="shared" si="3"/>
        <v>-20702.258369499999</v>
      </c>
      <c r="DX4" s="588">
        <f>SUM(DL4:DW4)</f>
        <v>-672342.87543400039</v>
      </c>
      <c r="DY4" s="585">
        <f t="shared" ref="DY4:EJ4" si="4">-SUM(DY5:DY35)</f>
        <v>-49863.481737500006</v>
      </c>
      <c r="DZ4" s="585">
        <f t="shared" si="4"/>
        <v>-5255.0567375000001</v>
      </c>
      <c r="EA4" s="585">
        <f t="shared" si="4"/>
        <v>-5255.0567375000001</v>
      </c>
      <c r="EB4" s="585">
        <f t="shared" si="4"/>
        <v>-5255.0467374999998</v>
      </c>
      <c r="EC4" s="585">
        <f t="shared" si="4"/>
        <v>-85649.266737499987</v>
      </c>
      <c r="ED4" s="585">
        <f t="shared" si="4"/>
        <v>-5255.0567375000001</v>
      </c>
      <c r="EE4" s="585">
        <f t="shared" si="4"/>
        <v>-5255.0567375000001</v>
      </c>
      <c r="EF4" s="585">
        <f t="shared" si="4"/>
        <v>-5255.0567375000001</v>
      </c>
      <c r="EG4" s="585">
        <f t="shared" si="4"/>
        <v>-3816.3999999999996</v>
      </c>
      <c r="EH4" s="585">
        <f t="shared" si="4"/>
        <v>-3816.3999999999996</v>
      </c>
      <c r="EI4" s="585">
        <f t="shared" si="4"/>
        <v>-3816.41</v>
      </c>
      <c r="EJ4" s="585">
        <f t="shared" si="4"/>
        <v>-3816.4</v>
      </c>
      <c r="EK4" s="588">
        <f>SUM(DY4:EJ4)</f>
        <v>-182308.68890000001</v>
      </c>
    </row>
    <row r="5" spans="2:142" ht="15">
      <c r="B5" s="480" t="s">
        <v>523</v>
      </c>
      <c r="C5" s="512"/>
      <c r="D5" s="512"/>
      <c r="E5" s="512"/>
      <c r="F5" s="513"/>
      <c r="G5" s="513"/>
      <c r="H5" s="513"/>
      <c r="I5" s="513"/>
      <c r="J5" s="513"/>
      <c r="K5" s="513"/>
      <c r="L5" s="513"/>
      <c r="M5" s="512"/>
      <c r="N5" s="512"/>
      <c r="O5" s="514"/>
      <c r="P5" s="515"/>
      <c r="Q5" s="515"/>
      <c r="R5" s="515"/>
      <c r="S5" s="515"/>
      <c r="T5" s="515"/>
      <c r="U5" s="515"/>
      <c r="V5" s="515"/>
      <c r="W5" s="516"/>
      <c r="X5" s="532"/>
      <c r="Y5" s="515"/>
      <c r="Z5" s="515"/>
      <c r="AA5" s="515"/>
      <c r="AB5" s="529">
        <f t="shared" ref="AB5" si="5">SUM(P5:AA5)</f>
        <v>0</v>
      </c>
      <c r="AC5" s="547"/>
      <c r="AD5" s="532"/>
      <c r="AE5" s="532"/>
      <c r="AF5" s="532"/>
      <c r="AG5" s="532">
        <f>36.52</f>
        <v>36.520000000000003</v>
      </c>
      <c r="AH5" s="532">
        <f>123.75</f>
        <v>123.75</v>
      </c>
      <c r="AI5" s="532">
        <f>123.75</f>
        <v>123.75</v>
      </c>
      <c r="AJ5" s="532">
        <f>123.75</f>
        <v>123.75</v>
      </c>
      <c r="AK5" s="531">
        <f t="shared" ref="AK5" si="6">SUM(AC5:AJ5)</f>
        <v>407.77</v>
      </c>
      <c r="AL5" s="532">
        <f t="shared" ref="AL5:AU5" si="7">123.75</f>
        <v>123.75</v>
      </c>
      <c r="AM5" s="532">
        <f t="shared" si="7"/>
        <v>123.75</v>
      </c>
      <c r="AN5" s="532">
        <f t="shared" si="7"/>
        <v>123.75</v>
      </c>
      <c r="AO5" s="532">
        <f t="shared" si="7"/>
        <v>123.75</v>
      </c>
      <c r="AP5" s="532">
        <f t="shared" si="7"/>
        <v>123.75</v>
      </c>
      <c r="AQ5" s="542">
        <f t="shared" si="7"/>
        <v>123.75</v>
      </c>
      <c r="AR5" s="561">
        <f t="shared" si="7"/>
        <v>123.75</v>
      </c>
      <c r="AS5" s="542">
        <f t="shared" si="7"/>
        <v>123.75</v>
      </c>
      <c r="AT5" s="542">
        <f t="shared" si="7"/>
        <v>123.75</v>
      </c>
      <c r="AU5" s="542">
        <f t="shared" si="7"/>
        <v>123.75</v>
      </c>
      <c r="AV5" s="542" t="e">
        <f>#REF!*0.015/12</f>
        <v>#REF!</v>
      </c>
      <c r="AW5" s="542" t="e">
        <f>#REF!*0.015/12</f>
        <v>#REF!</v>
      </c>
      <c r="AX5" s="519" t="e">
        <f>SUM(AL5:AW5)</f>
        <v>#REF!</v>
      </c>
      <c r="AY5" s="542" t="e">
        <f>#REF!*0.015/12</f>
        <v>#REF!</v>
      </c>
      <c r="AZ5" s="542" t="e">
        <f>#REF!*0.015/12</f>
        <v>#REF!</v>
      </c>
      <c r="BA5" s="542" t="e">
        <f>#REF!*0.015/12</f>
        <v>#REF!</v>
      </c>
      <c r="BB5" s="542" t="e">
        <f>#REF!*0.015/12</f>
        <v>#REF!</v>
      </c>
      <c r="BC5" s="542" t="e">
        <f>#REF!*0.015/12</f>
        <v>#REF!</v>
      </c>
      <c r="BD5" s="542" t="e">
        <f>#REF!*0.015/12</f>
        <v>#REF!</v>
      </c>
      <c r="BE5" s="542" t="e">
        <f>#REF!*0.015/12</f>
        <v>#REF!</v>
      </c>
      <c r="BF5" s="542" t="e">
        <f>#REF!*0.015/12</f>
        <v>#REF!</v>
      </c>
      <c r="BG5" s="542" t="e">
        <f>#REF!*0.015/12</f>
        <v>#REF!</v>
      </c>
      <c r="BH5" s="542" t="e">
        <f>#REF!*0.015/12</f>
        <v>#REF!</v>
      </c>
      <c r="BI5" s="542" t="e">
        <f>#REF!*0.015/12</f>
        <v>#REF!</v>
      </c>
      <c r="BJ5" s="542" t="e">
        <f>#REF!*0.015/12</f>
        <v>#REF!</v>
      </c>
      <c r="BK5" s="519" t="e">
        <f t="shared" ref="BK5" si="8">SUM(AY5:BJ5)</f>
        <v>#REF!</v>
      </c>
      <c r="BL5" s="548" t="e">
        <f>#REF!*0.015/12</f>
        <v>#REF!</v>
      </c>
      <c r="BM5" s="542" t="e">
        <f>#REF!*0.015/12</f>
        <v>#REF!</v>
      </c>
      <c r="BN5" s="542" t="e">
        <f>#REF!*0.015/12</f>
        <v>#REF!</v>
      </c>
      <c r="BO5" s="542" t="e">
        <f>#REF!*0.015/12</f>
        <v>#REF!</v>
      </c>
      <c r="BP5" s="542" t="e">
        <f>#REF!*0.015/12</f>
        <v>#REF!</v>
      </c>
      <c r="BQ5" s="542" t="e">
        <f>#REF!*0.015/12</f>
        <v>#REF!</v>
      </c>
      <c r="BR5" s="542" t="e">
        <f>#REF!*0.015/12</f>
        <v>#REF!</v>
      </c>
      <c r="BS5" s="542" t="e">
        <f>#REF!*0.015/12</f>
        <v>#REF!</v>
      </c>
      <c r="BT5" s="542" t="e">
        <f>#REF!*0.015/12</f>
        <v>#REF!</v>
      </c>
      <c r="BU5" s="542" t="e">
        <f>#REF!*0.015/12</f>
        <v>#REF!</v>
      </c>
      <c r="BV5" s="542" t="e">
        <f>#REF!*0.015/12</f>
        <v>#REF!</v>
      </c>
      <c r="BW5" s="542" t="e">
        <f>#REF!*0.015/12</f>
        <v>#REF!</v>
      </c>
      <c r="BX5" s="519" t="e">
        <f t="shared" ref="BX5" si="9">SUM(BL5:BW5)</f>
        <v>#REF!</v>
      </c>
      <c r="BY5" s="542">
        <v>1438.6638</v>
      </c>
      <c r="BZ5" s="542">
        <v>1438.6569750000001</v>
      </c>
      <c r="CA5" s="542">
        <v>1438.6580624999999</v>
      </c>
      <c r="CB5" s="542">
        <v>1438.65705</v>
      </c>
      <c r="CC5" s="542">
        <v>1438.6639375</v>
      </c>
      <c r="CD5" s="542">
        <v>1438.6587124999999</v>
      </c>
      <c r="CE5" s="542">
        <v>1438.6613874999998</v>
      </c>
      <c r="CF5" s="542">
        <v>1438.6619499999999</v>
      </c>
      <c r="CG5" s="542">
        <v>1438.6604</v>
      </c>
      <c r="CH5" s="544">
        <v>1438.6567375</v>
      </c>
      <c r="CI5" s="544">
        <v>1438.6609624999999</v>
      </c>
      <c r="CJ5" s="544">
        <v>1438.6630625</v>
      </c>
      <c r="CK5" s="528">
        <f>-SUM(BY5:CJ5)</f>
        <v>-17263.923037500001</v>
      </c>
      <c r="CL5" s="615">
        <v>1438.6567375</v>
      </c>
      <c r="CM5" s="544">
        <v>1438.6567375</v>
      </c>
      <c r="CN5" s="544">
        <v>1438.6567375</v>
      </c>
      <c r="CO5" s="544">
        <v>1438.6567375</v>
      </c>
      <c r="CP5" s="544">
        <v>1438.6567375</v>
      </c>
      <c r="CQ5" s="544">
        <v>1438.6567375</v>
      </c>
      <c r="CR5" s="544">
        <v>1438.6567375</v>
      </c>
      <c r="CS5" s="544">
        <v>1438.6567375</v>
      </c>
      <c r="CT5" s="544">
        <v>1438.6567375</v>
      </c>
      <c r="CU5" s="544">
        <v>1438.6567375</v>
      </c>
      <c r="CV5" s="544">
        <v>1438.6567375</v>
      </c>
      <c r="CW5" s="544">
        <v>1438.6567375</v>
      </c>
      <c r="CX5" s="528">
        <f>-SUM(CL5:CW5)</f>
        <v>-17263.880849999998</v>
      </c>
      <c r="CY5" s="819">
        <v>1438.6567375</v>
      </c>
      <c r="CZ5" s="819">
        <v>1438.6567375</v>
      </c>
      <c r="DA5" s="819">
        <v>1438.6567375</v>
      </c>
      <c r="DB5" s="819">
        <v>1438.6567375</v>
      </c>
      <c r="DC5" s="819">
        <v>1438.6567375</v>
      </c>
      <c r="DD5" s="819">
        <v>1438.6567375</v>
      </c>
      <c r="DE5" s="819">
        <v>1438.6567375</v>
      </c>
      <c r="DF5" s="819">
        <v>1438.6567375</v>
      </c>
      <c r="DG5" s="819">
        <v>1438.6567375</v>
      </c>
      <c r="DH5" s="853">
        <v>1438.6567375</v>
      </c>
      <c r="DI5" s="853">
        <v>1438.6567375</v>
      </c>
      <c r="DJ5" s="853">
        <v>1438.6567375</v>
      </c>
      <c r="DK5" s="519">
        <f>-SUM(CY5:DJ5)</f>
        <v>-17263.880849999998</v>
      </c>
      <c r="DL5" s="853">
        <v>1438.6567375</v>
      </c>
      <c r="DM5" s="853">
        <v>1438.6567375</v>
      </c>
      <c r="DN5" s="853">
        <v>1438.6567375</v>
      </c>
      <c r="DO5" s="853">
        <v>1438.6567375</v>
      </c>
      <c r="DP5" s="853">
        <v>1438.6567375</v>
      </c>
      <c r="DQ5" s="853">
        <v>1438.6567375</v>
      </c>
      <c r="DR5" s="853">
        <v>1438.6567375</v>
      </c>
      <c r="DS5" s="853">
        <v>1438.6567375</v>
      </c>
      <c r="DT5" s="853">
        <v>1438.6567375</v>
      </c>
      <c r="DU5" s="853">
        <v>1438.6567375</v>
      </c>
      <c r="DV5" s="853">
        <v>1438.6567375</v>
      </c>
      <c r="DW5" s="853">
        <v>1438.6567375</v>
      </c>
      <c r="DX5" s="519">
        <f>-SUM(DL5:DW5)</f>
        <v>-17263.880849999998</v>
      </c>
      <c r="DY5" s="853">
        <v>1438.6567375</v>
      </c>
      <c r="DZ5" s="853">
        <v>1438.6567375</v>
      </c>
      <c r="EA5" s="853">
        <v>1438.6567375</v>
      </c>
      <c r="EB5" s="853">
        <v>1438.6567375</v>
      </c>
      <c r="EC5" s="853">
        <v>1438.6567375</v>
      </c>
      <c r="ED5" s="853">
        <v>1438.6567375</v>
      </c>
      <c r="EE5" s="853">
        <v>1438.6567375</v>
      </c>
      <c r="EF5" s="853">
        <v>1438.6567375</v>
      </c>
      <c r="EK5" s="519">
        <f>-SUM(DY5:EJ5)</f>
        <v>-11509.253899999998</v>
      </c>
    </row>
    <row r="6" spans="2:142" ht="15">
      <c r="B6" s="480" t="s">
        <v>533</v>
      </c>
      <c r="C6" s="512"/>
      <c r="D6" s="512"/>
      <c r="E6" s="512"/>
      <c r="F6" s="513"/>
      <c r="G6" s="513"/>
      <c r="H6" s="513"/>
      <c r="I6" s="513"/>
      <c r="J6" s="513"/>
      <c r="K6" s="513"/>
      <c r="L6" s="513"/>
      <c r="M6" s="512"/>
      <c r="N6" s="512"/>
      <c r="O6" s="514"/>
      <c r="P6" s="515"/>
      <c r="Q6" s="515"/>
      <c r="R6" s="515"/>
      <c r="S6" s="515"/>
      <c r="T6" s="515"/>
      <c r="U6" s="515"/>
      <c r="V6" s="515"/>
      <c r="W6" s="516"/>
      <c r="X6" s="532"/>
      <c r="Y6" s="515"/>
      <c r="Z6" s="515"/>
      <c r="AA6" s="515"/>
      <c r="AB6" s="529"/>
      <c r="AC6" s="547"/>
      <c r="AD6" s="532"/>
      <c r="AE6" s="532"/>
      <c r="AF6" s="532"/>
      <c r="AG6" s="532"/>
      <c r="AH6" s="532"/>
      <c r="AI6" s="532"/>
      <c r="AJ6" s="532"/>
      <c r="AK6" s="531"/>
      <c r="AL6" s="532"/>
      <c r="AM6" s="532"/>
      <c r="AN6" s="532"/>
      <c r="AO6" s="532"/>
      <c r="AP6" s="532"/>
      <c r="AQ6" s="542"/>
      <c r="AR6" s="561"/>
      <c r="AS6" s="542"/>
      <c r="AT6" s="542"/>
      <c r="AU6" s="542"/>
      <c r="AV6" s="542"/>
      <c r="AW6" s="542"/>
      <c r="AX6" s="519"/>
      <c r="AY6" s="542"/>
      <c r="AZ6" s="542"/>
      <c r="BA6" s="542"/>
      <c r="BB6" s="542"/>
      <c r="BC6" s="542"/>
      <c r="BD6" s="542"/>
      <c r="BE6" s="542"/>
      <c r="BF6" s="542"/>
      <c r="BG6" s="542"/>
      <c r="BH6" s="542"/>
      <c r="BI6" s="542"/>
      <c r="BJ6" s="542"/>
      <c r="BK6" s="519"/>
      <c r="BL6" s="548"/>
      <c r="BM6" s="542"/>
      <c r="BN6" s="542"/>
      <c r="BO6" s="542"/>
      <c r="BP6" s="542"/>
      <c r="BQ6" s="542"/>
      <c r="BR6" s="542"/>
      <c r="BS6" s="542"/>
      <c r="BT6" s="542"/>
      <c r="BU6" s="542"/>
      <c r="BV6" s="542"/>
      <c r="BW6" s="542"/>
      <c r="BX6" s="519"/>
      <c r="BY6" s="542">
        <v>1453.19</v>
      </c>
      <c r="BZ6" s="542">
        <v>1453.19</v>
      </c>
      <c r="CA6" s="542">
        <v>1453.19</v>
      </c>
      <c r="CB6" s="542">
        <v>1453.1899999999998</v>
      </c>
      <c r="CC6" s="542">
        <v>1453.19</v>
      </c>
      <c r="CD6" s="542">
        <v>1453.19</v>
      </c>
      <c r="CE6" s="542">
        <v>1453.19</v>
      </c>
      <c r="CF6" s="542">
        <v>1453.19</v>
      </c>
      <c r="CG6" s="542">
        <v>1453.1899999999998</v>
      </c>
      <c r="CH6" s="544">
        <v>1453.19</v>
      </c>
      <c r="CI6" s="544">
        <v>1453.19</v>
      </c>
      <c r="CJ6" s="544">
        <v>1453.19</v>
      </c>
      <c r="CK6" s="528">
        <f t="shared" ref="CK6:CK35" si="10">-SUM(BY6:CJ6)</f>
        <v>-17438.280000000002</v>
      </c>
      <c r="CL6" s="544">
        <v>1453.19</v>
      </c>
      <c r="CM6" s="544">
        <v>1453.19</v>
      </c>
      <c r="CN6" s="544">
        <v>1453.19</v>
      </c>
      <c r="CO6" s="544">
        <v>1453.19</v>
      </c>
      <c r="CP6" s="544">
        <v>1453.19</v>
      </c>
      <c r="CQ6" s="544">
        <v>1453.19</v>
      </c>
      <c r="CR6" s="544">
        <v>1453.19</v>
      </c>
      <c r="CS6" s="544">
        <v>1453.19</v>
      </c>
      <c r="CT6" s="544">
        <v>1453.19</v>
      </c>
      <c r="CU6" s="544">
        <v>1453.19</v>
      </c>
      <c r="CV6" s="544">
        <v>1453.19</v>
      </c>
      <c r="CW6" s="544">
        <v>1453.19</v>
      </c>
      <c r="CX6" s="528">
        <f t="shared" ref="CX6:CX35" si="11">-SUM(CL6:CW6)</f>
        <v>-17438.280000000002</v>
      </c>
      <c r="CY6" s="544">
        <v>1453.19</v>
      </c>
      <c r="CZ6" s="544">
        <v>1453.19</v>
      </c>
      <c r="DA6" s="544">
        <v>1453.19</v>
      </c>
      <c r="DB6" s="819">
        <v>1453.19</v>
      </c>
      <c r="DC6" s="819">
        <v>1453.19</v>
      </c>
      <c r="DD6" s="819">
        <v>1453.19</v>
      </c>
      <c r="DE6" s="819">
        <v>1453.19</v>
      </c>
      <c r="DF6" s="819">
        <v>1453.19</v>
      </c>
      <c r="DG6" s="819">
        <v>1453.19</v>
      </c>
      <c r="DH6" s="967">
        <v>1453.19</v>
      </c>
      <c r="DI6" s="853">
        <v>1453.19</v>
      </c>
      <c r="DJ6" s="853">
        <v>1453.19</v>
      </c>
      <c r="DK6" s="519">
        <f t="shared" ref="DK6:DK35" si="12">-SUM(CY6:DJ6)</f>
        <v>-17438.280000000002</v>
      </c>
      <c r="DL6" s="537">
        <v>1453.19</v>
      </c>
      <c r="DM6" s="537">
        <v>1453.19</v>
      </c>
      <c r="DN6" s="537">
        <v>1453.19</v>
      </c>
      <c r="DO6" s="537">
        <v>1453.19</v>
      </c>
      <c r="DP6" s="537">
        <v>1453.19</v>
      </c>
      <c r="DQ6" s="537">
        <v>1453.19</v>
      </c>
      <c r="DR6" s="537">
        <v>1453.19</v>
      </c>
      <c r="DS6" s="537">
        <v>1453.19</v>
      </c>
      <c r="DT6" s="537">
        <v>1453.19</v>
      </c>
      <c r="DU6" s="537">
        <v>1453.19</v>
      </c>
      <c r="DV6" s="537">
        <v>1453.19</v>
      </c>
      <c r="DW6" s="537">
        <v>1453.19</v>
      </c>
      <c r="DX6" s="519">
        <f t="shared" ref="DX6:DX35" si="13">-SUM(DL6:DW6)</f>
        <v>-17438.280000000002</v>
      </c>
      <c r="EK6" s="519">
        <f t="shared" ref="EK6:EK35" si="14">-SUM(DY6:EJ6)</f>
        <v>0</v>
      </c>
    </row>
    <row r="7" spans="2:142" ht="15">
      <c r="B7" s="480" t="s">
        <v>479</v>
      </c>
      <c r="C7" s="512"/>
      <c r="D7" s="512"/>
      <c r="E7" s="512"/>
      <c r="F7" s="513"/>
      <c r="G7" s="513"/>
      <c r="H7" s="513"/>
      <c r="I7" s="513"/>
      <c r="J7" s="513"/>
      <c r="K7" s="513"/>
      <c r="L7" s="513"/>
      <c r="M7" s="512"/>
      <c r="N7" s="512"/>
      <c r="O7" s="514"/>
      <c r="P7" s="515"/>
      <c r="Q7" s="515"/>
      <c r="R7" s="515"/>
      <c r="S7" s="515"/>
      <c r="T7" s="515"/>
      <c r="U7" s="515"/>
      <c r="V7" s="515"/>
      <c r="W7" s="516"/>
      <c r="X7" s="532"/>
      <c r="Y7" s="515"/>
      <c r="Z7" s="515"/>
      <c r="AA7" s="515"/>
      <c r="AB7" s="529"/>
      <c r="AC7" s="547"/>
      <c r="AD7" s="532"/>
      <c r="AE7" s="532"/>
      <c r="AF7" s="532"/>
      <c r="AG7" s="532"/>
      <c r="AH7" s="532"/>
      <c r="AI7" s="532"/>
      <c r="AJ7" s="532"/>
      <c r="AK7" s="531"/>
      <c r="AL7" s="532"/>
      <c r="AM7" s="532"/>
      <c r="AN7" s="532"/>
      <c r="AO7" s="532"/>
      <c r="AP7" s="532"/>
      <c r="AQ7" s="542"/>
      <c r="AR7" s="561"/>
      <c r="AS7" s="542"/>
      <c r="AT7" s="542"/>
      <c r="AU7" s="542"/>
      <c r="AV7" s="542"/>
      <c r="AW7" s="542"/>
      <c r="AX7" s="519"/>
      <c r="AY7" s="542"/>
      <c r="AZ7" s="542"/>
      <c r="BA7" s="542"/>
      <c r="BB7" s="542"/>
      <c r="BC7" s="542"/>
      <c r="BD7" s="542"/>
      <c r="BE7" s="542"/>
      <c r="BF7" s="542"/>
      <c r="BG7" s="542"/>
      <c r="BH7" s="542"/>
      <c r="BI7" s="542"/>
      <c r="BJ7" s="542"/>
      <c r="BK7" s="519"/>
      <c r="BL7" s="548"/>
      <c r="BM7" s="542"/>
      <c r="BN7" s="542"/>
      <c r="BO7" s="542"/>
      <c r="BP7" s="542"/>
      <c r="BQ7" s="542"/>
      <c r="BR7" s="542"/>
      <c r="BS7" s="542"/>
      <c r="BT7" s="542"/>
      <c r="BU7" s="542"/>
      <c r="BV7" s="542"/>
      <c r="BW7" s="542"/>
      <c r="BX7" s="519"/>
      <c r="BY7" s="542">
        <v>0</v>
      </c>
      <c r="BZ7" s="542">
        <v>5118.66</v>
      </c>
      <c r="CA7" s="542">
        <v>2559.327088</v>
      </c>
      <c r="CB7" s="542">
        <v>0</v>
      </c>
      <c r="CC7" s="542">
        <v>5118.66</v>
      </c>
      <c r="CD7" s="542">
        <v>2559.3325279999999</v>
      </c>
      <c r="CE7" s="542"/>
      <c r="CF7" s="542">
        <f>2559.33376*2</f>
        <v>5118.66752</v>
      </c>
      <c r="CG7" s="542">
        <v>2559.3316319999999</v>
      </c>
      <c r="CH7" s="544">
        <v>2559.3343359999999</v>
      </c>
      <c r="CI7" s="544">
        <v>2559.3318559999998</v>
      </c>
      <c r="CJ7" s="544">
        <v>2559.3341919999998</v>
      </c>
      <c r="CK7" s="528">
        <f t="shared" si="10"/>
        <v>-30711.979152</v>
      </c>
      <c r="CL7" s="544">
        <v>2559.3316319999999</v>
      </c>
      <c r="CM7" s="544">
        <v>2559.3316319999999</v>
      </c>
      <c r="CN7" s="544">
        <v>2559.3316319999999</v>
      </c>
      <c r="CO7" s="544">
        <v>2559.3316319999999</v>
      </c>
      <c r="CP7" s="544">
        <v>2559.3316319999999</v>
      </c>
      <c r="CQ7" s="544">
        <v>2559.3316319999999</v>
      </c>
      <c r="CR7" s="544">
        <v>2559.3316319999999</v>
      </c>
      <c r="CS7" s="544">
        <v>2559.3316319999999</v>
      </c>
      <c r="CT7" s="544">
        <v>0</v>
      </c>
      <c r="CU7" s="544">
        <f>2559.331632*2</f>
        <v>5118.6632639999998</v>
      </c>
      <c r="CV7" s="544">
        <v>2559.3316319999999</v>
      </c>
      <c r="CW7" s="544"/>
      <c r="CX7" s="528">
        <f t="shared" si="11"/>
        <v>-28152.647951999999</v>
      </c>
      <c r="CY7" s="544">
        <f>2559.331632+2559.331632</f>
        <v>5118.6632639999998</v>
      </c>
      <c r="CZ7" s="544">
        <v>2559.3316319999999</v>
      </c>
      <c r="DA7" s="957"/>
      <c r="DB7" s="819">
        <f>2559.331632+2559.331632</f>
        <v>5118.6632639999998</v>
      </c>
      <c r="DC7" s="819"/>
      <c r="DD7" s="544">
        <f>2559.331632</f>
        <v>2559.3316319999999</v>
      </c>
      <c r="DE7" s="819">
        <f>2559.331632*2</f>
        <v>5118.6632639999998</v>
      </c>
      <c r="DF7" s="819">
        <v>2559.3316319999999</v>
      </c>
      <c r="DG7" s="819"/>
      <c r="DH7" s="885">
        <f>2559.331632*2</f>
        <v>5118.6632639999998</v>
      </c>
      <c r="DI7" s="853">
        <v>2559.3316319999999</v>
      </c>
      <c r="DJ7" s="853">
        <v>2559.3316319999999</v>
      </c>
      <c r="DK7" s="519">
        <f t="shared" si="12"/>
        <v>-33271.311216000002</v>
      </c>
      <c r="DL7" s="537">
        <v>2559.3316319999999</v>
      </c>
      <c r="DM7" s="537">
        <v>2559.3316319999999</v>
      </c>
      <c r="DN7" s="537">
        <v>2559.3316319999999</v>
      </c>
      <c r="DO7" s="537">
        <v>2559.3316319999999</v>
      </c>
      <c r="DP7" s="537">
        <v>2559.3316319999999</v>
      </c>
      <c r="DQ7" s="537">
        <v>2559.3316319999999</v>
      </c>
      <c r="DR7" s="537">
        <v>2559.3316319999999</v>
      </c>
      <c r="DS7" s="537">
        <v>2559.3316319999999</v>
      </c>
      <c r="DT7" s="537">
        <v>2559.3316319999999</v>
      </c>
      <c r="DU7" s="537">
        <v>2559.3316319999999</v>
      </c>
      <c r="DV7" s="537">
        <v>2559.3316319999999</v>
      </c>
      <c r="DW7" s="537">
        <v>2559.3316319999999</v>
      </c>
      <c r="DX7" s="519">
        <f t="shared" si="13"/>
        <v>-30711.979584000004</v>
      </c>
      <c r="EK7" s="519">
        <f t="shared" si="14"/>
        <v>0</v>
      </c>
    </row>
    <row r="8" spans="2:142" ht="15">
      <c r="B8" s="480" t="s">
        <v>480</v>
      </c>
      <c r="C8" s="512"/>
      <c r="D8" s="512"/>
      <c r="E8" s="512"/>
      <c r="F8" s="513"/>
      <c r="G8" s="513"/>
      <c r="H8" s="513"/>
      <c r="I8" s="513"/>
      <c r="J8" s="513"/>
      <c r="K8" s="513"/>
      <c r="L8" s="513"/>
      <c r="M8" s="512"/>
      <c r="N8" s="512"/>
      <c r="O8" s="514"/>
      <c r="P8" s="515"/>
      <c r="Q8" s="515"/>
      <c r="R8" s="515"/>
      <c r="S8" s="515"/>
      <c r="T8" s="515"/>
      <c r="U8" s="515"/>
      <c r="V8" s="515"/>
      <c r="W8" s="516"/>
      <c r="X8" s="532"/>
      <c r="Y8" s="515"/>
      <c r="Z8" s="515"/>
      <c r="AA8" s="515"/>
      <c r="AB8" s="529"/>
      <c r="AC8" s="547"/>
      <c r="AD8" s="532"/>
      <c r="AE8" s="532"/>
      <c r="AF8" s="532"/>
      <c r="AG8" s="532"/>
      <c r="AH8" s="532"/>
      <c r="AI8" s="532"/>
      <c r="AJ8" s="532"/>
      <c r="AK8" s="531"/>
      <c r="AL8" s="532"/>
      <c r="AM8" s="532"/>
      <c r="AN8" s="532"/>
      <c r="AO8" s="532"/>
      <c r="AP8" s="532"/>
      <c r="AQ8" s="542"/>
      <c r="AR8" s="561"/>
      <c r="AS8" s="542"/>
      <c r="AT8" s="542"/>
      <c r="AU8" s="542"/>
      <c r="AV8" s="542"/>
      <c r="AW8" s="542"/>
      <c r="AX8" s="519"/>
      <c r="AY8" s="542"/>
      <c r="AZ8" s="542"/>
      <c r="BA8" s="542"/>
      <c r="BB8" s="542"/>
      <c r="BC8" s="542"/>
      <c r="BD8" s="542"/>
      <c r="BE8" s="542"/>
      <c r="BF8" s="542"/>
      <c r="BG8" s="542"/>
      <c r="BH8" s="542"/>
      <c r="BI8" s="542"/>
      <c r="BJ8" s="542"/>
      <c r="BK8" s="519"/>
      <c r="BL8" s="548"/>
      <c r="BM8" s="542"/>
      <c r="BN8" s="542"/>
      <c r="BO8" s="542"/>
      <c r="BP8" s="542"/>
      <c r="BQ8" s="542"/>
      <c r="BR8" s="542"/>
      <c r="BS8" s="542"/>
      <c r="BT8" s="542"/>
      <c r="BU8" s="542"/>
      <c r="BV8" s="542"/>
      <c r="BW8" s="542"/>
      <c r="BX8" s="519"/>
      <c r="BY8" s="542">
        <v>0</v>
      </c>
      <c r="BZ8" s="542">
        <v>0</v>
      </c>
      <c r="CA8" s="542">
        <v>10182.32</v>
      </c>
      <c r="CB8" s="542">
        <v>0</v>
      </c>
      <c r="CC8" s="542">
        <v>0</v>
      </c>
      <c r="CD8" s="542">
        <v>10182.32</v>
      </c>
      <c r="CE8" s="542">
        <v>0</v>
      </c>
      <c r="CF8" s="542">
        <v>0</v>
      </c>
      <c r="CG8" s="542">
        <v>10182.32</v>
      </c>
      <c r="CH8" s="544">
        <v>0</v>
      </c>
      <c r="CI8" s="544">
        <v>0</v>
      </c>
      <c r="CJ8" s="544">
        <v>0</v>
      </c>
      <c r="CK8" s="528">
        <f t="shared" si="10"/>
        <v>-30546.959999999999</v>
      </c>
      <c r="CL8" s="544">
        <v>10182.32</v>
      </c>
      <c r="CM8" s="544">
        <v>0</v>
      </c>
      <c r="CN8" s="544">
        <v>0</v>
      </c>
      <c r="CO8" s="544">
        <v>10137.25</v>
      </c>
      <c r="CP8" s="544">
        <v>0</v>
      </c>
      <c r="CQ8" s="544">
        <v>0</v>
      </c>
      <c r="CR8" s="544">
        <v>10137.25</v>
      </c>
      <c r="CS8" s="544">
        <v>0</v>
      </c>
      <c r="CT8" s="544">
        <v>0</v>
      </c>
      <c r="CU8" s="544">
        <v>10137.25</v>
      </c>
      <c r="CV8" s="544">
        <v>0</v>
      </c>
      <c r="CW8" s="544"/>
      <c r="CX8" s="528">
        <f t="shared" si="11"/>
        <v>-40594.07</v>
      </c>
      <c r="CY8" s="544">
        <v>10137.25</v>
      </c>
      <c r="CZ8" s="884"/>
      <c r="DA8" s="533"/>
      <c r="DB8" s="544">
        <v>9816.08</v>
      </c>
      <c r="DC8" s="819">
        <v>0</v>
      </c>
      <c r="DD8" s="819">
        <v>0</v>
      </c>
      <c r="DE8" s="544">
        <v>9816.08</v>
      </c>
      <c r="DF8" s="819">
        <v>0</v>
      </c>
      <c r="DG8" s="819">
        <v>0</v>
      </c>
      <c r="DH8" s="584">
        <v>9816.08</v>
      </c>
      <c r="DI8" s="537">
        <v>0</v>
      </c>
      <c r="DJ8" s="536">
        <v>9816</v>
      </c>
      <c r="DK8" s="519">
        <f t="shared" si="12"/>
        <v>-49401.490000000005</v>
      </c>
      <c r="DL8" s="537">
        <v>0</v>
      </c>
      <c r="DM8" s="537">
        <v>0</v>
      </c>
      <c r="DN8" s="536">
        <v>9816</v>
      </c>
      <c r="DO8" s="537">
        <v>0</v>
      </c>
      <c r="DP8" s="537">
        <v>0</v>
      </c>
      <c r="DQ8" s="536">
        <v>9816</v>
      </c>
      <c r="DR8" s="537">
        <v>0</v>
      </c>
      <c r="DS8" s="537">
        <v>0</v>
      </c>
      <c r="DT8" s="536">
        <v>9816</v>
      </c>
      <c r="DU8" s="537">
        <v>0</v>
      </c>
      <c r="DV8" s="537">
        <v>0</v>
      </c>
      <c r="DW8" s="536">
        <v>9816</v>
      </c>
      <c r="DX8" s="519">
        <f t="shared" si="13"/>
        <v>-39264</v>
      </c>
      <c r="EK8" s="519">
        <f t="shared" si="14"/>
        <v>0</v>
      </c>
    </row>
    <row r="9" spans="2:142" ht="15">
      <c r="B9" s="480" t="s">
        <v>481</v>
      </c>
      <c r="C9" s="512"/>
      <c r="D9" s="512"/>
      <c r="E9" s="512"/>
      <c r="F9" s="513"/>
      <c r="G9" s="513"/>
      <c r="H9" s="513"/>
      <c r="I9" s="513"/>
      <c r="J9" s="513"/>
      <c r="K9" s="513"/>
      <c r="L9" s="513"/>
      <c r="M9" s="512"/>
      <c r="N9" s="512"/>
      <c r="O9" s="514"/>
      <c r="P9" s="515"/>
      <c r="Q9" s="515"/>
      <c r="R9" s="515"/>
      <c r="S9" s="515"/>
      <c r="T9" s="515"/>
      <c r="U9" s="515"/>
      <c r="V9" s="515"/>
      <c r="W9" s="516"/>
      <c r="X9" s="532"/>
      <c r="Y9" s="515"/>
      <c r="Z9" s="515"/>
      <c r="AA9" s="515"/>
      <c r="AB9" s="529"/>
      <c r="AC9" s="547"/>
      <c r="AD9" s="532"/>
      <c r="AE9" s="532"/>
      <c r="AF9" s="532"/>
      <c r="AG9" s="532"/>
      <c r="AH9" s="532"/>
      <c r="AI9" s="532"/>
      <c r="AJ9" s="532"/>
      <c r="AK9" s="531"/>
      <c r="AL9" s="532"/>
      <c r="AM9" s="532"/>
      <c r="AN9" s="532"/>
      <c r="AO9" s="532"/>
      <c r="AP9" s="532"/>
      <c r="AQ9" s="542"/>
      <c r="AR9" s="561"/>
      <c r="AS9" s="542"/>
      <c r="AT9" s="542"/>
      <c r="AU9" s="542"/>
      <c r="AV9" s="542"/>
      <c r="AW9" s="542"/>
      <c r="AX9" s="519"/>
      <c r="AY9" s="542"/>
      <c r="AZ9" s="542"/>
      <c r="BA9" s="542"/>
      <c r="BB9" s="542"/>
      <c r="BC9" s="542"/>
      <c r="BD9" s="542"/>
      <c r="BE9" s="542"/>
      <c r="BF9" s="542"/>
      <c r="BG9" s="542"/>
      <c r="BH9" s="542"/>
      <c r="BI9" s="542"/>
      <c r="BJ9" s="542"/>
      <c r="BK9" s="519"/>
      <c r="BL9" s="548"/>
      <c r="BM9" s="542"/>
      <c r="BN9" s="542"/>
      <c r="BO9" s="542"/>
      <c r="BP9" s="542"/>
      <c r="BQ9" s="542"/>
      <c r="BR9" s="542"/>
      <c r="BS9" s="542"/>
      <c r="BT9" s="542"/>
      <c r="BU9" s="542"/>
      <c r="BV9" s="542"/>
      <c r="BW9" s="542"/>
      <c r="BX9" s="519"/>
      <c r="BY9" s="542">
        <v>-474835.89</v>
      </c>
      <c r="BZ9" s="542">
        <v>0</v>
      </c>
      <c r="CA9" s="542">
        <v>0</v>
      </c>
      <c r="CB9" s="542">
        <v>0</v>
      </c>
      <c r="CC9" s="542">
        <v>0</v>
      </c>
      <c r="CD9" s="542">
        <v>0</v>
      </c>
      <c r="CE9" s="542">
        <v>0</v>
      </c>
      <c r="CF9" s="542">
        <v>0</v>
      </c>
      <c r="CG9" s="542">
        <v>0</v>
      </c>
      <c r="CH9" s="544">
        <v>0</v>
      </c>
      <c r="CI9" s="544">
        <v>0</v>
      </c>
      <c r="CJ9" s="544">
        <v>0</v>
      </c>
      <c r="CK9" s="528">
        <f t="shared" si="10"/>
        <v>474835.89</v>
      </c>
      <c r="CL9" s="615">
        <v>43675.565000000002</v>
      </c>
      <c r="CM9" s="544">
        <v>0</v>
      </c>
      <c r="CN9" s="544">
        <v>0</v>
      </c>
      <c r="CO9" s="544">
        <v>0</v>
      </c>
      <c r="CP9" s="544">
        <v>0</v>
      </c>
      <c r="CQ9" s="544">
        <v>0</v>
      </c>
      <c r="CR9" s="544">
        <v>0</v>
      </c>
      <c r="CS9" s="544">
        <v>0</v>
      </c>
      <c r="CT9" s="544">
        <v>0</v>
      </c>
      <c r="CU9" s="544">
        <v>0</v>
      </c>
      <c r="CV9" s="544">
        <v>0</v>
      </c>
      <c r="CW9" s="544">
        <v>0</v>
      </c>
      <c r="CX9" s="528">
        <f t="shared" si="11"/>
        <v>-43675.565000000002</v>
      </c>
      <c r="CY9" s="544">
        <v>43675.56</v>
      </c>
      <c r="CZ9" s="544">
        <v>0</v>
      </c>
      <c r="DA9" s="544">
        <v>0</v>
      </c>
      <c r="DB9" s="544">
        <v>0</v>
      </c>
      <c r="DC9" s="819">
        <v>0</v>
      </c>
      <c r="DD9" s="819">
        <v>0</v>
      </c>
      <c r="DE9" s="819">
        <v>0</v>
      </c>
      <c r="DF9" s="819">
        <v>0</v>
      </c>
      <c r="DG9" s="819">
        <v>0</v>
      </c>
      <c r="DH9" s="537">
        <v>0</v>
      </c>
      <c r="DI9" s="537">
        <v>0</v>
      </c>
      <c r="DJ9" s="537">
        <v>0</v>
      </c>
      <c r="DK9" s="519">
        <f t="shared" si="12"/>
        <v>-43675.56</v>
      </c>
      <c r="DL9" s="537">
        <v>43675.565000000002</v>
      </c>
      <c r="DM9" s="537">
        <v>0</v>
      </c>
      <c r="DN9" s="537">
        <v>0</v>
      </c>
      <c r="DO9" s="537">
        <v>0</v>
      </c>
      <c r="DP9" s="537">
        <v>0</v>
      </c>
      <c r="DQ9" s="537">
        <v>0</v>
      </c>
      <c r="DR9" s="537">
        <v>0</v>
      </c>
      <c r="DS9" s="537">
        <v>0</v>
      </c>
      <c r="DT9" s="537">
        <v>0</v>
      </c>
      <c r="DU9" s="537">
        <v>0</v>
      </c>
      <c r="DV9" s="537">
        <v>0</v>
      </c>
      <c r="DW9" s="537">
        <v>0</v>
      </c>
      <c r="DX9" s="519">
        <f t="shared" si="13"/>
        <v>-43675.565000000002</v>
      </c>
      <c r="DY9" s="537">
        <v>43675.565000000002</v>
      </c>
      <c r="EK9" s="519">
        <f t="shared" si="14"/>
        <v>-43675.565000000002</v>
      </c>
      <c r="EL9" s="537">
        <v>43675.56</v>
      </c>
    </row>
    <row r="10" spans="2:142" ht="15">
      <c r="B10" s="480" t="s">
        <v>482</v>
      </c>
      <c r="C10" s="512"/>
      <c r="D10" s="512"/>
      <c r="E10" s="512"/>
      <c r="F10" s="513"/>
      <c r="G10" s="513"/>
      <c r="H10" s="513"/>
      <c r="I10" s="513"/>
      <c r="J10" s="513"/>
      <c r="K10" s="513"/>
      <c r="L10" s="513"/>
      <c r="M10" s="512"/>
      <c r="N10" s="512"/>
      <c r="O10" s="514"/>
      <c r="P10" s="515"/>
      <c r="Q10" s="515"/>
      <c r="R10" s="515"/>
      <c r="S10" s="515"/>
      <c r="T10" s="515"/>
      <c r="U10" s="515"/>
      <c r="V10" s="515"/>
      <c r="W10" s="516"/>
      <c r="X10" s="532"/>
      <c r="Y10" s="515"/>
      <c r="Z10" s="515"/>
      <c r="AA10" s="515"/>
      <c r="AB10" s="529"/>
      <c r="AC10" s="547"/>
      <c r="AD10" s="532"/>
      <c r="AE10" s="532"/>
      <c r="AF10" s="532"/>
      <c r="AG10" s="532"/>
      <c r="AH10" s="532"/>
      <c r="AI10" s="532"/>
      <c r="AJ10" s="532"/>
      <c r="AK10" s="531"/>
      <c r="AL10" s="532"/>
      <c r="AM10" s="532"/>
      <c r="AN10" s="532"/>
      <c r="AO10" s="532"/>
      <c r="AP10" s="532"/>
      <c r="AQ10" s="542"/>
      <c r="AR10" s="561"/>
      <c r="AS10" s="542"/>
      <c r="AT10" s="542"/>
      <c r="AU10" s="542"/>
      <c r="AV10" s="542"/>
      <c r="AW10" s="542"/>
      <c r="AX10" s="519"/>
      <c r="AY10" s="542"/>
      <c r="AZ10" s="542"/>
      <c r="BA10" s="542"/>
      <c r="BB10" s="542"/>
      <c r="BC10" s="542"/>
      <c r="BD10" s="542"/>
      <c r="BE10" s="542"/>
      <c r="BF10" s="542"/>
      <c r="BG10" s="542"/>
      <c r="BH10" s="542"/>
      <c r="BI10" s="542"/>
      <c r="BJ10" s="542"/>
      <c r="BK10" s="519"/>
      <c r="BL10" s="548"/>
      <c r="BM10" s="542"/>
      <c r="BN10" s="542"/>
      <c r="BO10" s="542"/>
      <c r="BP10" s="542"/>
      <c r="BQ10" s="542"/>
      <c r="BR10" s="542"/>
      <c r="BS10" s="542"/>
      <c r="BT10" s="542"/>
      <c r="BU10" s="542"/>
      <c r="BV10" s="542"/>
      <c r="BW10" s="542"/>
      <c r="BX10" s="519"/>
      <c r="BY10" s="542">
        <v>0</v>
      </c>
      <c r="BZ10" s="542">
        <v>0</v>
      </c>
      <c r="CA10" s="542">
        <v>0</v>
      </c>
      <c r="CB10" s="542">
        <v>-88000</v>
      </c>
      <c r="CC10" s="542">
        <v>983</v>
      </c>
      <c r="CD10" s="542">
        <v>774.29</v>
      </c>
      <c r="CE10" s="542"/>
      <c r="CF10" s="542">
        <f>774.29*2</f>
        <v>1548.58</v>
      </c>
      <c r="CG10" s="542">
        <v>774.29</v>
      </c>
      <c r="CH10" s="544">
        <v>774.25</v>
      </c>
      <c r="CI10" s="544">
        <v>774.29</v>
      </c>
      <c r="CJ10" s="544">
        <v>774.29</v>
      </c>
      <c r="CK10" s="528">
        <f t="shared" si="10"/>
        <v>81597.010000000024</v>
      </c>
      <c r="CL10" s="544">
        <v>774.29</v>
      </c>
      <c r="CM10" s="544">
        <v>774.29</v>
      </c>
      <c r="CN10" s="544">
        <v>774.29</v>
      </c>
      <c r="CO10" s="544">
        <v>774.29</v>
      </c>
      <c r="CP10" s="544">
        <v>708.84</v>
      </c>
      <c r="CQ10" s="544">
        <v>708.84</v>
      </c>
      <c r="CR10" s="544">
        <v>708.84</v>
      </c>
      <c r="CS10" s="544">
        <v>708.84</v>
      </c>
      <c r="CT10" s="544">
        <v>0</v>
      </c>
      <c r="CU10" s="544">
        <f>708.84*2</f>
        <v>1417.68</v>
      </c>
      <c r="CV10" s="544">
        <v>685.82</v>
      </c>
      <c r="CW10" s="533"/>
      <c r="CX10" s="528">
        <f t="shared" si="11"/>
        <v>-8036.02</v>
      </c>
      <c r="CY10" s="544">
        <f>685.82+685.82</f>
        <v>1371.64</v>
      </c>
      <c r="CZ10" s="544">
        <v>685.82</v>
      </c>
      <c r="DA10" s="533"/>
      <c r="DB10" s="544">
        <f>685.82+685.82</f>
        <v>1371.64</v>
      </c>
      <c r="DC10" s="544"/>
      <c r="DD10" s="544">
        <v>687.59</v>
      </c>
      <c r="DE10" s="544">
        <f>687.59*2</f>
        <v>1375.18</v>
      </c>
      <c r="DF10" s="544">
        <v>687.59</v>
      </c>
      <c r="DG10" s="533"/>
      <c r="DH10" s="572">
        <f>687.59*2</f>
        <v>1375.18</v>
      </c>
      <c r="DI10" s="536">
        <v>685.82</v>
      </c>
      <c r="DJ10" s="536">
        <v>685.82</v>
      </c>
      <c r="DK10" s="519">
        <f t="shared" si="12"/>
        <v>-8926.2800000000007</v>
      </c>
      <c r="DL10" s="536">
        <v>685.82</v>
      </c>
      <c r="DM10" s="536">
        <v>685.82</v>
      </c>
      <c r="DN10" s="536">
        <v>685.82</v>
      </c>
      <c r="DO10" s="536">
        <v>685.82</v>
      </c>
      <c r="DP10" s="536">
        <v>685.82</v>
      </c>
      <c r="DQ10" s="536">
        <v>685.82</v>
      </c>
      <c r="DR10" s="536">
        <v>685.82</v>
      </c>
      <c r="DS10" s="536">
        <v>685.82</v>
      </c>
      <c r="DT10" s="536">
        <v>685.82</v>
      </c>
      <c r="DU10" s="536">
        <v>685.82</v>
      </c>
      <c r="DV10" s="536">
        <v>685.82</v>
      </c>
      <c r="DW10" s="536">
        <v>685.82</v>
      </c>
      <c r="DX10" s="519">
        <f t="shared" si="13"/>
        <v>-8229.8399999999983</v>
      </c>
      <c r="EK10" s="519">
        <f t="shared" si="14"/>
        <v>0</v>
      </c>
    </row>
    <row r="11" spans="2:142" ht="15">
      <c r="B11" s="480" t="s">
        <v>483</v>
      </c>
      <c r="C11" s="512"/>
      <c r="D11" s="512"/>
      <c r="E11" s="512"/>
      <c r="F11" s="513"/>
      <c r="G11" s="513"/>
      <c r="H11" s="513"/>
      <c r="I11" s="513"/>
      <c r="J11" s="513"/>
      <c r="K11" s="513"/>
      <c r="L11" s="513"/>
      <c r="M11" s="512"/>
      <c r="N11" s="512"/>
      <c r="O11" s="514"/>
      <c r="P11" s="515"/>
      <c r="Q11" s="515"/>
      <c r="R11" s="515"/>
      <c r="S11" s="515"/>
      <c r="T11" s="515"/>
      <c r="U11" s="515"/>
      <c r="V11" s="515"/>
      <c r="W11" s="516"/>
      <c r="X11" s="532"/>
      <c r="Y11" s="515"/>
      <c r="Z11" s="515"/>
      <c r="AA11" s="515"/>
      <c r="AB11" s="529"/>
      <c r="AC11" s="547"/>
      <c r="AD11" s="532"/>
      <c r="AE11" s="532"/>
      <c r="AF11" s="532"/>
      <c r="AG11" s="532"/>
      <c r="AH11" s="532"/>
      <c r="AI11" s="532"/>
      <c r="AJ11" s="532"/>
      <c r="AK11" s="531"/>
      <c r="AL11" s="532"/>
      <c r="AM11" s="532"/>
      <c r="AN11" s="532"/>
      <c r="AO11" s="532"/>
      <c r="AP11" s="532"/>
      <c r="AQ11" s="542"/>
      <c r="AR11" s="561"/>
      <c r="AS11" s="542"/>
      <c r="AT11" s="542"/>
      <c r="AU11" s="542"/>
      <c r="AV11" s="542"/>
      <c r="AW11" s="542"/>
      <c r="AX11" s="519"/>
      <c r="AY11" s="542"/>
      <c r="AZ11" s="542"/>
      <c r="BA11" s="542"/>
      <c r="BB11" s="542"/>
      <c r="BC11" s="542"/>
      <c r="BD11" s="542"/>
      <c r="BE11" s="542"/>
      <c r="BF11" s="542"/>
      <c r="BG11" s="542"/>
      <c r="BH11" s="542"/>
      <c r="BI11" s="542"/>
      <c r="BJ11" s="542"/>
      <c r="BK11" s="519"/>
      <c r="BL11" s="548"/>
      <c r="BM11" s="542"/>
      <c r="BN11" s="542"/>
      <c r="BO11" s="542"/>
      <c r="BP11" s="542"/>
      <c r="BQ11" s="542"/>
      <c r="BR11" s="542"/>
      <c r="BS11" s="542"/>
      <c r="BT11" s="542"/>
      <c r="BU11" s="542"/>
      <c r="BV11" s="542"/>
      <c r="BW11" s="542"/>
      <c r="BX11" s="519"/>
      <c r="BY11" s="542">
        <v>0</v>
      </c>
      <c r="BZ11" s="542">
        <v>0</v>
      </c>
      <c r="CA11" s="542">
        <v>0</v>
      </c>
      <c r="CB11" s="542">
        <v>0</v>
      </c>
      <c r="CC11" s="542">
        <v>0</v>
      </c>
      <c r="CD11" s="542">
        <v>0</v>
      </c>
      <c r="CE11" s="542">
        <v>0</v>
      </c>
      <c r="CF11" s="542">
        <v>0</v>
      </c>
      <c r="CG11" s="542">
        <v>0</v>
      </c>
      <c r="CH11" s="544">
        <v>0</v>
      </c>
      <c r="CI11" s="544">
        <v>0</v>
      </c>
      <c r="CJ11" s="542">
        <v>3404.48</v>
      </c>
      <c r="CK11" s="528">
        <f t="shared" si="10"/>
        <v>-3404.48</v>
      </c>
      <c r="CL11" s="544">
        <v>0</v>
      </c>
      <c r="CM11" s="544">
        <v>0</v>
      </c>
      <c r="CN11" s="544">
        <v>0</v>
      </c>
      <c r="CO11" s="544">
        <v>0</v>
      </c>
      <c r="CP11" s="544">
        <v>0</v>
      </c>
      <c r="CQ11" s="544">
        <v>0</v>
      </c>
      <c r="CR11" s="544">
        <v>0</v>
      </c>
      <c r="CS11" s="544">
        <v>0</v>
      </c>
      <c r="CT11" s="544">
        <v>0</v>
      </c>
      <c r="CU11" s="544">
        <v>0</v>
      </c>
      <c r="CV11" s="815"/>
      <c r="CW11" s="544">
        <f>134250+3356.25</f>
        <v>137606.25</v>
      </c>
      <c r="CX11" s="528">
        <f>-SUM(CL11:CW11)</f>
        <v>-137606.25</v>
      </c>
      <c r="CY11" s="522"/>
      <c r="CZ11" s="522"/>
      <c r="DA11" s="533"/>
      <c r="DB11" s="522"/>
      <c r="DC11" s="542"/>
      <c r="DD11" s="522"/>
      <c r="DE11" s="522"/>
      <c r="DF11" s="522"/>
      <c r="DG11" s="522"/>
      <c r="DH11" s="546"/>
      <c r="DI11" s="546"/>
      <c r="DJ11" s="546"/>
      <c r="DK11" s="519">
        <f t="shared" si="12"/>
        <v>0</v>
      </c>
      <c r="DL11" s="546">
        <v>0</v>
      </c>
      <c r="DM11" s="546">
        <v>0</v>
      </c>
      <c r="DN11" s="546">
        <v>0</v>
      </c>
      <c r="DO11" s="546">
        <v>0</v>
      </c>
      <c r="DP11" s="546">
        <v>0</v>
      </c>
      <c r="DQ11" s="546">
        <v>0</v>
      </c>
      <c r="DR11" s="546">
        <v>0</v>
      </c>
      <c r="DS11" s="546">
        <v>0</v>
      </c>
      <c r="DT11" s="546">
        <v>0</v>
      </c>
      <c r="DU11" s="546">
        <v>0</v>
      </c>
      <c r="DV11" s="546">
        <v>0</v>
      </c>
      <c r="DW11" s="546">
        <v>0</v>
      </c>
      <c r="DX11" s="519">
        <f t="shared" si="13"/>
        <v>0</v>
      </c>
      <c r="EK11" s="519">
        <f t="shared" si="14"/>
        <v>0</v>
      </c>
    </row>
    <row r="12" spans="2:142" ht="15">
      <c r="B12" s="480" t="s">
        <v>622</v>
      </c>
      <c r="C12" s="512"/>
      <c r="D12" s="512"/>
      <c r="E12" s="512"/>
      <c r="F12" s="513"/>
      <c r="G12" s="513"/>
      <c r="H12" s="513"/>
      <c r="I12" s="513"/>
      <c r="J12" s="513"/>
      <c r="K12" s="513"/>
      <c r="L12" s="513"/>
      <c r="M12" s="512"/>
      <c r="N12" s="512"/>
      <c r="O12" s="514"/>
      <c r="P12" s="515"/>
      <c r="Q12" s="515"/>
      <c r="R12" s="515"/>
      <c r="S12" s="515"/>
      <c r="T12" s="515"/>
      <c r="U12" s="515"/>
      <c r="V12" s="515"/>
      <c r="W12" s="516"/>
      <c r="X12" s="532"/>
      <c r="Y12" s="515"/>
      <c r="Z12" s="515"/>
      <c r="AA12" s="515"/>
      <c r="AB12" s="529"/>
      <c r="AC12" s="547"/>
      <c r="AD12" s="532"/>
      <c r="AE12" s="532"/>
      <c r="AF12" s="532"/>
      <c r="AG12" s="532"/>
      <c r="AH12" s="532"/>
      <c r="AI12" s="532"/>
      <c r="AJ12" s="532"/>
      <c r="AK12" s="531"/>
      <c r="AL12" s="532"/>
      <c r="AM12" s="532"/>
      <c r="AN12" s="532"/>
      <c r="AO12" s="532"/>
      <c r="AP12" s="532"/>
      <c r="AQ12" s="542"/>
      <c r="AR12" s="561"/>
      <c r="AS12" s="542"/>
      <c r="AT12" s="542"/>
      <c r="AU12" s="542"/>
      <c r="AV12" s="542"/>
      <c r="AW12" s="542"/>
      <c r="AX12" s="519"/>
      <c r="AY12" s="542"/>
      <c r="AZ12" s="542"/>
      <c r="BA12" s="542"/>
      <c r="BB12" s="542"/>
      <c r="BC12" s="542"/>
      <c r="BD12" s="542"/>
      <c r="BE12" s="542"/>
      <c r="BF12" s="542"/>
      <c r="BG12" s="542"/>
      <c r="BH12" s="542"/>
      <c r="BI12" s="542"/>
      <c r="BJ12" s="542"/>
      <c r="BK12" s="519"/>
      <c r="BL12" s="548"/>
      <c r="BM12" s="542"/>
      <c r="BN12" s="542"/>
      <c r="BO12" s="542"/>
      <c r="BP12" s="542"/>
      <c r="BQ12" s="542"/>
      <c r="BR12" s="542"/>
      <c r="BS12" s="542"/>
      <c r="BT12" s="542"/>
      <c r="BU12" s="542"/>
      <c r="BV12" s="542"/>
      <c r="BW12" s="542"/>
      <c r="BX12" s="519"/>
      <c r="BY12" s="542"/>
      <c r="BZ12" s="542"/>
      <c r="CA12" s="542"/>
      <c r="CB12" s="542"/>
      <c r="CC12" s="542"/>
      <c r="CD12" s="542"/>
      <c r="CE12" s="542"/>
      <c r="CF12" s="542"/>
      <c r="CG12" s="542"/>
      <c r="CH12" s="544"/>
      <c r="CI12" s="544"/>
      <c r="CJ12" s="542"/>
      <c r="CK12" s="528"/>
      <c r="CL12" s="544"/>
      <c r="CM12" s="544"/>
      <c r="CN12" s="544"/>
      <c r="CO12" s="544"/>
      <c r="CP12" s="544"/>
      <c r="CQ12" s="544"/>
      <c r="CR12" s="544"/>
      <c r="CS12" s="544"/>
      <c r="CT12" s="544"/>
      <c r="CU12" s="544"/>
      <c r="CV12" s="544">
        <v>-134250</v>
      </c>
      <c r="CW12" s="533"/>
      <c r="CX12" s="528">
        <f t="shared" si="11"/>
        <v>134250</v>
      </c>
      <c r="CY12" s="522"/>
      <c r="CZ12" s="541"/>
      <c r="DA12" s="541"/>
      <c r="DB12" s="522"/>
      <c r="DC12" s="542"/>
      <c r="DD12" s="522"/>
      <c r="DE12" s="522"/>
      <c r="DF12" s="533"/>
      <c r="DG12" s="522"/>
      <c r="DH12" s="546"/>
      <c r="DI12" s="546"/>
      <c r="DJ12" s="536">
        <f>4867.78</f>
        <v>4867.78</v>
      </c>
      <c r="DK12" s="519">
        <f t="shared" si="12"/>
        <v>-4867.78</v>
      </c>
      <c r="DL12" s="546"/>
      <c r="DM12" s="536">
        <f>134250</f>
        <v>134250</v>
      </c>
      <c r="DN12" s="546"/>
      <c r="DO12" s="546"/>
      <c r="DP12" s="546"/>
      <c r="DQ12" s="546"/>
      <c r="DR12" s="546"/>
      <c r="DS12" s="546"/>
      <c r="DT12" s="546"/>
      <c r="DU12" s="546"/>
      <c r="DV12" s="546"/>
      <c r="DW12" s="546"/>
      <c r="DX12" s="519">
        <f t="shared" si="13"/>
        <v>-134250</v>
      </c>
      <c r="EK12" s="519">
        <f t="shared" si="14"/>
        <v>0</v>
      </c>
    </row>
    <row r="13" spans="2:142" ht="15">
      <c r="B13" s="480" t="s">
        <v>633</v>
      </c>
      <c r="C13" s="512"/>
      <c r="D13" s="512"/>
      <c r="E13" s="512"/>
      <c r="F13" s="513"/>
      <c r="G13" s="513"/>
      <c r="H13" s="513"/>
      <c r="I13" s="513"/>
      <c r="J13" s="513"/>
      <c r="K13" s="513"/>
      <c r="L13" s="513"/>
      <c r="M13" s="512"/>
      <c r="N13" s="512"/>
      <c r="O13" s="514"/>
      <c r="P13" s="515"/>
      <c r="Q13" s="515"/>
      <c r="R13" s="515"/>
      <c r="S13" s="515"/>
      <c r="T13" s="515"/>
      <c r="U13" s="515"/>
      <c r="V13" s="515"/>
      <c r="W13" s="516"/>
      <c r="X13" s="532"/>
      <c r="Y13" s="515"/>
      <c r="Z13" s="515"/>
      <c r="AA13" s="515"/>
      <c r="AB13" s="529"/>
      <c r="AC13" s="547"/>
      <c r="AD13" s="532"/>
      <c r="AE13" s="532"/>
      <c r="AF13" s="532"/>
      <c r="AG13" s="532"/>
      <c r="AH13" s="532"/>
      <c r="AI13" s="532"/>
      <c r="AJ13" s="532"/>
      <c r="AK13" s="531"/>
      <c r="AL13" s="532"/>
      <c r="AM13" s="532"/>
      <c r="AN13" s="532"/>
      <c r="AO13" s="532"/>
      <c r="AP13" s="532"/>
      <c r="AQ13" s="542"/>
      <c r="AR13" s="561"/>
      <c r="AS13" s="542"/>
      <c r="AT13" s="542"/>
      <c r="AU13" s="542"/>
      <c r="AV13" s="542"/>
      <c r="AW13" s="542"/>
      <c r="AX13" s="519"/>
      <c r="AY13" s="542"/>
      <c r="AZ13" s="542"/>
      <c r="BA13" s="542"/>
      <c r="BB13" s="542"/>
      <c r="BC13" s="542"/>
      <c r="BD13" s="542"/>
      <c r="BE13" s="542"/>
      <c r="BF13" s="542"/>
      <c r="BG13" s="542"/>
      <c r="BH13" s="542"/>
      <c r="BI13" s="542"/>
      <c r="BJ13" s="542"/>
      <c r="BK13" s="519"/>
      <c r="BL13" s="548"/>
      <c r="BM13" s="542"/>
      <c r="BN13" s="542"/>
      <c r="BO13" s="542"/>
      <c r="BP13" s="542"/>
      <c r="BQ13" s="542"/>
      <c r="BR13" s="542"/>
      <c r="BS13" s="542"/>
      <c r="BT13" s="542"/>
      <c r="BU13" s="542"/>
      <c r="BV13" s="542"/>
      <c r="BW13" s="542"/>
      <c r="BX13" s="519"/>
      <c r="BY13" s="542"/>
      <c r="BZ13" s="542"/>
      <c r="CA13" s="542"/>
      <c r="CB13" s="542"/>
      <c r="CC13" s="542"/>
      <c r="CD13" s="542"/>
      <c r="CE13" s="542"/>
      <c r="CF13" s="542"/>
      <c r="CG13" s="542"/>
      <c r="CH13" s="544"/>
      <c r="CI13" s="544"/>
      <c r="CJ13" s="542"/>
      <c r="CK13" s="528">
        <f t="shared" si="10"/>
        <v>0</v>
      </c>
      <c r="CL13" s="544"/>
      <c r="CM13" s="544"/>
      <c r="CN13" s="544"/>
      <c r="CO13" s="544"/>
      <c r="CP13" s="544"/>
      <c r="CQ13" s="544"/>
      <c r="CR13" s="544"/>
      <c r="CS13" s="544"/>
      <c r="CT13" s="542">
        <f>-150000+210</f>
        <v>-149790</v>
      </c>
      <c r="CU13" s="533"/>
      <c r="CV13" s="544">
        <v>2228.0500000000002</v>
      </c>
      <c r="CW13" s="544">
        <v>2236.6</v>
      </c>
      <c r="CX13" s="528">
        <f t="shared" si="11"/>
        <v>145325.35</v>
      </c>
      <c r="CY13" s="544">
        <v>2245.1799999999998</v>
      </c>
      <c r="CZ13" s="544">
        <v>2253.79</v>
      </c>
      <c r="DA13" s="544">
        <v>2262.44</v>
      </c>
      <c r="DB13" s="544">
        <v>2271.12</v>
      </c>
      <c r="DC13" s="544">
        <v>2279.83</v>
      </c>
      <c r="DD13" s="544">
        <v>2288.58</v>
      </c>
      <c r="DE13" s="544">
        <v>2297.36</v>
      </c>
      <c r="DF13" s="544">
        <v>2306.1799999999998</v>
      </c>
      <c r="DG13" s="544">
        <v>2315.02</v>
      </c>
      <c r="DH13" s="536">
        <v>2323.91</v>
      </c>
      <c r="DI13" s="536">
        <v>2332.8200000000002</v>
      </c>
      <c r="DJ13" s="536">
        <v>2341.77</v>
      </c>
      <c r="DK13" s="519">
        <f t="shared" si="12"/>
        <v>-27518</v>
      </c>
      <c r="DL13" s="536">
        <v>2350.7600000000002</v>
      </c>
      <c r="DM13" s="536">
        <v>2359.7800000000002</v>
      </c>
      <c r="DN13" s="536">
        <v>2368.83</v>
      </c>
      <c r="DO13" s="536">
        <v>2377.92</v>
      </c>
      <c r="DP13" s="536">
        <v>2387.04</v>
      </c>
      <c r="DQ13" s="536">
        <v>2396.1999999999998</v>
      </c>
      <c r="DR13" s="536">
        <v>2405.39</v>
      </c>
      <c r="DS13" s="536">
        <v>2414.62</v>
      </c>
      <c r="DT13" s="536">
        <v>2423.89</v>
      </c>
      <c r="DU13" s="536">
        <v>2433.19</v>
      </c>
      <c r="DV13" s="536">
        <v>2442.52</v>
      </c>
      <c r="DW13" s="536">
        <v>2451.89</v>
      </c>
      <c r="DX13" s="519">
        <f t="shared" si="13"/>
        <v>-28812.03</v>
      </c>
      <c r="DY13" s="536">
        <v>2461.3000000000002</v>
      </c>
      <c r="DZ13" s="536">
        <v>2470.7399999999998</v>
      </c>
      <c r="EA13" s="536">
        <v>2480.2199999999998</v>
      </c>
      <c r="EB13" s="536">
        <v>2489.7399999999998</v>
      </c>
      <c r="EC13" s="536">
        <v>2499.29</v>
      </c>
      <c r="ED13" s="536">
        <v>2508.88</v>
      </c>
      <c r="EE13" s="536">
        <v>2518.5</v>
      </c>
      <c r="EF13" s="536">
        <v>2528.17</v>
      </c>
      <c r="EG13" s="536">
        <v>2537.87</v>
      </c>
      <c r="EH13" s="536">
        <v>2547.6</v>
      </c>
      <c r="EI13" s="536">
        <v>2557.39</v>
      </c>
      <c r="EJ13" s="536">
        <v>2567.19</v>
      </c>
      <c r="EK13" s="519">
        <f t="shared" si="14"/>
        <v>-30166.89</v>
      </c>
      <c r="EL13" s="536">
        <v>2577.0500000000002</v>
      </c>
    </row>
    <row r="14" spans="2:142" ht="15">
      <c r="B14" s="480" t="s">
        <v>616</v>
      </c>
      <c r="C14" s="512"/>
      <c r="D14" s="512"/>
      <c r="E14" s="512"/>
      <c r="F14" s="513"/>
      <c r="G14" s="513"/>
      <c r="H14" s="513"/>
      <c r="I14" s="513"/>
      <c r="J14" s="513"/>
      <c r="K14" s="513"/>
      <c r="L14" s="513"/>
      <c r="M14" s="512"/>
      <c r="N14" s="512"/>
      <c r="O14" s="514"/>
      <c r="P14" s="515"/>
      <c r="Q14" s="515"/>
      <c r="R14" s="515"/>
      <c r="S14" s="515"/>
      <c r="T14" s="515"/>
      <c r="U14" s="515"/>
      <c r="V14" s="515"/>
      <c r="W14" s="516"/>
      <c r="X14" s="532"/>
      <c r="Y14" s="515"/>
      <c r="Z14" s="515"/>
      <c r="AA14" s="515"/>
      <c r="AB14" s="529"/>
      <c r="AC14" s="547"/>
      <c r="AD14" s="532"/>
      <c r="AE14" s="532"/>
      <c r="AF14" s="532"/>
      <c r="AG14" s="532"/>
      <c r="AH14" s="532"/>
      <c r="AI14" s="532"/>
      <c r="AJ14" s="532"/>
      <c r="AK14" s="531"/>
      <c r="AL14" s="532"/>
      <c r="AM14" s="532"/>
      <c r="AN14" s="532"/>
      <c r="AO14" s="532"/>
      <c r="AP14" s="532"/>
      <c r="AQ14" s="542"/>
      <c r="AR14" s="561"/>
      <c r="AS14" s="542"/>
      <c r="AT14" s="542"/>
      <c r="AU14" s="542"/>
      <c r="AV14" s="542"/>
      <c r="AW14" s="542"/>
      <c r="AX14" s="519"/>
      <c r="AY14" s="542"/>
      <c r="AZ14" s="542"/>
      <c r="BA14" s="542"/>
      <c r="BB14" s="542"/>
      <c r="BC14" s="542"/>
      <c r="BD14" s="542"/>
      <c r="BE14" s="542"/>
      <c r="BF14" s="542"/>
      <c r="BG14" s="542"/>
      <c r="BH14" s="542"/>
      <c r="BI14" s="542"/>
      <c r="BJ14" s="542"/>
      <c r="BK14" s="519"/>
      <c r="BL14" s="548"/>
      <c r="BM14" s="542"/>
      <c r="BN14" s="542"/>
      <c r="BO14" s="542"/>
      <c r="BP14" s="542"/>
      <c r="BQ14" s="542"/>
      <c r="BR14" s="542"/>
      <c r="BS14" s="542"/>
      <c r="BT14" s="542"/>
      <c r="BU14" s="542"/>
      <c r="BV14" s="542"/>
      <c r="BW14" s="542"/>
      <c r="BX14" s="519"/>
      <c r="BY14" s="542"/>
      <c r="BZ14" s="542"/>
      <c r="CA14" s="542"/>
      <c r="CB14" s="542"/>
      <c r="CC14" s="542"/>
      <c r="CD14" s="542"/>
      <c r="CE14" s="542"/>
      <c r="CF14" s="542"/>
      <c r="CG14" s="542"/>
      <c r="CH14" s="544"/>
      <c r="CI14" s="544"/>
      <c r="CJ14" s="542"/>
      <c r="CK14" s="528">
        <f t="shared" si="10"/>
        <v>0</v>
      </c>
      <c r="CL14" s="544"/>
      <c r="CM14" s="544"/>
      <c r="CN14" s="544"/>
      <c r="CO14" s="544"/>
      <c r="CP14" s="544"/>
      <c r="CQ14" s="544"/>
      <c r="CR14" s="544"/>
      <c r="CS14" s="544"/>
      <c r="CT14" s="542"/>
      <c r="CU14" s="533"/>
      <c r="CV14" s="544"/>
      <c r="CW14" s="544"/>
      <c r="CX14" s="528"/>
      <c r="CY14" s="544"/>
      <c r="CZ14" s="544">
        <v>-150000</v>
      </c>
      <c r="DA14" s="533"/>
      <c r="DB14" s="533"/>
      <c r="DC14" s="544">
        <v>0</v>
      </c>
      <c r="DD14" s="533"/>
      <c r="DE14" s="533"/>
      <c r="DF14" s="533"/>
      <c r="DG14" s="533"/>
      <c r="DH14" s="536"/>
      <c r="DI14" s="536"/>
      <c r="DJ14" s="536"/>
      <c r="DK14" s="519">
        <f t="shared" si="12"/>
        <v>150000</v>
      </c>
      <c r="DL14" s="536"/>
      <c r="DM14" s="536"/>
      <c r="DN14" s="536"/>
      <c r="DO14" s="536"/>
      <c r="DP14" s="572">
        <f>73257.21+7137</f>
        <v>80394.210000000006</v>
      </c>
      <c r="DQ14" s="536"/>
      <c r="DR14" s="536"/>
      <c r="DS14" s="536"/>
      <c r="DT14" s="536"/>
      <c r="DU14" s="536"/>
      <c r="DV14" s="536"/>
      <c r="DW14" s="572"/>
      <c r="DX14" s="519">
        <f t="shared" si="13"/>
        <v>-80394.210000000006</v>
      </c>
      <c r="EC14" s="572">
        <f>76742.79+3651.42</f>
        <v>80394.209999999992</v>
      </c>
      <c r="EK14" s="519">
        <f t="shared" si="14"/>
        <v>-80394.209999999992</v>
      </c>
    </row>
    <row r="15" spans="2:142" ht="15">
      <c r="B15" s="480" t="s">
        <v>621</v>
      </c>
      <c r="C15" s="512"/>
      <c r="D15" s="512"/>
      <c r="E15" s="512"/>
      <c r="F15" s="513"/>
      <c r="G15" s="513"/>
      <c r="H15" s="513"/>
      <c r="I15" s="513"/>
      <c r="J15" s="513"/>
      <c r="K15" s="513"/>
      <c r="L15" s="513"/>
      <c r="M15" s="512"/>
      <c r="N15" s="512"/>
      <c r="O15" s="514"/>
      <c r="P15" s="515"/>
      <c r="Q15" s="515"/>
      <c r="R15" s="515"/>
      <c r="S15" s="515"/>
      <c r="T15" s="515"/>
      <c r="U15" s="515"/>
      <c r="V15" s="515"/>
      <c r="W15" s="516"/>
      <c r="X15" s="532"/>
      <c r="Y15" s="515"/>
      <c r="Z15" s="515"/>
      <c r="AA15" s="515"/>
      <c r="AB15" s="529"/>
      <c r="AC15" s="547"/>
      <c r="AD15" s="532"/>
      <c r="AE15" s="532"/>
      <c r="AF15" s="532"/>
      <c r="AG15" s="532"/>
      <c r="AH15" s="532"/>
      <c r="AI15" s="532"/>
      <c r="AJ15" s="532"/>
      <c r="AK15" s="531"/>
      <c r="AL15" s="532"/>
      <c r="AM15" s="532"/>
      <c r="AN15" s="532"/>
      <c r="AO15" s="532"/>
      <c r="AP15" s="532"/>
      <c r="AQ15" s="542"/>
      <c r="AR15" s="561"/>
      <c r="AS15" s="542"/>
      <c r="AT15" s="542"/>
      <c r="AU15" s="542"/>
      <c r="AV15" s="542"/>
      <c r="AW15" s="542"/>
      <c r="AX15" s="519"/>
      <c r="AY15" s="542"/>
      <c r="AZ15" s="542"/>
      <c r="BA15" s="542"/>
      <c r="BB15" s="542"/>
      <c r="BC15" s="542"/>
      <c r="BD15" s="542"/>
      <c r="BE15" s="542"/>
      <c r="BF15" s="542"/>
      <c r="BG15" s="542"/>
      <c r="BH15" s="542"/>
      <c r="BI15" s="542"/>
      <c r="BJ15" s="542"/>
      <c r="BK15" s="519"/>
      <c r="BL15" s="548"/>
      <c r="BM15" s="542"/>
      <c r="BN15" s="542"/>
      <c r="BO15" s="542"/>
      <c r="BP15" s="542"/>
      <c r="BQ15" s="542"/>
      <c r="BR15" s="542"/>
      <c r="BS15" s="542"/>
      <c r="BT15" s="542"/>
      <c r="BU15" s="542"/>
      <c r="BV15" s="542"/>
      <c r="BW15" s="542"/>
      <c r="BX15" s="519"/>
      <c r="BY15" s="542"/>
      <c r="BZ15" s="542"/>
      <c r="CA15" s="542"/>
      <c r="CB15" s="542"/>
      <c r="CC15" s="542"/>
      <c r="CD15" s="542"/>
      <c r="CE15" s="542"/>
      <c r="CF15" s="542"/>
      <c r="CG15" s="542"/>
      <c r="CH15" s="544"/>
      <c r="CI15" s="544"/>
      <c r="CJ15" s="542"/>
      <c r="CK15" s="528">
        <f t="shared" si="10"/>
        <v>0</v>
      </c>
      <c r="CL15" s="544"/>
      <c r="CM15" s="544"/>
      <c r="CN15" s="544"/>
      <c r="CO15" s="544"/>
      <c r="CP15" s="544"/>
      <c r="CQ15" s="815"/>
      <c r="CR15" s="541"/>
      <c r="CS15" s="541"/>
      <c r="CT15" s="541"/>
      <c r="CU15" s="541"/>
      <c r="CV15" s="544">
        <f>-110000*0-101124+2275.29</f>
        <v>-98848.71</v>
      </c>
      <c r="CW15" s="522"/>
      <c r="CX15" s="528">
        <f>-SUM(CL15:CW15)</f>
        <v>98848.71</v>
      </c>
      <c r="CY15" s="522"/>
      <c r="CZ15" s="522"/>
      <c r="DA15" s="522"/>
      <c r="DB15" s="522"/>
      <c r="DC15" s="522"/>
      <c r="DD15" s="522"/>
      <c r="DE15" s="522"/>
      <c r="DF15" s="522"/>
      <c r="DG15" s="522"/>
      <c r="DH15" s="546"/>
      <c r="DI15" s="546"/>
      <c r="DJ15" s="546"/>
      <c r="DK15" s="519">
        <f t="shared" si="12"/>
        <v>0</v>
      </c>
      <c r="DO15" s="546">
        <v>101124</v>
      </c>
      <c r="DX15" s="519">
        <f t="shared" si="13"/>
        <v>-101124</v>
      </c>
      <c r="EK15" s="519">
        <f t="shared" si="14"/>
        <v>0</v>
      </c>
    </row>
    <row r="16" spans="2:142" ht="15">
      <c r="B16" s="589" t="s">
        <v>484</v>
      </c>
      <c r="C16" s="512"/>
      <c r="D16" s="512"/>
      <c r="E16" s="512"/>
      <c r="F16" s="513"/>
      <c r="G16" s="513"/>
      <c r="H16" s="513"/>
      <c r="I16" s="513"/>
      <c r="J16" s="513"/>
      <c r="K16" s="513"/>
      <c r="L16" s="513"/>
      <c r="M16" s="512"/>
      <c r="N16" s="512"/>
      <c r="O16" s="514"/>
      <c r="P16" s="515"/>
      <c r="Q16" s="515"/>
      <c r="R16" s="515"/>
      <c r="S16" s="515"/>
      <c r="T16" s="515"/>
      <c r="U16" s="515"/>
      <c r="V16" s="515"/>
      <c r="W16" s="516"/>
      <c r="X16" s="532"/>
      <c r="Y16" s="515"/>
      <c r="Z16" s="515"/>
      <c r="AA16" s="515"/>
      <c r="AB16" s="529"/>
      <c r="AC16" s="547"/>
      <c r="AD16" s="532"/>
      <c r="AE16" s="532"/>
      <c r="AF16" s="532"/>
      <c r="AG16" s="532"/>
      <c r="AH16" s="532"/>
      <c r="AI16" s="532"/>
      <c r="AJ16" s="532"/>
      <c r="AK16" s="531"/>
      <c r="AL16" s="532"/>
      <c r="AM16" s="532"/>
      <c r="AN16" s="532"/>
      <c r="AO16" s="532"/>
      <c r="AP16" s="532"/>
      <c r="AQ16" s="542"/>
      <c r="AR16" s="561"/>
      <c r="AS16" s="542"/>
      <c r="AT16" s="542"/>
      <c r="AU16" s="542"/>
      <c r="AV16" s="542"/>
      <c r="AW16" s="542"/>
      <c r="AX16" s="519"/>
      <c r="AY16" s="542"/>
      <c r="AZ16" s="542"/>
      <c r="BA16" s="542"/>
      <c r="BB16" s="542"/>
      <c r="BC16" s="542"/>
      <c r="BD16" s="542"/>
      <c r="BE16" s="542"/>
      <c r="BF16" s="542"/>
      <c r="BG16" s="542"/>
      <c r="BH16" s="542"/>
      <c r="BI16" s="542"/>
      <c r="BJ16" s="542"/>
      <c r="BK16" s="519"/>
      <c r="BL16" s="548"/>
      <c r="BM16" s="542"/>
      <c r="BN16" s="542"/>
      <c r="BO16" s="542"/>
      <c r="BP16" s="542"/>
      <c r="BQ16" s="542"/>
      <c r="BR16" s="542"/>
      <c r="BS16" s="542"/>
      <c r="BT16" s="542"/>
      <c r="BU16" s="542"/>
      <c r="BV16" s="542"/>
      <c r="BW16" s="542"/>
      <c r="BX16" s="519"/>
      <c r="BY16" s="542">
        <v>0</v>
      </c>
      <c r="BZ16" s="542">
        <v>-75000</v>
      </c>
      <c r="CA16" s="542">
        <v>996.23</v>
      </c>
      <c r="CB16" s="542">
        <v>1001.3299999999999</v>
      </c>
      <c r="CC16" s="542">
        <v>997.32</v>
      </c>
      <c r="CD16" s="542">
        <v>993.12000000000012</v>
      </c>
      <c r="CE16" s="542">
        <v>970.32</v>
      </c>
      <c r="CF16" s="542">
        <f>368.68+628.45</f>
        <v>997.13000000000011</v>
      </c>
      <c r="CG16" s="542">
        <f>353.94+631.29</f>
        <v>985.23</v>
      </c>
      <c r="CH16" s="542">
        <f>633.16+361.46</f>
        <v>994.61999999999989</v>
      </c>
      <c r="CI16" s="542">
        <f>639.03+344.16</f>
        <v>983.19</v>
      </c>
      <c r="CJ16" s="542">
        <f>651.52+343.12</f>
        <v>994.64</v>
      </c>
      <c r="CK16" s="528">
        <f t="shared" si="10"/>
        <v>65086.869999999995</v>
      </c>
      <c r="CL16" s="544">
        <f>656.95+319.65</f>
        <v>976.6</v>
      </c>
      <c r="CM16" s="544">
        <f>670.48+292.31</f>
        <v>962.79</v>
      </c>
      <c r="CN16" s="544">
        <f>675.95+286.08</f>
        <v>962.03</v>
      </c>
      <c r="CO16" s="544">
        <f>683.81+263.06</f>
        <v>946.86999999999989</v>
      </c>
      <c r="CP16" s="544">
        <f>684.02+267.61</f>
        <v>951.63</v>
      </c>
      <c r="CQ16" s="544">
        <f>688.88+268.46</f>
        <v>957.33999999999992</v>
      </c>
      <c r="CR16" s="544">
        <f>691.54+234.63</f>
        <v>926.17</v>
      </c>
      <c r="CS16" s="544">
        <f>696.58+255.98</f>
        <v>952.56000000000006</v>
      </c>
      <c r="CT16" s="544">
        <f>704.39+229.89</f>
        <v>934.28</v>
      </c>
      <c r="CU16" s="544">
        <f>706.47+233.98</f>
        <v>940.45</v>
      </c>
      <c r="CV16" s="544">
        <f>709.02+223.84</f>
        <v>932.86</v>
      </c>
      <c r="CW16" s="544">
        <f>711.35+228.57</f>
        <v>939.92000000000007</v>
      </c>
      <c r="CX16" s="528">
        <f>-SUM(CL16:CW16)</f>
        <v>-11383.500000000002</v>
      </c>
      <c r="CY16" s="544">
        <f>712.36+227.1</f>
        <v>939.46</v>
      </c>
      <c r="CZ16" s="544">
        <f>713.86+220.36</f>
        <v>934.22</v>
      </c>
      <c r="DA16" s="544">
        <f>717.62+225.55</f>
        <v>943.17000000000007</v>
      </c>
      <c r="DB16" s="544">
        <f>719.17+216.94</f>
        <v>936.1099999999999</v>
      </c>
      <c r="DC16" s="544">
        <f>720.77+224.07</f>
        <v>944.83999999999992</v>
      </c>
      <c r="DD16" s="544">
        <f>724.56+220.94</f>
        <v>945.5</v>
      </c>
      <c r="DE16" s="544">
        <f>725.78+195.36</f>
        <v>921.14</v>
      </c>
      <c r="DF16" s="544">
        <f>717.15+234.06</f>
        <v>951.21</v>
      </c>
      <c r="DG16" s="544">
        <f>720.38+227.75</f>
        <v>948.13</v>
      </c>
      <c r="DH16" s="536">
        <v>932.86</v>
      </c>
      <c r="DI16" s="536">
        <v>932.86</v>
      </c>
      <c r="DJ16" s="536">
        <v>932.86</v>
      </c>
      <c r="DK16" s="519">
        <f t="shared" si="12"/>
        <v>-11262.360000000002</v>
      </c>
      <c r="DL16" s="536">
        <v>932.86</v>
      </c>
      <c r="DM16" s="536">
        <v>932.86</v>
      </c>
      <c r="DN16" s="536">
        <v>932.86</v>
      </c>
      <c r="DO16" s="536">
        <v>932.86</v>
      </c>
      <c r="DP16" s="536">
        <v>932.86</v>
      </c>
      <c r="DQ16" s="536">
        <v>932.86</v>
      </c>
      <c r="DR16" s="536">
        <v>932.86</v>
      </c>
      <c r="DS16" s="536">
        <v>932.86</v>
      </c>
      <c r="DT16" s="536">
        <v>932.86</v>
      </c>
      <c r="DU16" s="536">
        <v>932.86</v>
      </c>
      <c r="DV16" s="536">
        <v>932.86</v>
      </c>
      <c r="DW16" s="536">
        <v>932.86</v>
      </c>
      <c r="DX16" s="519">
        <f>-SUM(DL16:DW16)</f>
        <v>-11194.320000000002</v>
      </c>
      <c r="DY16" s="536">
        <v>932.86</v>
      </c>
      <c r="EK16" s="519">
        <f>-SUM(DY16:EJ16)</f>
        <v>-932.86</v>
      </c>
    </row>
    <row r="17" spans="2:142" ht="15">
      <c r="B17" s="589" t="s">
        <v>673</v>
      </c>
      <c r="C17" s="512"/>
      <c r="D17" s="512"/>
      <c r="E17" s="512"/>
      <c r="F17" s="513"/>
      <c r="G17" s="513"/>
      <c r="H17" s="513"/>
      <c r="I17" s="513"/>
      <c r="J17" s="513"/>
      <c r="K17" s="513"/>
      <c r="L17" s="513"/>
      <c r="M17" s="512"/>
      <c r="N17" s="512"/>
      <c r="O17" s="514"/>
      <c r="P17" s="515"/>
      <c r="Q17" s="515"/>
      <c r="R17" s="515"/>
      <c r="S17" s="515"/>
      <c r="T17" s="515"/>
      <c r="U17" s="515"/>
      <c r="V17" s="515"/>
      <c r="W17" s="516"/>
      <c r="X17" s="532"/>
      <c r="Y17" s="515"/>
      <c r="Z17" s="515"/>
      <c r="AA17" s="515"/>
      <c r="AB17" s="529"/>
      <c r="AC17" s="547"/>
      <c r="AD17" s="532"/>
      <c r="AE17" s="532"/>
      <c r="AF17" s="532"/>
      <c r="AG17" s="532"/>
      <c r="AH17" s="532"/>
      <c r="AI17" s="532"/>
      <c r="AJ17" s="532"/>
      <c r="AK17" s="531"/>
      <c r="AL17" s="532"/>
      <c r="AM17" s="532"/>
      <c r="AN17" s="532"/>
      <c r="AO17" s="532"/>
      <c r="AP17" s="532"/>
      <c r="AQ17" s="542"/>
      <c r="AR17" s="561"/>
      <c r="AS17" s="542"/>
      <c r="AT17" s="542"/>
      <c r="AU17" s="542"/>
      <c r="AV17" s="542"/>
      <c r="AW17" s="542"/>
      <c r="AX17" s="519"/>
      <c r="AY17" s="542"/>
      <c r="AZ17" s="542"/>
      <c r="BA17" s="542"/>
      <c r="BB17" s="542"/>
      <c r="BC17" s="542"/>
      <c r="BD17" s="542"/>
      <c r="BE17" s="542"/>
      <c r="BF17" s="542"/>
      <c r="BG17" s="542"/>
      <c r="BH17" s="542"/>
      <c r="BI17" s="542"/>
      <c r="BJ17" s="542"/>
      <c r="BK17" s="519"/>
      <c r="BL17" s="548"/>
      <c r="BM17" s="542"/>
      <c r="BN17" s="542"/>
      <c r="BO17" s="542"/>
      <c r="BP17" s="542"/>
      <c r="BQ17" s="542"/>
      <c r="BR17" s="542"/>
      <c r="BS17" s="542"/>
      <c r="BT17" s="542"/>
      <c r="BU17" s="542"/>
      <c r="BV17" s="542"/>
      <c r="BW17" s="542"/>
      <c r="BX17" s="519"/>
      <c r="BY17" s="542"/>
      <c r="BZ17" s="542"/>
      <c r="CA17" s="542"/>
      <c r="CB17" s="542"/>
      <c r="CC17" s="542"/>
      <c r="CD17" s="542"/>
      <c r="CE17" s="542"/>
      <c r="CF17" s="542"/>
      <c r="CG17" s="542"/>
      <c r="CH17" s="542"/>
      <c r="CI17" s="542"/>
      <c r="CJ17" s="542"/>
      <c r="CK17" s="528"/>
      <c r="CL17" s="544"/>
      <c r="CM17" s="544"/>
      <c r="CN17" s="544"/>
      <c r="CO17" s="544"/>
      <c r="CP17" s="544"/>
      <c r="CQ17" s="544"/>
      <c r="CR17" s="544"/>
      <c r="CS17" s="544"/>
      <c r="CT17" s="544"/>
      <c r="CU17" s="544"/>
      <c r="CV17" s="544"/>
      <c r="CW17" s="544"/>
      <c r="CX17" s="528"/>
      <c r="CY17" s="544"/>
      <c r="CZ17" s="544"/>
      <c r="DA17" s="544"/>
      <c r="DB17" s="544"/>
      <c r="DC17" s="544"/>
      <c r="DD17" s="544"/>
      <c r="DE17" s="544">
        <v>-151900</v>
      </c>
      <c r="DF17" s="544">
        <v>696.39</v>
      </c>
      <c r="DG17" s="533"/>
      <c r="DH17" s="536">
        <f>1012.85*2</f>
        <v>2025.7</v>
      </c>
      <c r="DI17" s="536">
        <v>1012.85</v>
      </c>
      <c r="DJ17" s="536">
        <v>1012.85</v>
      </c>
      <c r="DK17" s="519">
        <f t="shared" si="12"/>
        <v>147152.20999999996</v>
      </c>
      <c r="DL17" s="536">
        <v>1012.85</v>
      </c>
      <c r="DM17" s="536">
        <v>1012.85</v>
      </c>
      <c r="DN17" s="536">
        <v>1012.85</v>
      </c>
      <c r="DO17" s="536">
        <v>1012.85</v>
      </c>
      <c r="DP17" s="536">
        <v>1012.85</v>
      </c>
      <c r="DQ17" s="536">
        <v>1012.85</v>
      </c>
      <c r="DR17" s="536">
        <v>1012.85</v>
      </c>
      <c r="DS17" s="536">
        <v>1012.85</v>
      </c>
      <c r="DT17" s="536">
        <v>1012.85</v>
      </c>
      <c r="DU17" s="536">
        <v>1012.85</v>
      </c>
      <c r="DV17" s="536">
        <v>1012.85</v>
      </c>
      <c r="DW17" s="536">
        <v>1012.85</v>
      </c>
      <c r="DX17" s="519">
        <f t="shared" ref="DX17:DX18" si="15">-SUM(DL17:DW17)</f>
        <v>-12154.200000000003</v>
      </c>
      <c r="DY17" s="536">
        <v>1012.85</v>
      </c>
      <c r="DZ17" s="536">
        <v>1012.85</v>
      </c>
      <c r="EA17" s="536">
        <v>1012.85</v>
      </c>
      <c r="EB17" s="536">
        <v>1012.85</v>
      </c>
      <c r="EC17" s="536">
        <v>1012.85</v>
      </c>
      <c r="ED17" s="536">
        <v>1012.85</v>
      </c>
      <c r="EE17" s="536">
        <v>1012.85</v>
      </c>
      <c r="EF17" s="536">
        <v>1012.85</v>
      </c>
      <c r="EG17" s="536">
        <v>1012.85</v>
      </c>
      <c r="EH17" s="536">
        <v>1012.85</v>
      </c>
      <c r="EI17" s="536">
        <v>1012.85</v>
      </c>
      <c r="EJ17" s="536">
        <v>1012.85</v>
      </c>
      <c r="EK17" s="519">
        <f>-SUM(DY17:EJ17)</f>
        <v>-12154.200000000003</v>
      </c>
    </row>
    <row r="18" spans="2:142" ht="15.75" thickBot="1">
      <c r="B18" s="589" t="s">
        <v>610</v>
      </c>
      <c r="C18" s="512"/>
      <c r="D18" s="512"/>
      <c r="E18" s="512"/>
      <c r="F18" s="513"/>
      <c r="G18" s="513"/>
      <c r="H18" s="513"/>
      <c r="I18" s="513"/>
      <c r="J18" s="513"/>
      <c r="K18" s="513"/>
      <c r="L18" s="513"/>
      <c r="M18" s="512"/>
      <c r="N18" s="512"/>
      <c r="O18" s="514"/>
      <c r="P18" s="515"/>
      <c r="Q18" s="515"/>
      <c r="R18" s="515"/>
      <c r="S18" s="515"/>
      <c r="T18" s="515"/>
      <c r="U18" s="515"/>
      <c r="V18" s="515"/>
      <c r="W18" s="516"/>
      <c r="X18" s="532"/>
      <c r="Y18" s="515"/>
      <c r="Z18" s="515"/>
      <c r="AA18" s="515"/>
      <c r="AB18" s="529"/>
      <c r="AC18" s="547"/>
      <c r="AD18" s="532"/>
      <c r="AE18" s="532"/>
      <c r="AF18" s="532"/>
      <c r="AG18" s="532"/>
      <c r="AH18" s="532"/>
      <c r="AI18" s="532"/>
      <c r="AJ18" s="532"/>
      <c r="AK18" s="531"/>
      <c r="AL18" s="532"/>
      <c r="AM18" s="532"/>
      <c r="AN18" s="532"/>
      <c r="AO18" s="532"/>
      <c r="AP18" s="532"/>
      <c r="AQ18" s="542"/>
      <c r="AR18" s="561"/>
      <c r="AS18" s="542"/>
      <c r="AT18" s="542"/>
      <c r="AU18" s="542"/>
      <c r="AV18" s="542"/>
      <c r="AW18" s="542"/>
      <c r="AX18" s="519"/>
      <c r="AY18" s="542"/>
      <c r="AZ18" s="542"/>
      <c r="BA18" s="542"/>
      <c r="BB18" s="542"/>
      <c r="BC18" s="542"/>
      <c r="BD18" s="542"/>
      <c r="BE18" s="542"/>
      <c r="BF18" s="542"/>
      <c r="BG18" s="542"/>
      <c r="BH18" s="542"/>
      <c r="BI18" s="542"/>
      <c r="BJ18" s="542"/>
      <c r="BK18" s="519"/>
      <c r="BL18" s="548"/>
      <c r="BM18" s="542"/>
      <c r="BN18" s="542"/>
      <c r="BO18" s="542"/>
      <c r="BP18" s="542"/>
      <c r="BQ18" s="542"/>
      <c r="BR18" s="542"/>
      <c r="BS18" s="542"/>
      <c r="BT18" s="542"/>
      <c r="BU18" s="542"/>
      <c r="BV18" s="542"/>
      <c r="BW18" s="542"/>
      <c r="BX18" s="519"/>
      <c r="BY18" s="542"/>
      <c r="BZ18" s="542"/>
      <c r="CA18" s="542"/>
      <c r="CB18" s="542"/>
      <c r="CC18" s="542"/>
      <c r="CD18" s="542"/>
      <c r="CE18" s="542"/>
      <c r="CF18" s="542"/>
      <c r="CG18" s="542"/>
      <c r="CH18" s="542"/>
      <c r="CI18" s="542"/>
      <c r="CJ18" s="542"/>
      <c r="CK18" s="528">
        <f t="shared" si="10"/>
        <v>0</v>
      </c>
      <c r="CL18" s="544"/>
      <c r="CM18" s="544"/>
      <c r="CN18" s="544"/>
      <c r="CO18" s="544"/>
      <c r="CP18" s="544"/>
      <c r="CQ18" s="544"/>
      <c r="CR18" s="544"/>
      <c r="CS18" s="544">
        <f>-90000</f>
        <v>-90000</v>
      </c>
      <c r="CT18" s="533"/>
      <c r="CU18" s="533"/>
      <c r="CV18" s="544">
        <f>90000</f>
        <v>90000</v>
      </c>
      <c r="CW18" s="541"/>
      <c r="CX18" s="528">
        <f t="shared" ref="CX18:CX28" si="16">-SUM(CL18:CW18)</f>
        <v>0</v>
      </c>
      <c r="CY18" s="522"/>
      <c r="CZ18" s="544">
        <v>-16205.05</v>
      </c>
      <c r="DA18" s="544">
        <v>5401.68</v>
      </c>
      <c r="DB18" s="544">
        <v>5401.68</v>
      </c>
      <c r="DC18" s="544">
        <v>5401.69</v>
      </c>
      <c r="DD18" s="522"/>
      <c r="DE18" s="544">
        <v>-100000</v>
      </c>
      <c r="DF18" s="544">
        <f>100000/3</f>
        <v>33333.333333333336</v>
      </c>
      <c r="DG18" s="544">
        <f>100000/3</f>
        <v>33333.333333333336</v>
      </c>
      <c r="DH18" s="572">
        <f>100000/3</f>
        <v>33333.333333333336</v>
      </c>
      <c r="DI18" s="546"/>
      <c r="DJ18" s="546"/>
      <c r="DK18" s="519">
        <f t="shared" si="12"/>
        <v>0</v>
      </c>
      <c r="DX18" s="519">
        <f t="shared" si="15"/>
        <v>0</v>
      </c>
      <c r="EK18" s="519">
        <f t="shared" ref="EK18:EK22" si="17">-SUM(DY18:EJ18)</f>
        <v>0</v>
      </c>
    </row>
    <row r="19" spans="2:142" ht="15.75" thickBot="1">
      <c r="B19" s="589" t="s">
        <v>511</v>
      </c>
      <c r="C19" s="512"/>
      <c r="D19" s="512"/>
      <c r="E19" s="512"/>
      <c r="F19" s="513"/>
      <c r="G19" s="513"/>
      <c r="H19" s="513"/>
      <c r="I19" s="513"/>
      <c r="J19" s="513"/>
      <c r="K19" s="513"/>
      <c r="L19" s="513"/>
      <c r="M19" s="512"/>
      <c r="N19" s="512"/>
      <c r="O19" s="514"/>
      <c r="P19" s="515"/>
      <c r="Q19" s="515"/>
      <c r="R19" s="515"/>
      <c r="S19" s="515"/>
      <c r="T19" s="515"/>
      <c r="U19" s="515"/>
      <c r="V19" s="515"/>
      <c r="W19" s="516"/>
      <c r="X19" s="532"/>
      <c r="Y19" s="515"/>
      <c r="Z19" s="515"/>
      <c r="AA19" s="515"/>
      <c r="AB19" s="529"/>
      <c r="AC19" s="547"/>
      <c r="AD19" s="532"/>
      <c r="AE19" s="532"/>
      <c r="AF19" s="532"/>
      <c r="AG19" s="532"/>
      <c r="AH19" s="532"/>
      <c r="AI19" s="532"/>
      <c r="AJ19" s="532"/>
      <c r="AK19" s="531"/>
      <c r="AL19" s="532"/>
      <c r="AM19" s="532"/>
      <c r="AN19" s="532"/>
      <c r="AO19" s="532"/>
      <c r="AP19" s="532"/>
      <c r="AQ19" s="542"/>
      <c r="AR19" s="561"/>
      <c r="AS19" s="542"/>
      <c r="AT19" s="542"/>
      <c r="AU19" s="542"/>
      <c r="AV19" s="542"/>
      <c r="AW19" s="542"/>
      <c r="AX19" s="519"/>
      <c r="AY19" s="542"/>
      <c r="AZ19" s="542"/>
      <c r="BA19" s="542"/>
      <c r="BB19" s="542"/>
      <c r="BC19" s="542"/>
      <c r="BD19" s="542"/>
      <c r="BE19" s="542"/>
      <c r="BF19" s="542"/>
      <c r="BG19" s="542"/>
      <c r="BH19" s="542"/>
      <c r="BI19" s="542"/>
      <c r="BJ19" s="542"/>
      <c r="BK19" s="519"/>
      <c r="BL19" s="548"/>
      <c r="BM19" s="542"/>
      <c r="BN19" s="542"/>
      <c r="BO19" s="542"/>
      <c r="BP19" s="542"/>
      <c r="BQ19" s="542"/>
      <c r="BR19" s="542"/>
      <c r="BS19" s="542"/>
      <c r="BT19" s="542"/>
      <c r="BU19" s="542"/>
      <c r="BV19" s="542"/>
      <c r="BW19" s="542"/>
      <c r="BX19" s="519"/>
      <c r="BY19" s="542"/>
      <c r="BZ19" s="81">
        <f>11.11</f>
        <v>11.11</v>
      </c>
      <c r="CA19" s="542"/>
      <c r="CB19" s="542"/>
      <c r="CC19" s="81">
        <v>255.56</v>
      </c>
      <c r="CD19" s="542"/>
      <c r="CE19" s="522"/>
      <c r="CF19" s="560">
        <v>272.87</v>
      </c>
      <c r="CG19" s="542"/>
      <c r="CH19" s="533"/>
      <c r="CI19" s="560">
        <f>140.96+612.25</f>
        <v>753.21</v>
      </c>
      <c r="CJ19" s="544"/>
      <c r="CK19" s="528">
        <f t="shared" si="10"/>
        <v>-1292.75</v>
      </c>
      <c r="CL19" s="808">
        <v>1000</v>
      </c>
      <c r="CM19" s="806">
        <f>107.8+770.92</f>
        <v>878.71999999999991</v>
      </c>
      <c r="CN19" s="533"/>
      <c r="CO19" s="544"/>
      <c r="CP19" s="819">
        <v>644.37</v>
      </c>
      <c r="CQ19" s="533"/>
      <c r="CR19" s="533"/>
      <c r="CS19" s="544">
        <v>370.23</v>
      </c>
      <c r="CT19" s="533"/>
      <c r="CU19" s="533"/>
      <c r="CV19" s="544">
        <f>147.9+432.19</f>
        <v>580.09</v>
      </c>
      <c r="CW19" s="533"/>
      <c r="CX19" s="528">
        <f t="shared" si="16"/>
        <v>-3473.41</v>
      </c>
      <c r="CY19" s="522"/>
      <c r="CZ19" s="544">
        <f>236.74+70.89+2.78</f>
        <v>310.40999999999997</v>
      </c>
      <c r="DA19" s="522"/>
      <c r="DB19" s="522"/>
      <c r="DC19" s="544">
        <f>250</f>
        <v>250</v>
      </c>
      <c r="DD19" s="522"/>
      <c r="DE19" s="522"/>
      <c r="DF19" s="544">
        <f>165.11+354.91</f>
        <v>520.02</v>
      </c>
      <c r="DG19" s="522"/>
      <c r="DH19" s="546"/>
      <c r="DI19" s="546"/>
      <c r="DJ19" s="546"/>
      <c r="DK19" s="519">
        <f t="shared" si="12"/>
        <v>-1080.4299999999998</v>
      </c>
      <c r="DM19" s="794">
        <v>100000</v>
      </c>
      <c r="DX19" s="519">
        <f t="shared" ref="DX19:DX23" si="18">-SUM(DL19:DW19)</f>
        <v>-100000</v>
      </c>
      <c r="EK19" s="519">
        <f t="shared" si="17"/>
        <v>0</v>
      </c>
    </row>
    <row r="20" spans="2:142" ht="15">
      <c r="B20" s="589" t="s">
        <v>666</v>
      </c>
      <c r="C20" s="512"/>
      <c r="D20" s="512"/>
      <c r="E20" s="512"/>
      <c r="F20" s="513"/>
      <c r="G20" s="513"/>
      <c r="H20" s="513"/>
      <c r="I20" s="513"/>
      <c r="J20" s="513"/>
      <c r="K20" s="513"/>
      <c r="L20" s="513"/>
      <c r="M20" s="512"/>
      <c r="N20" s="512"/>
      <c r="O20" s="514"/>
      <c r="P20" s="515"/>
      <c r="Q20" s="515"/>
      <c r="R20" s="515"/>
      <c r="S20" s="515"/>
      <c r="T20" s="515"/>
      <c r="U20" s="515"/>
      <c r="V20" s="515"/>
      <c r="W20" s="516"/>
      <c r="X20" s="532"/>
      <c r="Y20" s="515"/>
      <c r="Z20" s="515"/>
      <c r="AA20" s="515"/>
      <c r="AB20" s="529"/>
      <c r="AC20" s="547"/>
      <c r="AD20" s="532"/>
      <c r="AE20" s="532"/>
      <c r="AF20" s="532"/>
      <c r="AG20" s="532"/>
      <c r="AH20" s="532"/>
      <c r="AI20" s="532"/>
      <c r="AJ20" s="532"/>
      <c r="AK20" s="531"/>
      <c r="AL20" s="532"/>
      <c r="AM20" s="532"/>
      <c r="AN20" s="532"/>
      <c r="AO20" s="532"/>
      <c r="AP20" s="532"/>
      <c r="AQ20" s="542"/>
      <c r="AR20" s="561"/>
      <c r="AS20" s="542"/>
      <c r="AT20" s="542"/>
      <c r="AU20" s="542"/>
      <c r="AV20" s="542"/>
      <c r="AW20" s="542"/>
      <c r="AX20" s="519"/>
      <c r="AY20" s="542"/>
      <c r="AZ20" s="542"/>
      <c r="BA20" s="542"/>
      <c r="BB20" s="542"/>
      <c r="BC20" s="542"/>
      <c r="BD20" s="542"/>
      <c r="BE20" s="542"/>
      <c r="BF20" s="542"/>
      <c r="BG20" s="542"/>
      <c r="BH20" s="542"/>
      <c r="BI20" s="542"/>
      <c r="BJ20" s="542"/>
      <c r="BK20" s="519"/>
      <c r="BL20" s="548"/>
      <c r="BM20" s="542"/>
      <c r="BN20" s="542"/>
      <c r="BO20" s="542"/>
      <c r="BP20" s="542"/>
      <c r="BQ20" s="542"/>
      <c r="BR20" s="542"/>
      <c r="BS20" s="542"/>
      <c r="BT20" s="542"/>
      <c r="BU20" s="542"/>
      <c r="BV20" s="542"/>
      <c r="BW20" s="542"/>
      <c r="BX20" s="519"/>
      <c r="BY20" s="542"/>
      <c r="BZ20" s="81"/>
      <c r="CA20" s="542"/>
      <c r="CB20" s="542"/>
      <c r="CC20" s="81"/>
      <c r="CD20" s="542"/>
      <c r="CE20" s="522"/>
      <c r="CF20" s="560"/>
      <c r="CG20" s="542"/>
      <c r="CH20" s="533"/>
      <c r="CI20" s="560"/>
      <c r="CJ20" s="544"/>
      <c r="CK20" s="528">
        <f t="shared" si="10"/>
        <v>0</v>
      </c>
      <c r="CL20" s="808"/>
      <c r="CM20" s="806"/>
      <c r="CN20" s="533"/>
      <c r="CO20" s="544"/>
      <c r="CP20" s="819"/>
      <c r="CQ20" s="533"/>
      <c r="CR20" s="533"/>
      <c r="CS20" s="544"/>
      <c r="CT20" s="541"/>
      <c r="CU20" s="544">
        <v>113.52</v>
      </c>
      <c r="CV20" s="544">
        <v>575.5</v>
      </c>
      <c r="CW20" s="544">
        <v>566.95000000000005</v>
      </c>
      <c r="CX20" s="528">
        <f t="shared" si="16"/>
        <v>-1255.97</v>
      </c>
      <c r="CY20" s="544">
        <v>558.37</v>
      </c>
      <c r="CZ20" s="544">
        <v>549.76</v>
      </c>
      <c r="DA20" s="544">
        <v>541.11</v>
      </c>
      <c r="DB20" s="544">
        <v>532.42999999999995</v>
      </c>
      <c r="DC20" s="544">
        <v>523.72</v>
      </c>
      <c r="DD20" s="544">
        <v>514.97</v>
      </c>
      <c r="DE20" s="544">
        <v>506.19</v>
      </c>
      <c r="DF20" s="544">
        <v>497.37</v>
      </c>
      <c r="DG20" s="544">
        <v>488.53</v>
      </c>
      <c r="DH20" s="536">
        <v>479.64</v>
      </c>
      <c r="DI20" s="536">
        <v>470.73</v>
      </c>
      <c r="DJ20" s="536">
        <v>461.78</v>
      </c>
      <c r="DK20" s="519">
        <f t="shared" si="12"/>
        <v>-6124.6000000000013</v>
      </c>
      <c r="DL20" s="552">
        <v>452.79</v>
      </c>
      <c r="DM20" s="552">
        <v>443.77</v>
      </c>
      <c r="DN20" s="552">
        <v>434.72</v>
      </c>
      <c r="DO20" s="552">
        <v>425.63</v>
      </c>
      <c r="DP20" s="552">
        <v>416.51</v>
      </c>
      <c r="DQ20" s="552">
        <v>407.35</v>
      </c>
      <c r="DR20" s="552">
        <v>398.16</v>
      </c>
      <c r="DS20" s="552">
        <v>388.93</v>
      </c>
      <c r="DT20" s="552">
        <v>379.66</v>
      </c>
      <c r="DU20" s="552">
        <v>370.36</v>
      </c>
      <c r="DV20" s="552">
        <v>361.03</v>
      </c>
      <c r="DW20" s="552">
        <v>351.66</v>
      </c>
      <c r="DX20" s="519">
        <f t="shared" si="18"/>
        <v>-4830.5699999999988</v>
      </c>
      <c r="DY20" s="552">
        <v>342.25</v>
      </c>
      <c r="DZ20" s="552">
        <v>332.81</v>
      </c>
      <c r="EA20" s="552">
        <v>323.33</v>
      </c>
      <c r="EB20" s="552">
        <v>313.8</v>
      </c>
      <c r="EC20" s="552">
        <v>304.26</v>
      </c>
      <c r="ED20" s="552">
        <v>294.67</v>
      </c>
      <c r="EE20" s="552">
        <v>285.05</v>
      </c>
      <c r="EF20" s="552">
        <v>275.38</v>
      </c>
      <c r="EG20" s="552">
        <v>265.68</v>
      </c>
      <c r="EH20" s="552">
        <v>255.95</v>
      </c>
      <c r="EI20" s="552">
        <v>246.17</v>
      </c>
      <c r="EJ20" s="552">
        <v>236.36</v>
      </c>
      <c r="EK20" s="519">
        <f t="shared" si="17"/>
        <v>-3475.71</v>
      </c>
      <c r="EL20" s="552">
        <v>226.51</v>
      </c>
    </row>
    <row r="21" spans="2:142" ht="15">
      <c r="B21" s="589" t="s">
        <v>667</v>
      </c>
      <c r="C21" s="512"/>
      <c r="D21" s="512"/>
      <c r="E21" s="512"/>
      <c r="F21" s="513"/>
      <c r="G21" s="513"/>
      <c r="H21" s="513"/>
      <c r="I21" s="513"/>
      <c r="J21" s="513"/>
      <c r="K21" s="513"/>
      <c r="L21" s="513"/>
      <c r="M21" s="512"/>
      <c r="N21" s="512"/>
      <c r="O21" s="514"/>
      <c r="P21" s="515"/>
      <c r="Q21" s="515"/>
      <c r="R21" s="515"/>
      <c r="S21" s="515"/>
      <c r="T21" s="515"/>
      <c r="U21" s="515"/>
      <c r="V21" s="515"/>
      <c r="W21" s="516"/>
      <c r="X21" s="532"/>
      <c r="Y21" s="515"/>
      <c r="Z21" s="515"/>
      <c r="AA21" s="515"/>
      <c r="AB21" s="529"/>
      <c r="AC21" s="547"/>
      <c r="AD21" s="532"/>
      <c r="AE21" s="532"/>
      <c r="AF21" s="532"/>
      <c r="AG21" s="532"/>
      <c r="AH21" s="532"/>
      <c r="AI21" s="532"/>
      <c r="AJ21" s="532"/>
      <c r="AK21" s="531"/>
      <c r="AL21" s="532"/>
      <c r="AM21" s="532"/>
      <c r="AN21" s="532"/>
      <c r="AO21" s="532"/>
      <c r="AP21" s="532"/>
      <c r="AQ21" s="542"/>
      <c r="AR21" s="561"/>
      <c r="AS21" s="542"/>
      <c r="AT21" s="542"/>
      <c r="AU21" s="542"/>
      <c r="AV21" s="542"/>
      <c r="AW21" s="542"/>
      <c r="AX21" s="519"/>
      <c r="AY21" s="542"/>
      <c r="AZ21" s="542"/>
      <c r="BA21" s="542"/>
      <c r="BB21" s="542"/>
      <c r="BC21" s="542"/>
      <c r="BD21" s="542"/>
      <c r="BE21" s="542"/>
      <c r="BF21" s="542"/>
      <c r="BG21" s="542"/>
      <c r="BH21" s="542"/>
      <c r="BI21" s="542"/>
      <c r="BJ21" s="542"/>
      <c r="BK21" s="519"/>
      <c r="BL21" s="548"/>
      <c r="BM21" s="542"/>
      <c r="BN21" s="542"/>
      <c r="BO21" s="542"/>
      <c r="BP21" s="542"/>
      <c r="BQ21" s="542"/>
      <c r="BR21" s="542"/>
      <c r="BS21" s="542"/>
      <c r="BT21" s="542"/>
      <c r="BU21" s="542"/>
      <c r="BV21" s="542"/>
      <c r="BW21" s="542"/>
      <c r="BX21" s="519"/>
      <c r="BY21" s="542"/>
      <c r="BZ21" s="81"/>
      <c r="CA21" s="542"/>
      <c r="CB21" s="542"/>
      <c r="CC21" s="81"/>
      <c r="CD21" s="542"/>
      <c r="CE21" s="522"/>
      <c r="CF21" s="560"/>
      <c r="CG21" s="542"/>
      <c r="CH21" s="533"/>
      <c r="CI21" s="560"/>
      <c r="CJ21" s="544"/>
      <c r="CK21" s="528">
        <f t="shared" si="10"/>
        <v>0</v>
      </c>
      <c r="CL21" s="808"/>
      <c r="CM21" s="806"/>
      <c r="CN21" s="533"/>
      <c r="CO21" s="544"/>
      <c r="CP21" s="819"/>
      <c r="CQ21" s="533"/>
      <c r="CR21" s="533"/>
      <c r="CS21" s="544"/>
      <c r="CT21" s="541"/>
      <c r="CU21" s="544"/>
      <c r="CV21" s="544"/>
      <c r="CW21" s="544"/>
      <c r="CX21" s="528">
        <f t="shared" si="16"/>
        <v>0</v>
      </c>
      <c r="CY21" s="544"/>
      <c r="CZ21" s="544"/>
      <c r="DA21" s="544"/>
      <c r="DB21" s="544"/>
      <c r="DC21" s="544">
        <v>1664.38</v>
      </c>
      <c r="DD21" s="533"/>
      <c r="DE21" s="533"/>
      <c r="DF21" s="533"/>
      <c r="DG21" s="533"/>
      <c r="DH21" s="536"/>
      <c r="DI21" s="536"/>
      <c r="DJ21" s="536"/>
      <c r="DK21" s="519">
        <f t="shared" si="12"/>
        <v>-1664.38</v>
      </c>
      <c r="DL21" s="552"/>
      <c r="DM21" s="552"/>
      <c r="DN21" s="552"/>
      <c r="DO21" s="552"/>
      <c r="DP21" s="552"/>
      <c r="DQ21" s="552"/>
      <c r="DR21" s="552"/>
      <c r="DS21" s="552"/>
      <c r="DT21" s="552"/>
      <c r="DU21" s="552"/>
      <c r="DV21" s="552"/>
      <c r="DW21" s="552"/>
      <c r="DX21" s="519">
        <f t="shared" si="18"/>
        <v>0</v>
      </c>
      <c r="DY21" s="552"/>
      <c r="DZ21" s="552"/>
      <c r="EA21" s="552"/>
      <c r="EB21" s="552"/>
      <c r="EC21" s="552"/>
      <c r="ED21" s="552"/>
      <c r="EE21" s="552"/>
      <c r="EF21" s="552"/>
      <c r="EG21" s="552"/>
      <c r="EH21" s="552"/>
      <c r="EI21" s="552"/>
      <c r="EJ21" s="552"/>
      <c r="EK21" s="519"/>
      <c r="EL21" s="552"/>
    </row>
    <row r="22" spans="2:142" ht="15.75" thickBot="1">
      <c r="B22" s="589" t="s">
        <v>512</v>
      </c>
      <c r="C22" s="512"/>
      <c r="D22" s="512"/>
      <c r="E22" s="512"/>
      <c r="F22" s="513"/>
      <c r="G22" s="513"/>
      <c r="H22" s="513"/>
      <c r="I22" s="513"/>
      <c r="J22" s="513"/>
      <c r="K22" s="513"/>
      <c r="L22" s="513"/>
      <c r="M22" s="512"/>
      <c r="N22" s="512"/>
      <c r="O22" s="514"/>
      <c r="P22" s="515"/>
      <c r="Q22" s="515"/>
      <c r="R22" s="515"/>
      <c r="S22" s="515"/>
      <c r="T22" s="515"/>
      <c r="U22" s="515"/>
      <c r="V22" s="515"/>
      <c r="W22" s="516"/>
      <c r="X22" s="532"/>
      <c r="Y22" s="515"/>
      <c r="Z22" s="515"/>
      <c r="AA22" s="515"/>
      <c r="AB22" s="529"/>
      <c r="AC22" s="547"/>
      <c r="AD22" s="532"/>
      <c r="AE22" s="532"/>
      <c r="AF22" s="532"/>
      <c r="AG22" s="532"/>
      <c r="AH22" s="532"/>
      <c r="AI22" s="532"/>
      <c r="AJ22" s="532"/>
      <c r="AK22" s="531"/>
      <c r="AL22" s="532"/>
      <c r="AM22" s="532"/>
      <c r="AN22" s="532"/>
      <c r="AO22" s="532"/>
      <c r="AP22" s="532"/>
      <c r="AQ22" s="542"/>
      <c r="AR22" s="561"/>
      <c r="AS22" s="542"/>
      <c r="AT22" s="542"/>
      <c r="AU22" s="542"/>
      <c r="AV22" s="542"/>
      <c r="AW22" s="542"/>
      <c r="AX22" s="519"/>
      <c r="AY22" s="542"/>
      <c r="AZ22" s="542"/>
      <c r="BA22" s="542"/>
      <c r="BB22" s="542"/>
      <c r="BC22" s="542"/>
      <c r="BD22" s="542"/>
      <c r="BE22" s="542"/>
      <c r="BF22" s="542"/>
      <c r="BG22" s="542"/>
      <c r="BH22" s="542"/>
      <c r="BI22" s="542"/>
      <c r="BJ22" s="542"/>
      <c r="BK22" s="519"/>
      <c r="BL22" s="548"/>
      <c r="BM22" s="542"/>
      <c r="BN22" s="542"/>
      <c r="BO22" s="542"/>
      <c r="BP22" s="542"/>
      <c r="BQ22" s="542"/>
      <c r="BR22" s="542"/>
      <c r="BS22" s="542"/>
      <c r="BT22" s="542"/>
      <c r="BU22" s="542"/>
      <c r="BV22" s="542"/>
      <c r="BW22" s="542"/>
      <c r="BX22" s="519"/>
      <c r="BY22" s="542"/>
      <c r="BZ22" s="542"/>
      <c r="CA22" s="542"/>
      <c r="CB22" s="542"/>
      <c r="CC22" s="542"/>
      <c r="CD22" s="542"/>
      <c r="CE22" s="540">
        <f>(1469.15+901.35*0.3383%)</f>
        <v>1472.1992670500001</v>
      </c>
      <c r="CF22" s="542"/>
      <c r="CG22" s="542"/>
      <c r="CH22" s="540">
        <f>(1601.13+1006.72*0.3694%)</f>
        <v>1604.8488236800001</v>
      </c>
      <c r="CI22" s="533"/>
      <c r="CJ22" s="544"/>
      <c r="CK22" s="528">
        <f t="shared" si="10"/>
        <v>-3077.0480907300002</v>
      </c>
      <c r="CL22" s="541"/>
      <c r="CM22" s="544">
        <f>(1554.17+852.44*0.35%)</f>
        <v>1557.15354</v>
      </c>
      <c r="CN22" s="533"/>
      <c r="CO22" s="815"/>
      <c r="CP22" s="544">
        <f>(1412.8+811.08*0.35%)</f>
        <v>1415.63878</v>
      </c>
      <c r="CQ22" s="533"/>
      <c r="CR22" s="540">
        <f>(1233.33+748.54*0.3344%)</f>
        <v>1235.8331177599998</v>
      </c>
      <c r="CS22" s="533"/>
      <c r="CT22" s="533"/>
      <c r="CU22" s="533"/>
      <c r="CV22" s="627">
        <f>(742.24+44.38+52.75+0.5+31.13)</f>
        <v>871</v>
      </c>
      <c r="CW22" s="533"/>
      <c r="CX22" s="528">
        <f t="shared" si="16"/>
        <v>-5079.6254377599998</v>
      </c>
      <c r="CY22" s="522"/>
      <c r="CZ22" s="544">
        <f>594.15+83.15</f>
        <v>677.3</v>
      </c>
      <c r="DA22" s="522"/>
      <c r="DB22" s="522"/>
      <c r="DC22" s="544">
        <v>261.81</v>
      </c>
      <c r="DD22" s="522"/>
      <c r="DE22" s="544">
        <v>1.4</v>
      </c>
      <c r="DF22" s="522"/>
      <c r="DG22" s="522"/>
      <c r="DH22" s="546"/>
      <c r="DI22" s="546"/>
      <c r="DJ22" s="546"/>
      <c r="DK22" s="519">
        <f t="shared" si="12"/>
        <v>-940.50999999999988</v>
      </c>
      <c r="DX22" s="519">
        <f t="shared" si="18"/>
        <v>0</v>
      </c>
      <c r="EK22" s="519">
        <f t="shared" si="17"/>
        <v>0</v>
      </c>
    </row>
    <row r="23" spans="2:142" ht="15.75" thickBot="1">
      <c r="B23" s="589" t="s">
        <v>513</v>
      </c>
      <c r="C23" s="512"/>
      <c r="D23" s="512"/>
      <c r="E23" s="512"/>
      <c r="F23" s="513"/>
      <c r="G23" s="513"/>
      <c r="H23" s="513"/>
      <c r="I23" s="513"/>
      <c r="J23" s="513"/>
      <c r="K23" s="513"/>
      <c r="L23" s="513"/>
      <c r="M23" s="512"/>
      <c r="N23" s="512"/>
      <c r="O23" s="514"/>
      <c r="P23" s="515"/>
      <c r="Q23" s="515"/>
      <c r="R23" s="515"/>
      <c r="S23" s="515"/>
      <c r="T23" s="515"/>
      <c r="U23" s="515"/>
      <c r="V23" s="515"/>
      <c r="W23" s="516"/>
      <c r="X23" s="532"/>
      <c r="Y23" s="515"/>
      <c r="Z23" s="515"/>
      <c r="AA23" s="515"/>
      <c r="AB23" s="529"/>
      <c r="AC23" s="547"/>
      <c r="AD23" s="532"/>
      <c r="AE23" s="532"/>
      <c r="AF23" s="532"/>
      <c r="AG23" s="532"/>
      <c r="AH23" s="532"/>
      <c r="AI23" s="532"/>
      <c r="AJ23" s="532"/>
      <c r="AK23" s="531"/>
      <c r="AL23" s="532"/>
      <c r="AM23" s="532"/>
      <c r="AN23" s="532"/>
      <c r="AO23" s="532"/>
      <c r="AP23" s="532"/>
      <c r="AQ23" s="542"/>
      <c r="AR23" s="561"/>
      <c r="AS23" s="542"/>
      <c r="AT23" s="542"/>
      <c r="AU23" s="542"/>
      <c r="AV23" s="542"/>
      <c r="AW23" s="542"/>
      <c r="AX23" s="519"/>
      <c r="AY23" s="542"/>
      <c r="AZ23" s="542"/>
      <c r="BA23" s="542"/>
      <c r="BB23" s="542"/>
      <c r="BC23" s="542"/>
      <c r="BD23" s="542"/>
      <c r="BE23" s="542"/>
      <c r="BF23" s="542"/>
      <c r="BG23" s="542"/>
      <c r="BH23" s="542"/>
      <c r="BI23" s="542"/>
      <c r="BJ23" s="542"/>
      <c r="BK23" s="519"/>
      <c r="BL23" s="548"/>
      <c r="BM23" s="542"/>
      <c r="BN23" s="542"/>
      <c r="BO23" s="542"/>
      <c r="BP23" s="542"/>
      <c r="BQ23" s="542"/>
      <c r="BR23" s="542"/>
      <c r="BS23" s="542"/>
      <c r="BT23" s="542"/>
      <c r="BU23" s="542"/>
      <c r="BV23" s="542"/>
      <c r="BW23" s="542"/>
      <c r="BX23" s="519"/>
      <c r="BY23" s="542"/>
      <c r="BZ23" s="542"/>
      <c r="CA23" s="542"/>
      <c r="CB23" s="542"/>
      <c r="CC23" s="542"/>
      <c r="CD23" s="542"/>
      <c r="CE23" s="522"/>
      <c r="CF23" s="542">
        <v>428.66</v>
      </c>
      <c r="CG23" s="542"/>
      <c r="CH23" s="533"/>
      <c r="CI23" s="542">
        <v>1461</v>
      </c>
      <c r="CJ23" s="544"/>
      <c r="CK23" s="528">
        <f t="shared" si="10"/>
        <v>-1889.66</v>
      </c>
      <c r="CL23" s="533"/>
      <c r="CM23" s="544">
        <f>1430.1</f>
        <v>1430.1</v>
      </c>
      <c r="CN23" s="533"/>
      <c r="CO23" s="544"/>
      <c r="CP23" s="544">
        <f>(1286.35+5.24)+550</f>
        <v>1841.59</v>
      </c>
      <c r="CQ23" s="533"/>
      <c r="CR23" s="533"/>
      <c r="CS23" s="544">
        <f>(270.92+242.19)</f>
        <v>513.11</v>
      </c>
      <c r="CT23" s="533"/>
      <c r="CU23" s="533"/>
      <c r="CV23" s="544">
        <f>(324.94+218.4)</f>
        <v>543.34</v>
      </c>
      <c r="CW23" s="533"/>
      <c r="CX23" s="528">
        <f t="shared" si="16"/>
        <v>-4328.1399999999994</v>
      </c>
      <c r="CY23" s="522"/>
      <c r="CZ23" s="544">
        <f>(785.41+80.96)</f>
        <v>866.37</v>
      </c>
      <c r="DA23" s="522"/>
      <c r="DB23" s="522"/>
      <c r="DC23" s="544">
        <f>236.99+272.31</f>
        <v>509.3</v>
      </c>
      <c r="DD23" s="522"/>
      <c r="DE23" s="522"/>
      <c r="DF23" s="544">
        <f>172.68+260.46</f>
        <v>433.14</v>
      </c>
      <c r="DG23" s="522"/>
      <c r="DH23" s="546"/>
      <c r="DI23" s="546"/>
      <c r="DJ23" s="546"/>
      <c r="DK23" s="519">
        <f t="shared" si="12"/>
        <v>-1808.81</v>
      </c>
      <c r="DM23" s="794">
        <f>100000</f>
        <v>100000</v>
      </c>
      <c r="DX23" s="519">
        <f t="shared" si="18"/>
        <v>-100000</v>
      </c>
      <c r="EK23" s="519">
        <f t="shared" si="14"/>
        <v>0</v>
      </c>
    </row>
    <row r="24" spans="2:142" ht="15">
      <c r="B24" s="589" t="s">
        <v>678</v>
      </c>
      <c r="C24" s="512"/>
      <c r="D24" s="512"/>
      <c r="E24" s="512"/>
      <c r="F24" s="513"/>
      <c r="G24" s="513"/>
      <c r="H24" s="513"/>
      <c r="I24" s="513"/>
      <c r="J24" s="513"/>
      <c r="K24" s="513"/>
      <c r="L24" s="513"/>
      <c r="M24" s="512"/>
      <c r="N24" s="512"/>
      <c r="O24" s="514"/>
      <c r="P24" s="515"/>
      <c r="Q24" s="515"/>
      <c r="R24" s="515"/>
      <c r="S24" s="515"/>
      <c r="T24" s="515"/>
      <c r="U24" s="515"/>
      <c r="V24" s="515"/>
      <c r="W24" s="516"/>
      <c r="X24" s="532"/>
      <c r="Y24" s="515"/>
      <c r="Z24" s="515"/>
      <c r="AA24" s="515"/>
      <c r="AB24" s="529"/>
      <c r="AC24" s="547"/>
      <c r="AD24" s="532"/>
      <c r="AE24" s="532"/>
      <c r="AF24" s="532"/>
      <c r="AG24" s="532"/>
      <c r="AH24" s="532"/>
      <c r="AI24" s="532"/>
      <c r="AJ24" s="532"/>
      <c r="AK24" s="531"/>
      <c r="AL24" s="532"/>
      <c r="AM24" s="532"/>
      <c r="AN24" s="532"/>
      <c r="AO24" s="532"/>
      <c r="AP24" s="532"/>
      <c r="AQ24" s="542"/>
      <c r="AR24" s="561"/>
      <c r="AS24" s="542"/>
      <c r="AT24" s="542"/>
      <c r="AU24" s="542"/>
      <c r="AV24" s="542"/>
      <c r="AW24" s="542"/>
      <c r="AX24" s="519"/>
      <c r="AY24" s="542"/>
      <c r="AZ24" s="542"/>
      <c r="BA24" s="542"/>
      <c r="BB24" s="542"/>
      <c r="BC24" s="542"/>
      <c r="BD24" s="542"/>
      <c r="BE24" s="542"/>
      <c r="BF24" s="542"/>
      <c r="BG24" s="542"/>
      <c r="BH24" s="542"/>
      <c r="BI24" s="542"/>
      <c r="BJ24" s="542"/>
      <c r="BK24" s="519"/>
      <c r="BL24" s="548"/>
      <c r="BM24" s="542"/>
      <c r="BN24" s="542"/>
      <c r="BO24" s="542"/>
      <c r="BP24" s="542"/>
      <c r="BQ24" s="542"/>
      <c r="BR24" s="542"/>
      <c r="BS24" s="542"/>
      <c r="BT24" s="542"/>
      <c r="BU24" s="542"/>
      <c r="BV24" s="542"/>
      <c r="BW24" s="542"/>
      <c r="BX24" s="519"/>
      <c r="BY24" s="542"/>
      <c r="BZ24" s="542"/>
      <c r="CA24" s="542"/>
      <c r="CB24" s="542"/>
      <c r="CC24" s="542"/>
      <c r="CD24" s="542"/>
      <c r="CE24" s="522"/>
      <c r="CF24" s="542"/>
      <c r="CG24" s="542"/>
      <c r="CH24" s="533"/>
      <c r="CI24" s="542"/>
      <c r="CJ24" s="544"/>
      <c r="CK24" s="528"/>
      <c r="CL24" s="533"/>
      <c r="CM24" s="544"/>
      <c r="CN24" s="533"/>
      <c r="CO24" s="544"/>
      <c r="CP24" s="544"/>
      <c r="CQ24" s="533"/>
      <c r="CR24" s="533"/>
      <c r="CS24" s="544"/>
      <c r="CT24" s="533"/>
      <c r="CU24" s="533"/>
      <c r="CV24" s="544"/>
      <c r="CW24" s="533"/>
      <c r="CX24" s="528"/>
      <c r="CY24" s="522"/>
      <c r="CZ24" s="544"/>
      <c r="DA24" s="522"/>
      <c r="DB24" s="522"/>
      <c r="DC24" s="544"/>
      <c r="DD24" s="522"/>
      <c r="DE24" s="522"/>
      <c r="DF24" s="544">
        <v>316.45999999999998</v>
      </c>
      <c r="DG24" s="522"/>
      <c r="DH24" s="546"/>
      <c r="DI24" s="546"/>
      <c r="DJ24" s="546"/>
      <c r="DK24" s="519"/>
      <c r="DM24" s="536"/>
      <c r="DX24" s="519"/>
      <c r="EK24" s="519"/>
    </row>
    <row r="25" spans="2:142" ht="15.75" thickBot="1">
      <c r="B25" s="480" t="s">
        <v>485</v>
      </c>
      <c r="C25" s="512"/>
      <c r="D25" s="512"/>
      <c r="E25" s="512"/>
      <c r="F25" s="513"/>
      <c r="G25" s="513"/>
      <c r="H25" s="513"/>
      <c r="I25" s="513"/>
      <c r="J25" s="513"/>
      <c r="K25" s="513"/>
      <c r="L25" s="513"/>
      <c r="M25" s="512"/>
      <c r="N25" s="512"/>
      <c r="O25" s="514"/>
      <c r="P25" s="515"/>
      <c r="Q25" s="515"/>
      <c r="R25" s="515"/>
      <c r="S25" s="515"/>
      <c r="T25" s="515"/>
      <c r="U25" s="515"/>
      <c r="V25" s="515"/>
      <c r="W25" s="516"/>
      <c r="X25" s="532"/>
      <c r="Y25" s="515"/>
      <c r="Z25" s="515"/>
      <c r="AA25" s="515"/>
      <c r="AB25" s="529"/>
      <c r="AC25" s="547"/>
      <c r="AD25" s="532"/>
      <c r="AE25" s="532"/>
      <c r="AF25" s="532"/>
      <c r="AG25" s="532"/>
      <c r="AH25" s="532"/>
      <c r="AI25" s="532"/>
      <c r="AJ25" s="532"/>
      <c r="AK25" s="531"/>
      <c r="AL25" s="532"/>
      <c r="AM25" s="532"/>
      <c r="AN25" s="532"/>
      <c r="AO25" s="532"/>
      <c r="AP25" s="532"/>
      <c r="AQ25" s="542"/>
      <c r="AR25" s="561"/>
      <c r="AS25" s="542"/>
      <c r="AT25" s="542"/>
      <c r="AU25" s="542"/>
      <c r="AV25" s="542"/>
      <c r="AW25" s="542"/>
      <c r="AX25" s="519"/>
      <c r="AY25" s="542"/>
      <c r="AZ25" s="542"/>
      <c r="BA25" s="542"/>
      <c r="BB25" s="542"/>
      <c r="BC25" s="542"/>
      <c r="BD25" s="542"/>
      <c r="BE25" s="542"/>
      <c r="BF25" s="542"/>
      <c r="BG25" s="542"/>
      <c r="BH25" s="542"/>
      <c r="BI25" s="542"/>
      <c r="BJ25" s="542"/>
      <c r="BK25" s="519"/>
      <c r="BL25" s="548"/>
      <c r="BM25" s="542"/>
      <c r="BN25" s="542"/>
      <c r="BO25" s="542"/>
      <c r="BP25" s="542"/>
      <c r="BQ25" s="542"/>
      <c r="BR25" s="542"/>
      <c r="BS25" s="542"/>
      <c r="BT25" s="542"/>
      <c r="BU25" s="542"/>
      <c r="BV25" s="542"/>
      <c r="BW25" s="542"/>
      <c r="BX25" s="519"/>
      <c r="BY25" s="542">
        <v>5000</v>
      </c>
      <c r="BZ25" s="542">
        <v>9000</v>
      </c>
      <c r="CA25" s="542">
        <v>0</v>
      </c>
      <c r="CB25" s="542">
        <v>0</v>
      </c>
      <c r="CC25" s="542">
        <v>0</v>
      </c>
      <c r="CD25" s="542">
        <v>0</v>
      </c>
      <c r="CE25" s="542">
        <v>0</v>
      </c>
      <c r="CF25" s="542">
        <v>0</v>
      </c>
      <c r="CG25" s="542">
        <v>0</v>
      </c>
      <c r="CH25" s="544">
        <v>0</v>
      </c>
      <c r="CI25" s="544">
        <v>0</v>
      </c>
      <c r="CJ25" s="544">
        <v>0</v>
      </c>
      <c r="CK25" s="528">
        <f>-7500-SUM(BY25:CJ25)</f>
        <v>-21500</v>
      </c>
      <c r="CL25" s="533"/>
      <c r="CM25" s="533"/>
      <c r="CN25" s="544">
        <v>10000</v>
      </c>
      <c r="CO25" s="544">
        <f>15000+6000</f>
        <v>21000</v>
      </c>
      <c r="CP25" s="544">
        <f>10000+5000</f>
        <v>15000</v>
      </c>
      <c r="CQ25" s="544">
        <f>10000+3500</f>
        <v>13500</v>
      </c>
      <c r="CR25" s="541"/>
      <c r="CS25" s="544">
        <v>-10000</v>
      </c>
      <c r="CT25" s="544">
        <v>-15000</v>
      </c>
      <c r="CU25" s="541"/>
      <c r="CV25" s="533"/>
      <c r="CW25" s="544">
        <v>12000</v>
      </c>
      <c r="CX25" s="528">
        <f>-SUM(CL25:CW25)</f>
        <v>-46500</v>
      </c>
      <c r="CY25" s="544">
        <v>4000</v>
      </c>
      <c r="CZ25" s="544">
        <f>3000+20000+10000</f>
        <v>33000</v>
      </c>
      <c r="DA25" s="884"/>
      <c r="DB25" s="541"/>
      <c r="DC25" s="544">
        <f>10000+2000</f>
        <v>12000</v>
      </c>
      <c r="DD25" s="544">
        <f>3000+2000</f>
        <v>5000</v>
      </c>
      <c r="DE25" s="544">
        <f>3000+10000</f>
        <v>13000</v>
      </c>
      <c r="DF25" s="544">
        <v>-20000</v>
      </c>
      <c r="DG25" s="544">
        <v>2000</v>
      </c>
      <c r="DH25" s="886"/>
      <c r="DI25" s="886"/>
      <c r="DJ25" s="886"/>
      <c r="DK25" s="519">
        <f>-SUM(CY25:DJ25)</f>
        <v>-49000</v>
      </c>
      <c r="DL25" s="886">
        <v>20000</v>
      </c>
      <c r="DM25" s="886"/>
      <c r="DN25" s="886"/>
      <c r="DP25" s="886">
        <v>25000</v>
      </c>
      <c r="DR25" s="886">
        <v>-25000</v>
      </c>
      <c r="DS25" s="886"/>
      <c r="DT25" s="886">
        <v>-22000</v>
      </c>
      <c r="DU25" s="886">
        <v>-32000</v>
      </c>
      <c r="DV25" s="886">
        <v>-23000</v>
      </c>
      <c r="DX25" s="519">
        <f>-SUM(DL25:DW25)</f>
        <v>57000</v>
      </c>
      <c r="EK25" s="519">
        <f t="shared" si="14"/>
        <v>0</v>
      </c>
    </row>
    <row r="26" spans="2:142" ht="15.75" thickBot="1">
      <c r="B26" s="480" t="s">
        <v>509</v>
      </c>
      <c r="C26" s="512"/>
      <c r="D26" s="512"/>
      <c r="E26" s="512"/>
      <c r="F26" s="513"/>
      <c r="G26" s="513"/>
      <c r="H26" s="513"/>
      <c r="I26" s="513"/>
      <c r="J26" s="513"/>
      <c r="K26" s="513"/>
      <c r="L26" s="513"/>
      <c r="M26" s="512"/>
      <c r="N26" s="512"/>
      <c r="O26" s="514"/>
      <c r="P26" s="515"/>
      <c r="Q26" s="515"/>
      <c r="R26" s="515"/>
      <c r="S26" s="515"/>
      <c r="T26" s="515"/>
      <c r="U26" s="515"/>
      <c r="V26" s="515"/>
      <c r="W26" s="516"/>
      <c r="X26" s="532"/>
      <c r="Y26" s="515"/>
      <c r="Z26" s="515"/>
      <c r="AA26" s="515"/>
      <c r="AB26" s="529"/>
      <c r="AC26" s="547"/>
      <c r="AD26" s="532"/>
      <c r="AE26" s="532"/>
      <c r="AF26" s="532"/>
      <c r="AG26" s="532"/>
      <c r="AH26" s="532"/>
      <c r="AI26" s="532"/>
      <c r="AJ26" s="532"/>
      <c r="AK26" s="531"/>
      <c r="AL26" s="532"/>
      <c r="AM26" s="532"/>
      <c r="AN26" s="532"/>
      <c r="AO26" s="532"/>
      <c r="AP26" s="532"/>
      <c r="AQ26" s="542"/>
      <c r="AR26" s="561"/>
      <c r="AS26" s="542"/>
      <c r="AT26" s="542"/>
      <c r="AU26" s="542"/>
      <c r="AV26" s="542"/>
      <c r="AW26" s="542"/>
      <c r="AX26" s="519"/>
      <c r="AY26" s="542"/>
      <c r="AZ26" s="542"/>
      <c r="BA26" s="542"/>
      <c r="BB26" s="542"/>
      <c r="BC26" s="542"/>
      <c r="BD26" s="542"/>
      <c r="BE26" s="542"/>
      <c r="BF26" s="542"/>
      <c r="BG26" s="542"/>
      <c r="BH26" s="542"/>
      <c r="BI26" s="542"/>
      <c r="BJ26" s="542"/>
      <c r="BK26" s="519"/>
      <c r="BL26" s="548"/>
      <c r="BM26" s="542"/>
      <c r="BN26" s="542"/>
      <c r="BO26" s="542"/>
      <c r="BP26" s="542"/>
      <c r="BQ26" s="542"/>
      <c r="BR26" s="542"/>
      <c r="BS26" s="542"/>
      <c r="BT26" s="542"/>
      <c r="BU26" s="542"/>
      <c r="BV26" s="542"/>
      <c r="BW26" s="542"/>
      <c r="BX26" s="519"/>
      <c r="BY26" s="542">
        <v>2000</v>
      </c>
      <c r="BZ26" s="542">
        <v>3007.64</v>
      </c>
      <c r="CA26" s="542">
        <v>0</v>
      </c>
      <c r="CB26" s="590">
        <f>-140000+1051.96</f>
        <v>-138948.04</v>
      </c>
      <c r="CC26" s="542">
        <v>0</v>
      </c>
      <c r="CD26" s="542">
        <v>0</v>
      </c>
      <c r="CE26" s="590">
        <f>(140000+18000)</f>
        <v>158000</v>
      </c>
      <c r="CF26" s="542">
        <v>0</v>
      </c>
      <c r="CG26" s="542">
        <v>0</v>
      </c>
      <c r="CH26" s="544">
        <v>0</v>
      </c>
      <c r="CI26" s="542">
        <v>10000</v>
      </c>
      <c r="CJ26" s="544">
        <v>0</v>
      </c>
      <c r="CK26" s="528">
        <f>303176.96-SUM(BY26:CJ26)</f>
        <v>269117.36000000004</v>
      </c>
      <c r="CL26" s="615">
        <v>5000</v>
      </c>
      <c r="CM26" s="544">
        <v>7000</v>
      </c>
      <c r="CN26" s="542">
        <f>-125000</f>
        <v>-125000</v>
      </c>
      <c r="CO26" s="544"/>
      <c r="CP26" s="544">
        <v>7000</v>
      </c>
      <c r="CQ26" s="533"/>
      <c r="CR26" s="847">
        <v>11909</v>
      </c>
      <c r="CS26" s="847">
        <f>7000+150000</f>
        <v>157000</v>
      </c>
      <c r="CT26" s="544">
        <f>15000</f>
        <v>15000</v>
      </c>
      <c r="CU26" s="541"/>
      <c r="CV26" s="544">
        <f>15000+7000</f>
        <v>22000</v>
      </c>
      <c r="CW26" s="533"/>
      <c r="CX26" s="528">
        <f>-SUM(CL26:CW26)</f>
        <v>-99909</v>
      </c>
      <c r="CY26" s="884"/>
      <c r="CZ26" s="544">
        <v>10000</v>
      </c>
      <c r="DA26" s="544">
        <f>10000+15000</f>
        <v>25000</v>
      </c>
      <c r="DB26" s="884"/>
      <c r="DC26" s="544">
        <f>15000+7000</f>
        <v>22000</v>
      </c>
      <c r="DD26" s="884"/>
      <c r="DE26" s="541"/>
      <c r="DF26" s="544">
        <f>12000+151000+7000</f>
        <v>170000</v>
      </c>
      <c r="DG26" s="544">
        <v>25000</v>
      </c>
      <c r="DH26" s="537"/>
      <c r="DI26" s="537"/>
      <c r="DJ26" s="537"/>
      <c r="DK26" s="519">
        <f>-SUM(CY26:DJ26)</f>
        <v>-252000</v>
      </c>
      <c r="DX26" s="519">
        <f>-SUM(DL26:DW26)</f>
        <v>0</v>
      </c>
      <c r="EK26" s="519">
        <f t="shared" si="14"/>
        <v>0</v>
      </c>
    </row>
    <row r="27" spans="2:142" ht="15">
      <c r="B27" s="480" t="s">
        <v>489</v>
      </c>
      <c r="C27" s="512"/>
      <c r="D27" s="512"/>
      <c r="E27" s="512"/>
      <c r="F27" s="513"/>
      <c r="G27" s="513"/>
      <c r="H27" s="513"/>
      <c r="I27" s="513"/>
      <c r="J27" s="513"/>
      <c r="K27" s="513"/>
      <c r="L27" s="513"/>
      <c r="M27" s="512"/>
      <c r="N27" s="512"/>
      <c r="O27" s="514"/>
      <c r="P27" s="515"/>
      <c r="Q27" s="515"/>
      <c r="R27" s="515"/>
      <c r="S27" s="515"/>
      <c r="T27" s="515"/>
      <c r="U27" s="515"/>
      <c r="V27" s="515"/>
      <c r="W27" s="516"/>
      <c r="X27" s="532"/>
      <c r="Y27" s="515"/>
      <c r="Z27" s="515"/>
      <c r="AA27" s="515"/>
      <c r="AB27" s="529"/>
      <c r="AC27" s="547"/>
      <c r="AD27" s="532"/>
      <c r="AE27" s="532"/>
      <c r="AF27" s="532"/>
      <c r="AG27" s="532"/>
      <c r="AH27" s="532"/>
      <c r="AI27" s="532"/>
      <c r="AJ27" s="532"/>
      <c r="AK27" s="531"/>
      <c r="AL27" s="532"/>
      <c r="AM27" s="532"/>
      <c r="AN27" s="532"/>
      <c r="AO27" s="532"/>
      <c r="AP27" s="532"/>
      <c r="AQ27" s="542"/>
      <c r="AR27" s="561"/>
      <c r="AS27" s="542"/>
      <c r="AT27" s="542"/>
      <c r="AU27" s="542"/>
      <c r="AV27" s="542"/>
      <c r="AW27" s="542"/>
      <c r="AX27" s="519"/>
      <c r="AY27" s="542"/>
      <c r="AZ27" s="542"/>
      <c r="BA27" s="542"/>
      <c r="BB27" s="542"/>
      <c r="BC27" s="542"/>
      <c r="BD27" s="542"/>
      <c r="BE27" s="542"/>
      <c r="BF27" s="542"/>
      <c r="BG27" s="542"/>
      <c r="BH27" s="542"/>
      <c r="BI27" s="542"/>
      <c r="BJ27" s="542"/>
      <c r="BK27" s="519"/>
      <c r="BL27" s="548"/>
      <c r="BM27" s="542"/>
      <c r="BN27" s="542"/>
      <c r="BO27" s="542"/>
      <c r="BP27" s="542"/>
      <c r="BQ27" s="542"/>
      <c r="BR27" s="542"/>
      <c r="BS27" s="542"/>
      <c r="BT27" s="542"/>
      <c r="BU27" s="542"/>
      <c r="BV27" s="542"/>
      <c r="BW27" s="542"/>
      <c r="BX27" s="519"/>
      <c r="BY27" s="542">
        <v>810.29</v>
      </c>
      <c r="BZ27" s="542">
        <v>806.36</v>
      </c>
      <c r="CA27" s="542">
        <v>802.41</v>
      </c>
      <c r="CB27" s="542">
        <v>798.48</v>
      </c>
      <c r="CC27" s="542">
        <v>794.53</v>
      </c>
      <c r="CD27" s="542">
        <v>790.59</v>
      </c>
      <c r="CE27" s="542">
        <v>786.02</v>
      </c>
      <c r="CF27" s="542">
        <v>782.1</v>
      </c>
      <c r="CG27" s="542">
        <v>778.18</v>
      </c>
      <c r="CH27" s="544">
        <v>774.25</v>
      </c>
      <c r="CI27" s="544">
        <v>770.33</v>
      </c>
      <c r="CJ27" s="544">
        <v>766.41</v>
      </c>
      <c r="CK27" s="528">
        <f t="shared" si="10"/>
        <v>-9459.9500000000007</v>
      </c>
      <c r="CL27" s="615">
        <v>755.25</v>
      </c>
      <c r="CM27" s="544">
        <v>751.63</v>
      </c>
      <c r="CN27" s="544">
        <v>748.01</v>
      </c>
      <c r="CO27" s="544">
        <v>744.39</v>
      </c>
      <c r="CP27" s="544">
        <v>740.77</v>
      </c>
      <c r="CQ27" s="544">
        <v>737.16</v>
      </c>
      <c r="CR27" s="544">
        <v>724.92</v>
      </c>
      <c r="CS27" s="544">
        <v>721.79</v>
      </c>
      <c r="CT27" s="544">
        <v>718.66</v>
      </c>
      <c r="CU27" s="544">
        <v>715.52</v>
      </c>
      <c r="CV27" s="544">
        <v>712.38</v>
      </c>
      <c r="CW27" s="544">
        <v>709.24</v>
      </c>
      <c r="CX27" s="528">
        <f t="shared" si="16"/>
        <v>-8779.7200000000012</v>
      </c>
      <c r="CY27" s="544">
        <v>703.63</v>
      </c>
      <c r="CZ27" s="544">
        <v>700.7</v>
      </c>
      <c r="DA27" s="544">
        <v>697.76</v>
      </c>
      <c r="DB27" s="544">
        <v>694.83</v>
      </c>
      <c r="DC27" s="544">
        <v>691.9</v>
      </c>
      <c r="DD27" s="544">
        <v>688.97</v>
      </c>
      <c r="DE27" s="544">
        <v>686.18</v>
      </c>
      <c r="DF27" s="544">
        <v>683.23</v>
      </c>
      <c r="DG27" s="544">
        <v>680.27</v>
      </c>
      <c r="DH27" s="536">
        <v>726.96</v>
      </c>
      <c r="DI27" s="536">
        <v>722.96</v>
      </c>
      <c r="DJ27" s="536">
        <v>718.96</v>
      </c>
      <c r="DK27" s="519">
        <f t="shared" si="12"/>
        <v>-8396.3500000000022</v>
      </c>
      <c r="DX27" s="519">
        <f t="shared" si="13"/>
        <v>0</v>
      </c>
      <c r="EK27" s="519">
        <f t="shared" si="14"/>
        <v>0</v>
      </c>
    </row>
    <row r="28" spans="2:142" ht="15">
      <c r="B28" s="480" t="s">
        <v>488</v>
      </c>
      <c r="C28" s="512"/>
      <c r="D28" s="512"/>
      <c r="E28" s="512"/>
      <c r="F28" s="513"/>
      <c r="G28" s="513"/>
      <c r="H28" s="513"/>
      <c r="I28" s="513"/>
      <c r="J28" s="513"/>
      <c r="K28" s="513"/>
      <c r="L28" s="513"/>
      <c r="M28" s="512"/>
      <c r="N28" s="512"/>
      <c r="O28" s="514"/>
      <c r="P28" s="515"/>
      <c r="Q28" s="515"/>
      <c r="R28" s="515"/>
      <c r="S28" s="515"/>
      <c r="T28" s="515"/>
      <c r="U28" s="515"/>
      <c r="V28" s="515"/>
      <c r="W28" s="516"/>
      <c r="X28" s="532"/>
      <c r="Y28" s="515"/>
      <c r="Z28" s="515"/>
      <c r="AA28" s="515"/>
      <c r="AB28" s="529"/>
      <c r="AC28" s="547"/>
      <c r="AD28" s="532"/>
      <c r="AE28" s="532"/>
      <c r="AF28" s="532"/>
      <c r="AG28" s="532"/>
      <c r="AH28" s="532"/>
      <c r="AI28" s="532"/>
      <c r="AJ28" s="532"/>
      <c r="AK28" s="531"/>
      <c r="AL28" s="532"/>
      <c r="AM28" s="532"/>
      <c r="AN28" s="532"/>
      <c r="AO28" s="532"/>
      <c r="AP28" s="532"/>
      <c r="AQ28" s="542"/>
      <c r="AR28" s="561"/>
      <c r="AS28" s="542"/>
      <c r="AT28" s="542"/>
      <c r="AU28" s="542"/>
      <c r="AV28" s="542"/>
      <c r="AW28" s="542"/>
      <c r="AX28" s="519"/>
      <c r="AY28" s="542"/>
      <c r="AZ28" s="542"/>
      <c r="BA28" s="542"/>
      <c r="BB28" s="542"/>
      <c r="BC28" s="542"/>
      <c r="BD28" s="542"/>
      <c r="BE28" s="542"/>
      <c r="BF28" s="542"/>
      <c r="BG28" s="542"/>
      <c r="BH28" s="542"/>
      <c r="BI28" s="542"/>
      <c r="BJ28" s="542"/>
      <c r="BK28" s="519"/>
      <c r="BL28" s="548"/>
      <c r="BM28" s="542"/>
      <c r="BN28" s="542"/>
      <c r="BO28" s="542"/>
      <c r="BP28" s="542"/>
      <c r="BQ28" s="542"/>
      <c r="BR28" s="542"/>
      <c r="BS28" s="542"/>
      <c r="BT28" s="542"/>
      <c r="BU28" s="542"/>
      <c r="BV28" s="542"/>
      <c r="BW28" s="542"/>
      <c r="BX28" s="519"/>
      <c r="BY28" s="542">
        <v>3235.19</v>
      </c>
      <c r="BZ28" s="542">
        <v>3235.19</v>
      </c>
      <c r="CA28" s="542">
        <v>0</v>
      </c>
      <c r="CB28" s="542">
        <v>0</v>
      </c>
      <c r="CC28" s="542">
        <v>0</v>
      </c>
      <c r="CD28" s="542">
        <v>0</v>
      </c>
      <c r="CE28" s="542">
        <v>0</v>
      </c>
      <c r="CF28" s="542">
        <v>0</v>
      </c>
      <c r="CG28" s="542">
        <v>0</v>
      </c>
      <c r="CH28" s="544">
        <v>0</v>
      </c>
      <c r="CI28" s="544">
        <v>0</v>
      </c>
      <c r="CJ28" s="544">
        <v>0</v>
      </c>
      <c r="CK28" s="528">
        <f t="shared" si="10"/>
        <v>-6470.38</v>
      </c>
      <c r="CL28" s="615">
        <v>3235.19</v>
      </c>
      <c r="CM28" s="544">
        <v>3235.19</v>
      </c>
      <c r="CN28" s="544">
        <v>0</v>
      </c>
      <c r="CO28" s="544">
        <v>0</v>
      </c>
      <c r="CP28" s="544">
        <v>0</v>
      </c>
      <c r="CQ28" s="544">
        <v>0</v>
      </c>
      <c r="CR28" s="544">
        <v>0</v>
      </c>
      <c r="CS28" s="544">
        <v>0</v>
      </c>
      <c r="CT28" s="544">
        <v>0</v>
      </c>
      <c r="CU28" s="544">
        <v>0</v>
      </c>
      <c r="CV28" s="544">
        <v>0</v>
      </c>
      <c r="CW28" s="544">
        <v>0</v>
      </c>
      <c r="CX28" s="528">
        <f t="shared" si="16"/>
        <v>-6470.38</v>
      </c>
      <c r="CY28" s="544">
        <v>3235.19</v>
      </c>
      <c r="CZ28" s="544">
        <v>3235.19</v>
      </c>
      <c r="DA28" s="522"/>
      <c r="DB28" s="522"/>
      <c r="DC28" s="522"/>
      <c r="DD28" s="522"/>
      <c r="DE28" s="522"/>
      <c r="DF28" s="522"/>
      <c r="DG28" s="522"/>
      <c r="DH28" s="546"/>
      <c r="DI28" s="546"/>
      <c r="DJ28" s="546"/>
      <c r="DK28" s="519">
        <f t="shared" si="12"/>
        <v>-6470.38</v>
      </c>
      <c r="DX28" s="519">
        <f t="shared" si="13"/>
        <v>0</v>
      </c>
      <c r="EK28" s="519">
        <f t="shared" si="14"/>
        <v>0</v>
      </c>
    </row>
    <row r="29" spans="2:142" ht="15">
      <c r="B29" s="480" t="s">
        <v>231</v>
      </c>
      <c r="C29" s="512"/>
      <c r="D29" s="512"/>
      <c r="E29" s="512"/>
      <c r="F29" s="513"/>
      <c r="G29" s="513"/>
      <c r="H29" s="513"/>
      <c r="I29" s="513"/>
      <c r="J29" s="513"/>
      <c r="K29" s="513"/>
      <c r="L29" s="513"/>
      <c r="M29" s="512"/>
      <c r="N29" s="512"/>
      <c r="O29" s="514"/>
      <c r="P29" s="515"/>
      <c r="Q29" s="515"/>
      <c r="R29" s="515"/>
      <c r="S29" s="515"/>
      <c r="T29" s="515"/>
      <c r="U29" s="515"/>
      <c r="V29" s="515"/>
      <c r="W29" s="516"/>
      <c r="X29" s="532"/>
      <c r="Y29" s="515"/>
      <c r="Z29" s="515"/>
      <c r="AA29" s="515"/>
      <c r="AB29" s="529"/>
      <c r="AC29" s="547"/>
      <c r="AD29" s="532"/>
      <c r="AE29" s="532"/>
      <c r="AF29" s="532"/>
      <c r="AG29" s="532"/>
      <c r="AH29" s="532"/>
      <c r="AI29" s="532"/>
      <c r="AJ29" s="532"/>
      <c r="AK29" s="531"/>
      <c r="AL29" s="532"/>
      <c r="AM29" s="532"/>
      <c r="AN29" s="532"/>
      <c r="AO29" s="532"/>
      <c r="AP29" s="532"/>
      <c r="AQ29" s="542"/>
      <c r="AR29" s="561"/>
      <c r="AS29" s="542"/>
      <c r="AT29" s="542"/>
      <c r="AU29" s="542"/>
      <c r="AV29" s="542"/>
      <c r="AW29" s="542"/>
      <c r="AX29" s="519"/>
      <c r="AY29" s="542"/>
      <c r="AZ29" s="542"/>
      <c r="BA29" s="542"/>
      <c r="BB29" s="542"/>
      <c r="BC29" s="542"/>
      <c r="BD29" s="542"/>
      <c r="BE29" s="542"/>
      <c r="BF29" s="542"/>
      <c r="BG29" s="542"/>
      <c r="BH29" s="542"/>
      <c r="BI29" s="542"/>
      <c r="BJ29" s="542"/>
      <c r="BK29" s="519"/>
      <c r="BL29" s="548"/>
      <c r="BM29" s="542"/>
      <c r="BN29" s="542"/>
      <c r="BO29" s="542"/>
      <c r="BP29" s="542"/>
      <c r="BQ29" s="542"/>
      <c r="BR29" s="542"/>
      <c r="BS29" s="542"/>
      <c r="BT29" s="542"/>
      <c r="BU29" s="542"/>
      <c r="BV29" s="542"/>
      <c r="BW29" s="542"/>
      <c r="BX29" s="519"/>
      <c r="BY29" s="542"/>
      <c r="BZ29" s="542"/>
      <c r="CA29" s="542"/>
      <c r="CB29" s="542"/>
      <c r="CC29" s="542"/>
      <c r="CD29" s="542"/>
      <c r="CE29" s="522"/>
      <c r="CF29" s="542"/>
      <c r="CG29" s="522"/>
      <c r="CH29" s="533"/>
      <c r="CI29" s="533"/>
      <c r="CJ29" s="544"/>
      <c r="CK29" s="528">
        <f>8000-SUM(BY29:CJ29)</f>
        <v>8000</v>
      </c>
      <c r="CL29" s="215"/>
      <c r="CM29" s="179"/>
      <c r="CN29" s="533"/>
      <c r="CO29" s="533"/>
      <c r="CP29" s="544"/>
      <c r="CQ29" s="533"/>
      <c r="CR29" s="533"/>
      <c r="CS29" s="533"/>
      <c r="CT29" s="533"/>
      <c r="CU29" s="533"/>
      <c r="CV29" s="533"/>
      <c r="CW29" s="533"/>
      <c r="CX29" s="528">
        <f t="shared" ref="CX29:CX34" si="19">-SUM(CL29:CW29)</f>
        <v>0</v>
      </c>
      <c r="CY29" s="541"/>
      <c r="CZ29" s="541"/>
      <c r="DA29" s="541"/>
      <c r="DB29" s="541"/>
      <c r="DC29" s="541"/>
      <c r="DD29" s="541"/>
      <c r="DE29" s="541"/>
      <c r="DF29" s="541"/>
      <c r="DG29" s="541"/>
      <c r="DK29" s="519">
        <f t="shared" ref="DK29:DK34" si="20">-SUM(CY29:DJ29)</f>
        <v>0</v>
      </c>
      <c r="DX29" s="519">
        <f t="shared" ref="DX29:DX34" si="21">-SUM(DL29:DW29)</f>
        <v>0</v>
      </c>
      <c r="EK29" s="519">
        <f t="shared" ref="EK29:EK34" si="22">-SUM(DY29:EJ29)</f>
        <v>0</v>
      </c>
    </row>
    <row r="30" spans="2:142" ht="15">
      <c r="B30" s="480" t="s">
        <v>232</v>
      </c>
      <c r="C30" s="512"/>
      <c r="D30" s="512"/>
      <c r="E30" s="512"/>
      <c r="F30" s="513"/>
      <c r="G30" s="513"/>
      <c r="H30" s="513"/>
      <c r="I30" s="513"/>
      <c r="J30" s="513"/>
      <c r="K30" s="513"/>
      <c r="L30" s="513"/>
      <c r="M30" s="512"/>
      <c r="N30" s="512"/>
      <c r="O30" s="514"/>
      <c r="P30" s="515"/>
      <c r="Q30" s="515"/>
      <c r="R30" s="515"/>
      <c r="S30" s="515"/>
      <c r="T30" s="515"/>
      <c r="U30" s="515"/>
      <c r="V30" s="515"/>
      <c r="W30" s="516"/>
      <c r="X30" s="532"/>
      <c r="Y30" s="515"/>
      <c r="Z30" s="515"/>
      <c r="AA30" s="515"/>
      <c r="AB30" s="529"/>
      <c r="AC30" s="547"/>
      <c r="AD30" s="532"/>
      <c r="AE30" s="532"/>
      <c r="AF30" s="532"/>
      <c r="AG30" s="532"/>
      <c r="AH30" s="532"/>
      <c r="AI30" s="532"/>
      <c r="AJ30" s="532"/>
      <c r="AK30" s="531"/>
      <c r="AL30" s="532"/>
      <c r="AM30" s="532"/>
      <c r="AN30" s="532"/>
      <c r="AO30" s="532"/>
      <c r="AP30" s="532"/>
      <c r="AQ30" s="542"/>
      <c r="AR30" s="561"/>
      <c r="AS30" s="542"/>
      <c r="AT30" s="542"/>
      <c r="AU30" s="542"/>
      <c r="AV30" s="542"/>
      <c r="AW30" s="542"/>
      <c r="AX30" s="519"/>
      <c r="AY30" s="542"/>
      <c r="AZ30" s="542"/>
      <c r="BA30" s="542"/>
      <c r="BB30" s="542"/>
      <c r="BC30" s="542"/>
      <c r="BD30" s="542"/>
      <c r="BE30" s="542"/>
      <c r="BF30" s="542"/>
      <c r="BG30" s="542"/>
      <c r="BH30" s="542"/>
      <c r="BI30" s="542"/>
      <c r="BJ30" s="542"/>
      <c r="BK30" s="519"/>
      <c r="BL30" s="548"/>
      <c r="BM30" s="542"/>
      <c r="BN30" s="542"/>
      <c r="BO30" s="542"/>
      <c r="BP30" s="542"/>
      <c r="BQ30" s="542"/>
      <c r="BR30" s="542"/>
      <c r="BS30" s="542"/>
      <c r="BT30" s="542"/>
      <c r="BU30" s="542"/>
      <c r="BV30" s="542"/>
      <c r="BW30" s="542"/>
      <c r="BX30" s="519"/>
      <c r="BY30" s="542"/>
      <c r="BZ30" s="542"/>
      <c r="CA30" s="542"/>
      <c r="CB30" s="542"/>
      <c r="CC30" s="542"/>
      <c r="CD30" s="542"/>
      <c r="CE30" s="522"/>
      <c r="CF30" s="542"/>
      <c r="CG30" s="522"/>
      <c r="CH30" s="533"/>
      <c r="CI30" s="533"/>
      <c r="CJ30" s="544"/>
      <c r="CK30" s="528">
        <f>95000-SUM(BY30:CJ30)</f>
        <v>95000</v>
      </c>
      <c r="CL30" s="535"/>
      <c r="CM30" s="533"/>
      <c r="CN30" s="544">
        <v>10000</v>
      </c>
      <c r="CO30" s="533"/>
      <c r="CP30" s="544"/>
      <c r="CQ30" s="533"/>
      <c r="CR30" s="533"/>
      <c r="CS30" s="533"/>
      <c r="CT30" s="533"/>
      <c r="CU30" s="533"/>
      <c r="CV30" s="533"/>
      <c r="CW30" s="533"/>
      <c r="CX30" s="528">
        <f t="shared" si="19"/>
        <v>-10000</v>
      </c>
      <c r="CY30" s="541"/>
      <c r="CZ30" s="541"/>
      <c r="DA30" s="541"/>
      <c r="DB30" s="544">
        <v>3000</v>
      </c>
      <c r="DC30" s="541"/>
      <c r="DD30" s="541"/>
      <c r="DE30" s="541"/>
      <c r="DF30" s="544">
        <v>1000</v>
      </c>
      <c r="DG30" s="541"/>
      <c r="DK30" s="519">
        <f t="shared" si="20"/>
        <v>-4000</v>
      </c>
      <c r="DX30" s="519">
        <f t="shared" si="21"/>
        <v>0</v>
      </c>
      <c r="EK30" s="519">
        <f t="shared" si="22"/>
        <v>0</v>
      </c>
    </row>
    <row r="31" spans="2:142" ht="15">
      <c r="B31" s="480" t="s">
        <v>486</v>
      </c>
      <c r="C31" s="512"/>
      <c r="D31" s="512"/>
      <c r="E31" s="512"/>
      <c r="F31" s="513"/>
      <c r="G31" s="513"/>
      <c r="H31" s="513"/>
      <c r="I31" s="513"/>
      <c r="J31" s="513"/>
      <c r="K31" s="513"/>
      <c r="L31" s="513"/>
      <c r="M31" s="512"/>
      <c r="N31" s="512"/>
      <c r="O31" s="514"/>
      <c r="P31" s="515"/>
      <c r="Q31" s="515"/>
      <c r="R31" s="515"/>
      <c r="S31" s="515"/>
      <c r="T31" s="515"/>
      <c r="U31" s="515"/>
      <c r="V31" s="515"/>
      <c r="W31" s="516"/>
      <c r="X31" s="532"/>
      <c r="Y31" s="515"/>
      <c r="Z31" s="515"/>
      <c r="AA31" s="515"/>
      <c r="AB31" s="529"/>
      <c r="AC31" s="547"/>
      <c r="AD31" s="532"/>
      <c r="AE31" s="532"/>
      <c r="AF31" s="532"/>
      <c r="AG31" s="532"/>
      <c r="AH31" s="532"/>
      <c r="AI31" s="532"/>
      <c r="AJ31" s="532"/>
      <c r="AK31" s="531"/>
      <c r="AL31" s="532"/>
      <c r="AM31" s="532"/>
      <c r="AN31" s="532"/>
      <c r="AO31" s="532"/>
      <c r="AP31" s="532"/>
      <c r="AQ31" s="542"/>
      <c r="AR31" s="561"/>
      <c r="AS31" s="542"/>
      <c r="AT31" s="542"/>
      <c r="AU31" s="542"/>
      <c r="AV31" s="542"/>
      <c r="AW31" s="542"/>
      <c r="AX31" s="519"/>
      <c r="AY31" s="542"/>
      <c r="AZ31" s="542"/>
      <c r="BA31" s="542"/>
      <c r="BB31" s="542"/>
      <c r="BC31" s="542"/>
      <c r="BD31" s="542"/>
      <c r="BE31" s="542"/>
      <c r="BF31" s="542"/>
      <c r="BG31" s="542"/>
      <c r="BH31" s="542"/>
      <c r="BI31" s="542"/>
      <c r="BJ31" s="542"/>
      <c r="BK31" s="519"/>
      <c r="BL31" s="548"/>
      <c r="BM31" s="542"/>
      <c r="BN31" s="542"/>
      <c r="BO31" s="542"/>
      <c r="BP31" s="542"/>
      <c r="BQ31" s="542"/>
      <c r="BR31" s="542"/>
      <c r="BS31" s="542"/>
      <c r="BT31" s="542"/>
      <c r="BU31" s="542"/>
      <c r="BV31" s="542"/>
      <c r="BW31" s="542"/>
      <c r="BX31" s="519"/>
      <c r="BY31" s="542"/>
      <c r="BZ31" s="542"/>
      <c r="CA31" s="542"/>
      <c r="CB31" s="542"/>
      <c r="CC31" s="542"/>
      <c r="CD31" s="542"/>
      <c r="CE31" s="522"/>
      <c r="CF31" s="542"/>
      <c r="CG31" s="522"/>
      <c r="CH31" s="533"/>
      <c r="CI31" s="533"/>
      <c r="CJ31" s="544"/>
      <c r="CK31" s="528">
        <f>-112204.73-SUM(BY31:CJ31)</f>
        <v>-112204.73</v>
      </c>
      <c r="CL31" s="535"/>
      <c r="CM31" s="533"/>
      <c r="CN31" s="533"/>
      <c r="CO31" s="533"/>
      <c r="CP31" s="544"/>
      <c r="CQ31" s="533"/>
      <c r="CR31" s="533"/>
      <c r="CS31" s="533"/>
      <c r="CT31" s="533"/>
      <c r="CU31" s="533"/>
      <c r="CV31" s="533"/>
      <c r="CW31" s="533"/>
      <c r="CX31" s="528">
        <f t="shared" si="19"/>
        <v>0</v>
      </c>
      <c r="CY31" s="541"/>
      <c r="CZ31" s="541"/>
      <c r="DA31" s="541"/>
      <c r="DB31" s="541"/>
      <c r="DC31" s="541"/>
      <c r="DD31" s="541"/>
      <c r="DE31" s="541"/>
      <c r="DF31" s="541"/>
      <c r="DG31" s="541"/>
      <c r="DK31" s="519">
        <f t="shared" si="20"/>
        <v>0</v>
      </c>
      <c r="DX31" s="519">
        <f t="shared" si="21"/>
        <v>0</v>
      </c>
      <c r="EK31" s="519">
        <f t="shared" si="22"/>
        <v>0</v>
      </c>
    </row>
    <row r="32" spans="2:142" ht="15">
      <c r="B32" s="480" t="s">
        <v>487</v>
      </c>
      <c r="C32" s="512"/>
      <c r="D32" s="512"/>
      <c r="E32" s="512"/>
      <c r="F32" s="513"/>
      <c r="G32" s="513"/>
      <c r="H32" s="513"/>
      <c r="I32" s="513"/>
      <c r="J32" s="513"/>
      <c r="K32" s="513"/>
      <c r="L32" s="513"/>
      <c r="M32" s="512"/>
      <c r="N32" s="512"/>
      <c r="O32" s="514"/>
      <c r="P32" s="515"/>
      <c r="Q32" s="515"/>
      <c r="R32" s="515"/>
      <c r="S32" s="515"/>
      <c r="T32" s="515"/>
      <c r="U32" s="515"/>
      <c r="V32" s="515"/>
      <c r="W32" s="516"/>
      <c r="X32" s="532"/>
      <c r="Y32" s="515"/>
      <c r="Z32" s="515"/>
      <c r="AA32" s="515"/>
      <c r="AB32" s="529"/>
      <c r="AC32" s="547"/>
      <c r="AD32" s="532"/>
      <c r="AE32" s="532"/>
      <c r="AF32" s="532"/>
      <c r="AG32" s="532"/>
      <c r="AH32" s="532"/>
      <c r="AI32" s="532"/>
      <c r="AJ32" s="532"/>
      <c r="AK32" s="531"/>
      <c r="AL32" s="532"/>
      <c r="AM32" s="532"/>
      <c r="AN32" s="532"/>
      <c r="AO32" s="532"/>
      <c r="AP32" s="532"/>
      <c r="AQ32" s="542"/>
      <c r="AR32" s="561"/>
      <c r="AS32" s="542"/>
      <c r="AT32" s="542"/>
      <c r="AU32" s="542"/>
      <c r="AV32" s="542"/>
      <c r="AW32" s="542"/>
      <c r="AX32" s="519"/>
      <c r="AY32" s="542"/>
      <c r="AZ32" s="542"/>
      <c r="BA32" s="542"/>
      <c r="BB32" s="542"/>
      <c r="BC32" s="542"/>
      <c r="BD32" s="542"/>
      <c r="BE32" s="542"/>
      <c r="BF32" s="542"/>
      <c r="BG32" s="542"/>
      <c r="BH32" s="542"/>
      <c r="BI32" s="542"/>
      <c r="BJ32" s="542"/>
      <c r="BK32" s="519"/>
      <c r="BL32" s="548"/>
      <c r="BM32" s="542"/>
      <c r="BN32" s="542"/>
      <c r="BO32" s="542"/>
      <c r="BP32" s="542"/>
      <c r="BQ32" s="542"/>
      <c r="BR32" s="542"/>
      <c r="BS32" s="542"/>
      <c r="BT32" s="542"/>
      <c r="BU32" s="542"/>
      <c r="BV32" s="542"/>
      <c r="BW32" s="542"/>
      <c r="BX32" s="519"/>
      <c r="BY32" s="542"/>
      <c r="BZ32" s="542"/>
      <c r="CA32" s="541"/>
      <c r="CB32" s="541"/>
      <c r="CC32" s="542"/>
      <c r="CD32" s="542"/>
      <c r="CE32" s="522"/>
      <c r="CF32" s="542"/>
      <c r="CG32" s="522"/>
      <c r="CH32" s="533"/>
      <c r="CI32" s="533"/>
      <c r="CJ32" s="544"/>
      <c r="CK32" s="528">
        <f>-15000-SUM(BY32:CJ32)</f>
        <v>-15000</v>
      </c>
      <c r="CL32" s="535"/>
      <c r="CM32" s="533"/>
      <c r="CN32" s="533"/>
      <c r="CO32" s="533"/>
      <c r="CP32" s="544"/>
      <c r="CQ32" s="533"/>
      <c r="CR32" s="533"/>
      <c r="CS32" s="533"/>
      <c r="CT32" s="533"/>
      <c r="CU32" s="533"/>
      <c r="CV32" s="533"/>
      <c r="CW32" s="533"/>
      <c r="CX32" s="528">
        <f t="shared" si="19"/>
        <v>0</v>
      </c>
      <c r="CY32" s="541"/>
      <c r="CZ32" s="541"/>
      <c r="DA32" s="541"/>
      <c r="DB32" s="541"/>
      <c r="DC32" s="541"/>
      <c r="DD32" s="541"/>
      <c r="DE32" s="541"/>
      <c r="DF32" s="541"/>
      <c r="DG32" s="541"/>
      <c r="DK32" s="519">
        <f t="shared" si="20"/>
        <v>0</v>
      </c>
      <c r="DX32" s="519">
        <f t="shared" si="21"/>
        <v>0</v>
      </c>
      <c r="EK32" s="519">
        <f t="shared" si="22"/>
        <v>0</v>
      </c>
    </row>
    <row r="33" spans="1:183" ht="15">
      <c r="B33" s="480" t="s">
        <v>346</v>
      </c>
      <c r="C33" s="512"/>
      <c r="D33" s="512"/>
      <c r="E33" s="512"/>
      <c r="F33" s="513"/>
      <c r="G33" s="513"/>
      <c r="H33" s="513"/>
      <c r="I33" s="513"/>
      <c r="J33" s="513"/>
      <c r="K33" s="513"/>
      <c r="L33" s="513"/>
      <c r="M33" s="512"/>
      <c r="N33" s="512"/>
      <c r="O33" s="514"/>
      <c r="P33" s="515"/>
      <c r="Q33" s="515"/>
      <c r="R33" s="515"/>
      <c r="S33" s="515"/>
      <c r="T33" s="515"/>
      <c r="U33" s="515"/>
      <c r="V33" s="515"/>
      <c r="W33" s="516"/>
      <c r="X33" s="532"/>
      <c r="Y33" s="515"/>
      <c r="Z33" s="515"/>
      <c r="AA33" s="515"/>
      <c r="AB33" s="529"/>
      <c r="AC33" s="547"/>
      <c r="AD33" s="532"/>
      <c r="AE33" s="532"/>
      <c r="AF33" s="532"/>
      <c r="AG33" s="532"/>
      <c r="AH33" s="532"/>
      <c r="AI33" s="532"/>
      <c r="AJ33" s="532"/>
      <c r="AK33" s="531"/>
      <c r="AL33" s="532"/>
      <c r="AM33" s="532"/>
      <c r="AN33" s="532"/>
      <c r="AO33" s="532"/>
      <c r="AP33" s="532"/>
      <c r="AQ33" s="542"/>
      <c r="AR33" s="561"/>
      <c r="AS33" s="542"/>
      <c r="AT33" s="542"/>
      <c r="AU33" s="542"/>
      <c r="AV33" s="542"/>
      <c r="AW33" s="542"/>
      <c r="AX33" s="519"/>
      <c r="AY33" s="542"/>
      <c r="AZ33" s="542"/>
      <c r="BA33" s="542"/>
      <c r="BB33" s="542"/>
      <c r="BC33" s="542"/>
      <c r="BD33" s="542"/>
      <c r="BE33" s="542"/>
      <c r="BF33" s="542"/>
      <c r="BG33" s="542"/>
      <c r="BH33" s="542"/>
      <c r="BI33" s="542"/>
      <c r="BJ33" s="542"/>
      <c r="BK33" s="519"/>
      <c r="BL33" s="548"/>
      <c r="BM33" s="542"/>
      <c r="BN33" s="542"/>
      <c r="BO33" s="542"/>
      <c r="BP33" s="542"/>
      <c r="BQ33" s="542"/>
      <c r="BR33" s="542"/>
      <c r="BS33" s="542"/>
      <c r="BT33" s="542"/>
      <c r="BU33" s="542"/>
      <c r="BV33" s="542"/>
      <c r="BW33" s="542"/>
      <c r="BX33" s="519"/>
      <c r="BY33" s="542"/>
      <c r="BZ33" s="542"/>
      <c r="CA33" s="542">
        <f>300*1.21</f>
        <v>363</v>
      </c>
      <c r="CB33" s="561">
        <f>50*1.21</f>
        <v>60.5</v>
      </c>
      <c r="CC33" s="542"/>
      <c r="CD33" s="542"/>
      <c r="CE33" s="522"/>
      <c r="CF33" s="542">
        <v>38.119999999999997</v>
      </c>
      <c r="CG33" s="542">
        <v>132</v>
      </c>
      <c r="CH33" s="525"/>
      <c r="CI33" s="533"/>
      <c r="CJ33" s="542">
        <v>233.2</v>
      </c>
      <c r="CK33" s="528">
        <f>-19312.39-SUM(BY33:CJ33)</f>
        <v>-20139.21</v>
      </c>
      <c r="CL33" s="535"/>
      <c r="CM33" s="533"/>
      <c r="CN33" s="533"/>
      <c r="CO33" s="533"/>
      <c r="CP33" s="544"/>
      <c r="CQ33" s="533"/>
      <c r="CR33" s="533"/>
      <c r="CS33" s="533"/>
      <c r="CT33" s="533"/>
      <c r="CU33" s="533"/>
      <c r="CV33" s="533"/>
      <c r="CW33" s="533"/>
      <c r="CX33" s="528">
        <f t="shared" si="19"/>
        <v>0</v>
      </c>
      <c r="CY33" s="541"/>
      <c r="CZ33" s="541"/>
      <c r="DA33" s="541"/>
      <c r="DB33" s="541"/>
      <c r="DC33" s="541"/>
      <c r="DD33" s="541"/>
      <c r="DE33" s="541"/>
      <c r="DF33" s="541"/>
      <c r="DG33" s="541"/>
      <c r="DK33" s="519">
        <f t="shared" si="20"/>
        <v>0</v>
      </c>
      <c r="DX33" s="519">
        <f t="shared" si="21"/>
        <v>0</v>
      </c>
      <c r="EK33" s="519">
        <f t="shared" si="22"/>
        <v>0</v>
      </c>
    </row>
    <row r="34" spans="1:183" ht="15">
      <c r="B34" s="480" t="s">
        <v>347</v>
      </c>
      <c r="C34" s="512"/>
      <c r="D34" s="512"/>
      <c r="E34" s="512"/>
      <c r="F34" s="513"/>
      <c r="G34" s="513"/>
      <c r="H34" s="513"/>
      <c r="I34" s="513"/>
      <c r="J34" s="513"/>
      <c r="K34" s="513"/>
      <c r="L34" s="513"/>
      <c r="M34" s="512"/>
      <c r="N34" s="512"/>
      <c r="O34" s="514"/>
      <c r="P34" s="515"/>
      <c r="Q34" s="515"/>
      <c r="R34" s="515"/>
      <c r="S34" s="515"/>
      <c r="T34" s="515"/>
      <c r="U34" s="515"/>
      <c r="V34" s="515"/>
      <c r="W34" s="516"/>
      <c r="X34" s="532"/>
      <c r="Y34" s="515"/>
      <c r="Z34" s="515"/>
      <c r="AA34" s="515"/>
      <c r="AB34" s="529"/>
      <c r="AC34" s="547"/>
      <c r="AD34" s="532"/>
      <c r="AE34" s="532"/>
      <c r="AF34" s="532"/>
      <c r="AG34" s="532"/>
      <c r="AH34" s="532"/>
      <c r="AI34" s="532"/>
      <c r="AJ34" s="532"/>
      <c r="AK34" s="531"/>
      <c r="AL34" s="532"/>
      <c r="AM34" s="532"/>
      <c r="AN34" s="532"/>
      <c r="AO34" s="532"/>
      <c r="AP34" s="532"/>
      <c r="AQ34" s="542"/>
      <c r="AR34" s="561"/>
      <c r="AS34" s="542"/>
      <c r="AT34" s="542"/>
      <c r="AU34" s="542"/>
      <c r="AV34" s="542"/>
      <c r="AW34" s="542"/>
      <c r="AX34" s="519"/>
      <c r="AY34" s="542"/>
      <c r="AZ34" s="542"/>
      <c r="BA34" s="542"/>
      <c r="BB34" s="542"/>
      <c r="BC34" s="542"/>
      <c r="BD34" s="542"/>
      <c r="BE34" s="542"/>
      <c r="BF34" s="542"/>
      <c r="BG34" s="542"/>
      <c r="BH34" s="542"/>
      <c r="BI34" s="542"/>
      <c r="BJ34" s="542"/>
      <c r="BK34" s="519"/>
      <c r="BL34" s="548"/>
      <c r="BM34" s="542"/>
      <c r="BN34" s="542"/>
      <c r="BO34" s="542"/>
      <c r="BP34" s="542"/>
      <c r="BQ34" s="542"/>
      <c r="BR34" s="542"/>
      <c r="BS34" s="542"/>
      <c r="BT34" s="542"/>
      <c r="BU34" s="542"/>
      <c r="BV34" s="542"/>
      <c r="BW34" s="542"/>
      <c r="BX34" s="519"/>
      <c r="BY34" s="542"/>
      <c r="BZ34" s="542"/>
      <c r="CA34" s="542"/>
      <c r="CB34" s="542"/>
      <c r="CC34" s="542"/>
      <c r="CD34" s="542"/>
      <c r="CE34" s="522"/>
      <c r="CF34" s="542"/>
      <c r="CG34" s="522"/>
      <c r="CH34" s="533"/>
      <c r="CI34" s="533"/>
      <c r="CJ34" s="544"/>
      <c r="CK34" s="528">
        <f>-3889.1-SUM(BY34:CJ34)</f>
        <v>-3889.1</v>
      </c>
      <c r="CL34" s="535"/>
      <c r="CM34" s="533"/>
      <c r="CN34" s="535"/>
      <c r="CO34" s="533"/>
      <c r="CP34" s="544"/>
      <c r="CQ34" s="533"/>
      <c r="CR34" s="533"/>
      <c r="CS34" s="533"/>
      <c r="CT34" s="533"/>
      <c r="CU34" s="533"/>
      <c r="CV34" s="533"/>
      <c r="CW34" s="533"/>
      <c r="CX34" s="528">
        <f t="shared" si="19"/>
        <v>0</v>
      </c>
      <c r="CY34" s="541"/>
      <c r="CZ34" s="541"/>
      <c r="DA34" s="541"/>
      <c r="DB34" s="541"/>
      <c r="DC34" s="541"/>
      <c r="DD34" s="541"/>
      <c r="DE34" s="541"/>
      <c r="DF34" s="541"/>
      <c r="DG34" s="541"/>
      <c r="DK34" s="519">
        <f t="shared" si="20"/>
        <v>0</v>
      </c>
      <c r="DX34" s="519">
        <f t="shared" si="21"/>
        <v>0</v>
      </c>
      <c r="EK34" s="519">
        <f t="shared" si="22"/>
        <v>0</v>
      </c>
    </row>
    <row r="35" spans="1:183" ht="15">
      <c r="C35" s="512"/>
      <c r="D35" s="512"/>
      <c r="E35" s="512"/>
      <c r="F35" s="513"/>
      <c r="G35" s="513"/>
      <c r="H35" s="513"/>
      <c r="I35" s="513"/>
      <c r="J35" s="513"/>
      <c r="K35" s="513"/>
      <c r="L35" s="513"/>
      <c r="M35" s="512"/>
      <c r="N35" s="512"/>
      <c r="O35" s="514"/>
      <c r="P35" s="515"/>
      <c r="Q35" s="515"/>
      <c r="R35" s="515"/>
      <c r="S35" s="515"/>
      <c r="T35" s="515"/>
      <c r="U35" s="515"/>
      <c r="V35" s="515"/>
      <c r="W35" s="516"/>
      <c r="X35" s="532"/>
      <c r="Y35" s="515"/>
      <c r="Z35" s="515"/>
      <c r="AA35" s="515"/>
      <c r="AB35" s="529"/>
      <c r="AC35" s="547"/>
      <c r="AD35" s="532"/>
      <c r="AE35" s="532"/>
      <c r="AF35" s="532"/>
      <c r="AG35" s="532"/>
      <c r="AH35" s="532"/>
      <c r="AI35" s="532"/>
      <c r="AJ35" s="532"/>
      <c r="AK35" s="531"/>
      <c r="AL35" s="532"/>
      <c r="AM35" s="532"/>
      <c r="AN35" s="532"/>
      <c r="AO35" s="532"/>
      <c r="AP35" s="532"/>
      <c r="AQ35" s="542"/>
      <c r="AR35" s="561"/>
      <c r="AS35" s="542"/>
      <c r="AT35" s="542"/>
      <c r="AU35" s="542"/>
      <c r="AV35" s="542"/>
      <c r="AW35" s="542"/>
      <c r="AX35" s="519"/>
      <c r="AY35" s="542"/>
      <c r="AZ35" s="542"/>
      <c r="BA35" s="542"/>
      <c r="BB35" s="542"/>
      <c r="BC35" s="542"/>
      <c r="BD35" s="542"/>
      <c r="BE35" s="542"/>
      <c r="BF35" s="542"/>
      <c r="BG35" s="542"/>
      <c r="BH35" s="542"/>
      <c r="BI35" s="542"/>
      <c r="BJ35" s="542"/>
      <c r="BK35" s="519"/>
      <c r="BL35" s="548"/>
      <c r="BM35" s="542"/>
      <c r="BN35" s="542"/>
      <c r="BO35" s="542"/>
      <c r="BP35" s="542"/>
      <c r="BQ35" s="542"/>
      <c r="BR35" s="542"/>
      <c r="BS35" s="542"/>
      <c r="BT35" s="542"/>
      <c r="BU35" s="542"/>
      <c r="BV35" s="542"/>
      <c r="BW35" s="542"/>
      <c r="BX35" s="519"/>
      <c r="BY35" s="542"/>
      <c r="BZ35" s="542"/>
      <c r="CA35" s="542"/>
      <c r="CB35" s="542"/>
      <c r="CC35" s="542"/>
      <c r="CD35" s="542"/>
      <c r="CE35" s="522"/>
      <c r="CF35" s="542"/>
      <c r="CG35" s="522"/>
      <c r="CH35" s="533"/>
      <c r="CI35" s="533"/>
      <c r="CJ35" s="544"/>
      <c r="CK35" s="528">
        <f t="shared" si="10"/>
        <v>0</v>
      </c>
      <c r="CL35" s="535"/>
      <c r="CM35" s="536"/>
      <c r="CN35" s="536"/>
      <c r="CO35" s="536"/>
      <c r="CP35" s="536"/>
      <c r="CQ35" s="536"/>
      <c r="CR35" s="536"/>
      <c r="CS35" s="536"/>
      <c r="CT35" s="536"/>
      <c r="CU35" s="536"/>
      <c r="CV35" s="536"/>
      <c r="CW35" s="536"/>
      <c r="CX35" s="528">
        <f t="shared" si="11"/>
        <v>0</v>
      </c>
      <c r="DK35" s="519">
        <f t="shared" si="12"/>
        <v>0</v>
      </c>
      <c r="DX35" s="519">
        <f t="shared" si="13"/>
        <v>0</v>
      </c>
      <c r="EK35" s="519">
        <f t="shared" si="14"/>
        <v>0</v>
      </c>
    </row>
    <row r="36" spans="1:183" s="481" customFormat="1">
      <c r="A36" s="591"/>
      <c r="B36" s="591" t="s">
        <v>243</v>
      </c>
      <c r="C36" s="591"/>
      <c r="D36" s="591"/>
      <c r="E36" s="591"/>
      <c r="F36" s="591"/>
      <c r="G36" s="591"/>
      <c r="H36" s="591"/>
      <c r="I36" s="591"/>
      <c r="J36" s="591"/>
      <c r="K36" s="591"/>
      <c r="L36" s="591"/>
      <c r="M36" s="591"/>
      <c r="N36" s="591"/>
      <c r="O36" s="591"/>
      <c r="P36" s="591"/>
      <c r="Q36" s="591"/>
      <c r="R36" s="591"/>
      <c r="S36" s="591"/>
      <c r="T36" s="591"/>
      <c r="U36" s="591"/>
      <c r="V36" s="591"/>
      <c r="W36" s="591"/>
      <c r="X36" s="591"/>
      <c r="Y36" s="591"/>
      <c r="Z36" s="591"/>
      <c r="AA36" s="591"/>
      <c r="AB36" s="592"/>
      <c r="AC36" s="592"/>
      <c r="AD36" s="591"/>
      <c r="AE36" s="591"/>
      <c r="AF36" s="591"/>
      <c r="AG36" s="591"/>
      <c r="AH36" s="591"/>
      <c r="AI36" s="591"/>
      <c r="AJ36" s="591"/>
      <c r="AK36" s="591"/>
      <c r="AL36" s="591"/>
      <c r="AM36" s="591"/>
      <c r="AN36" s="591"/>
      <c r="AO36" s="591"/>
      <c r="AP36" s="591"/>
      <c r="AQ36" s="591"/>
      <c r="AR36" s="591"/>
      <c r="AS36" s="591"/>
      <c r="AT36" s="591"/>
      <c r="AU36" s="591"/>
      <c r="AV36" s="591"/>
      <c r="AW36" s="591"/>
      <c r="AX36" s="591"/>
      <c r="AY36" s="591"/>
      <c r="AZ36" s="591"/>
      <c r="BA36" s="591"/>
      <c r="BB36" s="591"/>
      <c r="BC36" s="591"/>
      <c r="BD36" s="591"/>
      <c r="BE36" s="591"/>
      <c r="BF36" s="591"/>
      <c r="BG36" s="591"/>
      <c r="BH36" s="591"/>
      <c r="BI36" s="591"/>
      <c r="BJ36" s="591"/>
      <c r="BK36" s="591"/>
      <c r="BL36" s="591"/>
      <c r="BM36" s="591"/>
      <c r="BN36" s="591"/>
      <c r="BO36" s="591"/>
      <c r="BP36" s="591"/>
      <c r="BQ36" s="591"/>
      <c r="BR36" s="591"/>
      <c r="BS36" s="591"/>
      <c r="BT36" s="591"/>
      <c r="BU36" s="591"/>
      <c r="BV36" s="591"/>
      <c r="BW36" s="591"/>
      <c r="BX36" s="591"/>
      <c r="BY36" s="591"/>
      <c r="BZ36" s="591"/>
      <c r="CA36" s="591"/>
      <c r="CB36" s="591"/>
      <c r="CC36" s="591"/>
      <c r="CD36" s="591"/>
      <c r="CE36" s="591"/>
      <c r="CF36" s="591"/>
      <c r="CG36" s="591"/>
      <c r="CH36" s="591"/>
      <c r="CI36" s="591"/>
      <c r="CJ36" s="591"/>
      <c r="CK36" s="593">
        <f>SUM(CK5:CK35)-CK4</f>
        <v>248270.74000000017</v>
      </c>
      <c r="CL36" s="536"/>
      <c r="CM36" s="536"/>
      <c r="CN36" s="536"/>
      <c r="CO36" s="536"/>
      <c r="CP36" s="536"/>
      <c r="CQ36" s="536"/>
      <c r="CR36" s="536"/>
      <c r="CS36" s="536"/>
      <c r="CT36" s="536"/>
      <c r="CU36" s="536"/>
      <c r="CV36" s="536"/>
      <c r="CW36" s="536"/>
      <c r="CX36" s="593">
        <f>SUM(CX5:CX35)-CX4</f>
        <v>0</v>
      </c>
      <c r="CY36" s="480"/>
      <c r="CZ36" s="480"/>
      <c r="DA36" s="480"/>
      <c r="DB36" s="480"/>
      <c r="DC36" s="480"/>
      <c r="DD36" s="480"/>
      <c r="DE36" s="480"/>
      <c r="DF36" s="480"/>
      <c r="DG36" s="480"/>
      <c r="DH36" s="480"/>
      <c r="DI36" s="480"/>
      <c r="DJ36" s="480"/>
      <c r="DK36" s="594">
        <f>SUM(DK5:DK35)-DK4</f>
        <v>316.45999999993364</v>
      </c>
      <c r="DL36" s="480"/>
      <c r="DM36" s="480"/>
      <c r="DN36" s="480"/>
      <c r="DO36" s="480"/>
      <c r="DP36" s="480"/>
      <c r="DQ36" s="480"/>
      <c r="DR36" s="480"/>
      <c r="DS36" s="480"/>
      <c r="DT36" s="480"/>
      <c r="DU36" s="480"/>
      <c r="DV36" s="480"/>
      <c r="DW36" s="480"/>
      <c r="DX36" s="594">
        <f>SUM(DX5:DX35)-DX4</f>
        <v>0</v>
      </c>
      <c r="DY36" s="480"/>
      <c r="DZ36" s="480"/>
      <c r="EA36" s="480"/>
      <c r="EB36" s="480"/>
      <c r="EC36" s="480"/>
      <c r="ED36" s="480"/>
      <c r="EE36" s="480"/>
      <c r="EF36" s="480"/>
      <c r="EG36" s="480"/>
      <c r="EH36" s="480"/>
      <c r="EI36" s="480"/>
      <c r="EJ36" s="480"/>
      <c r="EK36" s="594">
        <f>SUM(EK5:EK35)-EK4</f>
        <v>0</v>
      </c>
    </row>
    <row r="37" spans="1:183" s="481" customFormat="1">
      <c r="A37" s="480"/>
      <c r="B37" s="480"/>
      <c r="C37" s="480"/>
      <c r="D37" s="480"/>
      <c r="E37" s="480"/>
      <c r="F37" s="480"/>
      <c r="G37" s="480"/>
      <c r="H37" s="480"/>
      <c r="I37" s="480"/>
      <c r="J37" s="480"/>
      <c r="K37" s="480"/>
      <c r="L37" s="480"/>
      <c r="M37" s="480"/>
      <c r="N37" s="480"/>
      <c r="O37" s="480"/>
      <c r="P37" s="480"/>
      <c r="Q37" s="480"/>
      <c r="R37" s="480"/>
      <c r="S37" s="480"/>
      <c r="T37" s="480"/>
      <c r="U37" s="480"/>
      <c r="V37" s="480"/>
      <c r="W37" s="480"/>
      <c r="X37" s="480"/>
      <c r="Y37" s="480"/>
      <c r="Z37" s="480"/>
      <c r="AA37" s="480"/>
      <c r="AD37" s="480"/>
      <c r="AE37" s="480"/>
      <c r="AF37" s="480"/>
      <c r="AG37" s="480"/>
      <c r="AH37" s="480"/>
      <c r="AI37" s="480"/>
      <c r="AJ37" s="480"/>
      <c r="AK37" s="480"/>
      <c r="AL37" s="480"/>
      <c r="AM37" s="480"/>
      <c r="AN37" s="480"/>
      <c r="AO37" s="480"/>
      <c r="AP37" s="480"/>
      <c r="AQ37" s="480"/>
      <c r="AR37" s="480"/>
      <c r="AS37" s="480"/>
      <c r="AT37" s="480"/>
      <c r="AU37" s="480"/>
      <c r="AV37" s="480"/>
      <c r="AW37" s="480"/>
      <c r="AX37" s="480"/>
      <c r="AY37" s="480"/>
      <c r="AZ37" s="480"/>
      <c r="BA37" s="480"/>
      <c r="BB37" s="480"/>
      <c r="BC37" s="480"/>
      <c r="BD37" s="480"/>
      <c r="BE37" s="480"/>
      <c r="BF37" s="480"/>
      <c r="BG37" s="480"/>
      <c r="BH37" s="480"/>
      <c r="BI37" s="480"/>
      <c r="BJ37" s="480"/>
      <c r="BK37" s="480"/>
      <c r="BL37" s="480"/>
      <c r="BM37" s="480"/>
      <c r="BN37" s="480"/>
      <c r="BO37" s="480"/>
      <c r="BP37" s="480"/>
      <c r="BQ37" s="480"/>
      <c r="BR37" s="480"/>
      <c r="BS37" s="480"/>
      <c r="BT37" s="480"/>
      <c r="BU37" s="480"/>
      <c r="BV37" s="480"/>
      <c r="BW37" s="480"/>
      <c r="BX37" s="480"/>
      <c r="BY37" s="480"/>
      <c r="BZ37" s="480"/>
      <c r="CA37" s="480"/>
      <c r="CB37" s="480"/>
      <c r="CC37" s="480"/>
      <c r="CD37" s="480"/>
      <c r="CE37" s="480"/>
      <c r="CF37" s="480"/>
      <c r="CG37" s="480"/>
      <c r="CH37" s="480"/>
      <c r="CI37" s="480"/>
      <c r="CJ37" s="480"/>
      <c r="CK37" s="482"/>
      <c r="CL37" s="480"/>
      <c r="CM37" s="480"/>
      <c r="CN37" s="480"/>
      <c r="CO37" s="480"/>
      <c r="CP37" s="480"/>
      <c r="CQ37" s="480"/>
      <c r="CR37" s="480"/>
      <c r="CS37" s="480"/>
      <c r="CT37" s="480"/>
      <c r="CU37" s="480"/>
      <c r="CV37" s="480"/>
      <c r="CW37" s="480"/>
      <c r="CX37" s="856"/>
      <c r="CY37" s="480"/>
      <c r="CZ37" s="480"/>
      <c r="DA37" s="480"/>
      <c r="DB37" s="480"/>
      <c r="DC37" s="480"/>
      <c r="DD37" s="480"/>
      <c r="DE37" s="480"/>
      <c r="DF37" s="480"/>
      <c r="DG37" s="480"/>
      <c r="DH37" s="480"/>
      <c r="DI37" s="480"/>
      <c r="DJ37" s="480"/>
      <c r="DK37" s="482"/>
      <c r="DL37" s="480"/>
      <c r="DM37" s="480"/>
      <c r="DN37" s="480"/>
      <c r="DO37" s="480"/>
      <c r="DP37" s="480"/>
      <c r="DQ37" s="480"/>
      <c r="DR37" s="480"/>
      <c r="DS37" s="480"/>
      <c r="DT37" s="480"/>
      <c r="DU37" s="480"/>
      <c r="DV37" s="480"/>
      <c r="DW37" s="480"/>
      <c r="DX37" s="482"/>
      <c r="DY37" s="480"/>
      <c r="DZ37" s="480"/>
      <c r="EA37" s="480"/>
      <c r="EB37" s="480"/>
      <c r="EC37" s="480"/>
      <c r="ED37" s="480"/>
      <c r="EE37" s="480"/>
      <c r="EF37" s="480"/>
      <c r="EG37" s="480"/>
      <c r="EH37" s="480"/>
      <c r="EI37" s="480"/>
      <c r="EJ37" s="480"/>
      <c r="EK37" s="482"/>
    </row>
    <row r="38" spans="1:183" s="481" customFormat="1">
      <c r="A38" s="480"/>
      <c r="CC38" s="480"/>
      <c r="CD38" s="480"/>
      <c r="CE38" s="480"/>
      <c r="CF38" s="480"/>
      <c r="CG38" s="480"/>
      <c r="CH38" s="480"/>
      <c r="CI38" s="480"/>
      <c r="CJ38" s="480"/>
      <c r="CK38" s="482"/>
      <c r="CL38" s="480"/>
      <c r="CM38" s="480"/>
      <c r="CN38" s="480"/>
      <c r="CO38" s="480"/>
      <c r="CP38" s="480"/>
      <c r="CQ38" s="480"/>
      <c r="CR38" s="480"/>
      <c r="CS38" s="480"/>
      <c r="CT38" s="480"/>
      <c r="CU38" s="480"/>
      <c r="CV38" s="480"/>
      <c r="CW38" s="480"/>
      <c r="CX38" s="482"/>
      <c r="CY38" s="480"/>
      <c r="CZ38" s="480"/>
      <c r="DA38" s="480"/>
      <c r="DB38" s="480"/>
      <c r="DC38" s="480"/>
      <c r="DD38" s="480"/>
      <c r="DE38" s="480"/>
      <c r="DF38" s="480"/>
      <c r="DG38" s="480"/>
      <c r="DH38" s="480"/>
      <c r="DI38" s="480"/>
      <c r="DJ38" s="480"/>
      <c r="DK38" s="482"/>
      <c r="DL38" s="480"/>
      <c r="DM38" s="480"/>
      <c r="DN38" s="480"/>
      <c r="DO38" s="480"/>
      <c r="DP38" s="480"/>
      <c r="DQ38" s="480"/>
      <c r="DR38" s="480"/>
      <c r="DS38" s="480"/>
      <c r="DT38" s="480"/>
      <c r="DU38" s="480"/>
      <c r="DV38" s="480"/>
      <c r="DW38" s="480"/>
      <c r="DX38" s="482"/>
      <c r="DY38" s="480"/>
      <c r="DZ38" s="480"/>
      <c r="EA38" s="480"/>
      <c r="EB38" s="480"/>
      <c r="EC38" s="480"/>
      <c r="ED38" s="480"/>
      <c r="EE38" s="480"/>
      <c r="EF38" s="480"/>
      <c r="EG38" s="480"/>
      <c r="EH38" s="480"/>
      <c r="EI38" s="480"/>
      <c r="EJ38" s="480"/>
      <c r="EK38" s="482"/>
    </row>
    <row r="39" spans="1:183" s="481" customFormat="1" ht="15">
      <c r="A39" s="480"/>
      <c r="CC39" s="480"/>
      <c r="CD39" s="480"/>
      <c r="CE39" s="480"/>
      <c r="CF39" s="480"/>
      <c r="CG39" s="480"/>
      <c r="CH39" s="480"/>
      <c r="CI39" s="480"/>
      <c r="CJ39" s="480"/>
      <c r="CK39" s="482"/>
      <c r="CL39" s="480"/>
      <c r="CM39" s="480"/>
      <c r="CN39" s="480"/>
      <c r="CO39" s="480"/>
      <c r="CP39" s="480"/>
      <c r="CQ39" s="480"/>
      <c r="CR39" s="480"/>
      <c r="CS39" s="480"/>
      <c r="CT39" s="480"/>
      <c r="CU39" s="480"/>
      <c r="CV39" s="480"/>
      <c r="CW39" s="480"/>
      <c r="CX39" s="482"/>
      <c r="CY39" s="480"/>
      <c r="CZ39" s="480"/>
      <c r="DA39" s="480"/>
      <c r="DB39" s="480"/>
      <c r="DC39" s="480"/>
      <c r="DD39" s="480"/>
      <c r="DE39" s="491" t="s">
        <v>519</v>
      </c>
      <c r="DF39" s="491" t="s">
        <v>520</v>
      </c>
      <c r="DG39" s="491" t="s">
        <v>521</v>
      </c>
      <c r="DH39" s="491" t="s">
        <v>522</v>
      </c>
      <c r="DI39" s="511" t="s">
        <v>675</v>
      </c>
      <c r="DJ39" s="511"/>
      <c r="DK39" s="480"/>
      <c r="DL39" s="480"/>
      <c r="DM39" s="480"/>
      <c r="DN39" s="480"/>
      <c r="DO39" s="480"/>
      <c r="DP39" s="480"/>
      <c r="DQ39" s="480"/>
      <c r="DR39" s="480"/>
      <c r="DS39" s="480"/>
      <c r="DT39" s="480"/>
      <c r="DU39" s="480"/>
      <c r="DV39" s="480"/>
      <c r="DW39" s="480"/>
      <c r="DX39" s="480"/>
      <c r="DY39" s="480"/>
      <c r="DZ39" s="480"/>
      <c r="EC39" s="480"/>
      <c r="ED39" s="480"/>
      <c r="EE39" s="480"/>
      <c r="EF39" s="480"/>
      <c r="EG39" s="480"/>
      <c r="EH39" s="480"/>
      <c r="EI39" s="480"/>
      <c r="EJ39" s="480"/>
      <c r="EK39" s="480"/>
      <c r="EL39" s="480"/>
      <c r="EM39" s="480"/>
      <c r="EN39" s="480"/>
      <c r="EO39" s="480"/>
      <c r="EP39" s="480"/>
      <c r="EQ39" s="480"/>
      <c r="ER39" s="480"/>
      <c r="ES39" s="480"/>
      <c r="ET39" s="480"/>
      <c r="EU39" s="480"/>
      <c r="EV39" s="480"/>
      <c r="EW39" s="480"/>
      <c r="EX39" s="480"/>
      <c r="EY39" s="480"/>
      <c r="EZ39" s="480"/>
      <c r="FA39" s="480"/>
      <c r="FB39" s="480"/>
      <c r="FC39" s="480"/>
      <c r="FD39" s="480"/>
      <c r="FE39" s="480"/>
      <c r="FF39" s="480"/>
      <c r="FG39" s="480"/>
      <c r="FH39" s="480"/>
      <c r="FI39" s="480"/>
      <c r="FJ39" s="480"/>
      <c r="FK39" s="480"/>
      <c r="FL39" s="480"/>
      <c r="FM39" s="480"/>
      <c r="FN39" s="480"/>
      <c r="FO39" s="480"/>
      <c r="FP39" s="480"/>
      <c r="FQ39" s="480"/>
      <c r="FR39" s="480"/>
      <c r="FS39" s="480"/>
      <c r="FT39" s="480"/>
      <c r="FU39" s="480"/>
      <c r="FV39" s="480"/>
      <c r="FW39" s="480"/>
      <c r="FX39" s="491" t="s">
        <v>519</v>
      </c>
      <c r="FY39" s="491" t="s">
        <v>520</v>
      </c>
      <c r="FZ39" s="491" t="s">
        <v>521</v>
      </c>
      <c r="GA39" s="491" t="s">
        <v>522</v>
      </c>
    </row>
    <row r="40" spans="1:183" s="481" customFormat="1">
      <c r="A40" s="480"/>
      <c r="CC40" s="480"/>
      <c r="CD40" s="480"/>
      <c r="CE40" s="480"/>
      <c r="CF40" s="480"/>
      <c r="CG40" s="480"/>
      <c r="CH40" s="480"/>
      <c r="CI40" s="480"/>
      <c r="CJ40" s="480"/>
      <c r="CK40" s="482"/>
      <c r="CL40" s="480"/>
      <c r="CM40" s="480"/>
      <c r="CN40" s="480"/>
      <c r="CO40" s="480"/>
      <c r="CP40" s="480"/>
      <c r="CQ40" s="480"/>
      <c r="CR40" s="480"/>
      <c r="CS40" s="480"/>
      <c r="CT40" s="480"/>
      <c r="CU40" s="480"/>
      <c r="CV40" s="480"/>
      <c r="CW40" s="480"/>
      <c r="CX40" s="482"/>
      <c r="CY40" s="480"/>
      <c r="CZ40" s="480"/>
      <c r="DA40" s="480" t="str">
        <f t="shared" ref="DA40:DA45" si="23">+B5</f>
        <v>Prestamo ICO Caixa - 99k Eur</v>
      </c>
      <c r="DB40" s="480"/>
      <c r="DC40" s="480"/>
      <c r="DD40" s="480"/>
      <c r="DE40" s="481">
        <v>1438.66</v>
      </c>
      <c r="DF40" s="595">
        <v>46850</v>
      </c>
      <c r="DG40" s="596">
        <v>99000</v>
      </c>
      <c r="DH40" s="517">
        <v>68337.56</v>
      </c>
      <c r="DI40" s="480"/>
      <c r="DJ40" s="480"/>
      <c r="DK40" s="480"/>
      <c r="DL40" s="480"/>
      <c r="DM40" s="480"/>
      <c r="DN40" s="480"/>
      <c r="DO40" s="480"/>
      <c r="DP40" s="480"/>
      <c r="DQ40" s="480"/>
      <c r="DR40" s="480"/>
      <c r="DS40" s="480"/>
      <c r="DT40" s="480"/>
      <c r="DU40" s="480"/>
      <c r="DV40" s="480"/>
      <c r="DW40" s="480"/>
      <c r="DX40" s="480"/>
      <c r="DY40" s="480"/>
      <c r="DZ40" s="480"/>
      <c r="EC40" s="480"/>
      <c r="ED40" s="480"/>
      <c r="EE40" s="480"/>
      <c r="EF40" s="480"/>
      <c r="EG40" s="480"/>
      <c r="EH40" s="480"/>
      <c r="EI40" s="480"/>
      <c r="EJ40" s="480"/>
      <c r="EK40" s="480"/>
      <c r="EL40" s="480"/>
      <c r="EM40" s="480"/>
      <c r="EN40" s="480"/>
      <c r="EO40" s="480"/>
      <c r="EP40" s="480"/>
      <c r="EQ40" s="480"/>
      <c r="ER40" s="480"/>
      <c r="ES40" s="480"/>
      <c r="ET40" s="480"/>
      <c r="EU40" s="480"/>
      <c r="EV40" s="480"/>
      <c r="EW40" s="480"/>
      <c r="EX40" s="480"/>
      <c r="EY40" s="480"/>
      <c r="EZ40" s="480"/>
      <c r="FA40" s="480"/>
      <c r="FB40" s="480"/>
      <c r="FC40" s="480"/>
      <c r="FD40" s="480"/>
      <c r="FE40" s="480"/>
      <c r="FF40" s="480"/>
      <c r="FG40" s="480"/>
      <c r="FH40" s="480"/>
      <c r="FI40" s="480"/>
      <c r="FJ40" s="480"/>
      <c r="FK40" s="480"/>
      <c r="FL40" s="480"/>
      <c r="FM40" s="480"/>
      <c r="FN40" s="480"/>
      <c r="FO40" s="480"/>
      <c r="FP40" s="480"/>
      <c r="FQ40" s="480"/>
      <c r="FR40" s="480"/>
      <c r="FS40" s="480"/>
      <c r="FT40" s="480"/>
      <c r="FU40" s="480"/>
      <c r="FV40" s="480"/>
      <c r="FW40" s="480"/>
      <c r="FX40" s="481">
        <v>1438.66</v>
      </c>
      <c r="FY40" s="595">
        <v>46850</v>
      </c>
      <c r="FZ40" s="596">
        <v>99000</v>
      </c>
      <c r="GA40" s="517">
        <v>68337.56</v>
      </c>
    </row>
    <row r="41" spans="1:183" s="481" customFormat="1">
      <c r="A41" s="480"/>
      <c r="CC41" s="480"/>
      <c r="CD41" s="480"/>
      <c r="CE41" s="480"/>
      <c r="CF41" s="480"/>
      <c r="CG41" s="480"/>
      <c r="CH41" s="480"/>
      <c r="CI41" s="480"/>
      <c r="CJ41" s="480"/>
      <c r="CK41" s="482"/>
      <c r="CL41" s="480"/>
      <c r="CM41" s="480"/>
      <c r="CN41" s="480"/>
      <c r="CO41" s="480"/>
      <c r="CP41" s="480"/>
      <c r="CQ41" s="480"/>
      <c r="CR41" s="480"/>
      <c r="CS41" s="480"/>
      <c r="CT41" s="480"/>
      <c r="CU41" s="480"/>
      <c r="CV41" s="480"/>
      <c r="CW41" s="480"/>
      <c r="CX41" s="482"/>
      <c r="CY41" s="480"/>
      <c r="CZ41" s="480"/>
      <c r="DA41" s="480" t="str">
        <f t="shared" si="23"/>
        <v>Prestamo ICO Santander - 100k Eur</v>
      </c>
      <c r="DB41" s="480"/>
      <c r="DC41" s="480"/>
      <c r="DD41" s="480"/>
      <c r="DE41" s="481">
        <v>1453.19</v>
      </c>
      <c r="DF41" s="595">
        <v>46845</v>
      </c>
      <c r="DG41" s="596">
        <v>100000</v>
      </c>
      <c r="DH41" s="517">
        <v>69027.899999999994</v>
      </c>
      <c r="DI41" s="480"/>
      <c r="DJ41" s="480"/>
      <c r="DK41" s="480"/>
      <c r="DL41" s="480"/>
      <c r="DM41" s="480"/>
      <c r="DN41" s="480"/>
      <c r="DO41" s="480"/>
      <c r="DP41" s="480"/>
      <c r="DQ41" s="480"/>
      <c r="DR41" s="480"/>
      <c r="DS41" s="480"/>
      <c r="DT41" s="480"/>
      <c r="DU41" s="480"/>
      <c r="DV41" s="480"/>
      <c r="DW41" s="480"/>
      <c r="DX41" s="480"/>
      <c r="DY41" s="480"/>
      <c r="DZ41" s="480"/>
      <c r="EC41" s="480"/>
      <c r="ED41" s="480"/>
      <c r="EE41" s="480"/>
      <c r="EF41" s="480"/>
      <c r="EG41" s="480"/>
      <c r="EH41" s="480"/>
      <c r="EI41" s="480"/>
      <c r="EJ41" s="480"/>
      <c r="EK41" s="480"/>
      <c r="EL41" s="480"/>
      <c r="EM41" s="480"/>
      <c r="EN41" s="480"/>
      <c r="EO41" s="480"/>
      <c r="EP41" s="480"/>
      <c r="EQ41" s="480"/>
      <c r="ER41" s="480"/>
      <c r="ES41" s="480"/>
      <c r="ET41" s="480"/>
      <c r="EU41" s="480"/>
      <c r="EV41" s="480"/>
      <c r="EW41" s="480"/>
      <c r="EX41" s="480"/>
      <c r="EY41" s="480"/>
      <c r="EZ41" s="480"/>
      <c r="FA41" s="480"/>
      <c r="FB41" s="480"/>
      <c r="FC41" s="480"/>
      <c r="FD41" s="480"/>
      <c r="FE41" s="480"/>
      <c r="FF41" s="480"/>
      <c r="FG41" s="480"/>
      <c r="FH41" s="480"/>
      <c r="FI41" s="480"/>
      <c r="FJ41" s="480"/>
      <c r="FK41" s="480"/>
      <c r="FL41" s="480"/>
      <c r="FM41" s="480"/>
      <c r="FN41" s="480"/>
      <c r="FO41" s="480"/>
      <c r="FP41" s="480"/>
      <c r="FQ41" s="480"/>
      <c r="FR41" s="480"/>
      <c r="FS41" s="480"/>
      <c r="FT41" s="480"/>
      <c r="FU41" s="480"/>
      <c r="FV41" s="480"/>
      <c r="FW41" s="480"/>
      <c r="FX41" s="481">
        <v>1453.19</v>
      </c>
      <c r="FY41" s="595">
        <v>46845</v>
      </c>
      <c r="FZ41" s="596">
        <v>100000</v>
      </c>
      <c r="GA41" s="517">
        <v>69027.899999999994</v>
      </c>
    </row>
    <row r="42" spans="1:183" s="481" customFormat="1">
      <c r="A42" s="480"/>
      <c r="CC42" s="480"/>
      <c r="CD42" s="480"/>
      <c r="CE42" s="480"/>
      <c r="CF42" s="480"/>
      <c r="CG42" s="480"/>
      <c r="CH42" s="480"/>
      <c r="CI42" s="480"/>
      <c r="CJ42" s="480"/>
      <c r="CK42" s="482"/>
      <c r="CL42" s="480"/>
      <c r="CM42" s="480"/>
      <c r="CN42" s="480"/>
      <c r="CO42" s="480"/>
      <c r="CP42" s="480"/>
      <c r="CQ42" s="480"/>
      <c r="CR42" s="480"/>
      <c r="CS42" s="480"/>
      <c r="CT42" s="480"/>
      <c r="CU42" s="480"/>
      <c r="CV42" s="480"/>
      <c r="CW42" s="480"/>
      <c r="CX42" s="482"/>
      <c r="CY42" s="480"/>
      <c r="CZ42" s="480"/>
      <c r="DA42" s="480" t="str">
        <f t="shared" si="23"/>
        <v>Hipotecario RA11 - BBVA</v>
      </c>
      <c r="DB42" s="480"/>
      <c r="DC42" s="480"/>
      <c r="DD42" s="480"/>
      <c r="DE42" s="481">
        <v>2559.33</v>
      </c>
      <c r="DF42" s="595">
        <v>49887</v>
      </c>
      <c r="DG42" s="596">
        <v>400000</v>
      </c>
      <c r="DH42" s="517">
        <v>339050.45</v>
      </c>
      <c r="DI42" s="480"/>
      <c r="DJ42" s="480"/>
      <c r="DK42" s="480"/>
      <c r="DL42" s="480"/>
      <c r="DM42" s="480"/>
      <c r="DN42" s="480"/>
      <c r="DO42" s="480"/>
      <c r="DP42" s="480"/>
      <c r="DQ42" s="480"/>
      <c r="DR42" s="480"/>
      <c r="DS42" s="480"/>
      <c r="DT42" s="480"/>
      <c r="DU42" s="480"/>
      <c r="DV42" s="480"/>
      <c r="DW42" s="480"/>
      <c r="DX42" s="480"/>
      <c r="DY42" s="480"/>
      <c r="DZ42" s="480"/>
      <c r="EC42" s="480"/>
      <c r="ED42" s="480"/>
      <c r="EE42" s="480"/>
      <c r="EF42" s="480"/>
      <c r="EG42" s="480"/>
      <c r="EH42" s="480"/>
      <c r="EI42" s="480"/>
      <c r="EJ42" s="480"/>
      <c r="EK42" s="480"/>
      <c r="EL42" s="480"/>
      <c r="EM42" s="480"/>
      <c r="EN42" s="480"/>
      <c r="EO42" s="480"/>
      <c r="EP42" s="480"/>
      <c r="EQ42" s="480"/>
      <c r="ER42" s="480"/>
      <c r="ES42" s="480"/>
      <c r="ET42" s="480"/>
      <c r="EU42" s="480"/>
      <c r="EV42" s="480"/>
      <c r="EW42" s="480"/>
      <c r="EX42" s="480"/>
      <c r="EY42" s="480"/>
      <c r="EZ42" s="480"/>
      <c r="FA42" s="480"/>
      <c r="FB42" s="480"/>
      <c r="FC42" s="480"/>
      <c r="FD42" s="480"/>
      <c r="FE42" s="480"/>
      <c r="FF42" s="480"/>
      <c r="FG42" s="480"/>
      <c r="FH42" s="480"/>
      <c r="FI42" s="480"/>
      <c r="FJ42" s="480"/>
      <c r="FK42" s="480"/>
      <c r="FL42" s="480"/>
      <c r="FM42" s="480"/>
      <c r="FN42" s="480"/>
      <c r="FO42" s="480"/>
      <c r="FP42" s="480"/>
      <c r="FQ42" s="480"/>
      <c r="FR42" s="480"/>
      <c r="FS42" s="480"/>
      <c r="FT42" s="480"/>
      <c r="FU42" s="480"/>
      <c r="FV42" s="480"/>
      <c r="FW42" s="480"/>
      <c r="FX42" s="481">
        <v>2559.33</v>
      </c>
      <c r="FY42" s="595">
        <v>49887</v>
      </c>
      <c r="FZ42" s="596">
        <v>400000</v>
      </c>
      <c r="GA42" s="517">
        <v>339050.45</v>
      </c>
    </row>
    <row r="43" spans="1:183" s="481" customFormat="1">
      <c r="A43" s="480"/>
      <c r="CC43" s="480"/>
      <c r="CD43" s="480"/>
      <c r="CE43" s="480"/>
      <c r="CF43" s="480"/>
      <c r="CG43" s="480"/>
      <c r="CH43" s="480"/>
      <c r="CI43" s="480"/>
      <c r="CJ43" s="480"/>
      <c r="CK43" s="482"/>
      <c r="CL43" s="480"/>
      <c r="CM43" s="480"/>
      <c r="CN43" s="480"/>
      <c r="CO43" s="480"/>
      <c r="CP43" s="480"/>
      <c r="CQ43" s="480"/>
      <c r="CR43" s="480"/>
      <c r="CS43" s="480"/>
      <c r="CT43" s="480"/>
      <c r="CU43" s="480"/>
      <c r="CV43" s="480"/>
      <c r="CW43" s="480"/>
      <c r="CX43" s="482"/>
      <c r="CY43" s="480"/>
      <c r="CZ43" s="480"/>
      <c r="DA43" s="480" t="str">
        <f t="shared" si="23"/>
        <v>Hipotecario San Rafael - Santander</v>
      </c>
      <c r="DB43" s="480"/>
      <c r="DC43" s="480"/>
      <c r="DD43" s="480"/>
      <c r="DE43" s="517">
        <v>10182.32</v>
      </c>
      <c r="DF43" s="595">
        <v>47361</v>
      </c>
      <c r="DG43" s="596">
        <v>431087</v>
      </c>
      <c r="DH43" s="517">
        <v>184060.61</v>
      </c>
      <c r="DI43" s="480"/>
      <c r="DJ43" s="480"/>
      <c r="DK43" s="480"/>
      <c r="DL43" s="480"/>
      <c r="DM43" s="480"/>
      <c r="DN43" s="480"/>
      <c r="DO43" s="480"/>
      <c r="DP43" s="480"/>
      <c r="DQ43" s="480"/>
      <c r="DR43" s="480"/>
      <c r="DS43" s="480"/>
      <c r="DT43" s="480"/>
      <c r="DU43" s="480"/>
      <c r="DV43" s="480"/>
      <c r="DW43" s="480"/>
      <c r="DX43" s="480"/>
      <c r="DY43" s="480"/>
      <c r="DZ43" s="480"/>
      <c r="EC43" s="480"/>
      <c r="ED43" s="480"/>
      <c r="EE43" s="480"/>
      <c r="EF43" s="480"/>
      <c r="EG43" s="480"/>
      <c r="EH43" s="480"/>
      <c r="EI43" s="480"/>
      <c r="EJ43" s="480"/>
      <c r="EK43" s="480"/>
      <c r="EL43" s="480"/>
      <c r="EM43" s="480"/>
      <c r="EN43" s="480"/>
      <c r="EO43" s="480"/>
      <c r="EP43" s="480"/>
      <c r="EQ43" s="480"/>
      <c r="ER43" s="480"/>
      <c r="ES43" s="480"/>
      <c r="ET43" s="480"/>
      <c r="EU43" s="480"/>
      <c r="EV43" s="480"/>
      <c r="EW43" s="480"/>
      <c r="EX43" s="480"/>
      <c r="EY43" s="480"/>
      <c r="EZ43" s="480"/>
      <c r="FA43" s="480"/>
      <c r="FB43" s="480"/>
      <c r="FC43" s="480"/>
      <c r="FD43" s="480"/>
      <c r="FE43" s="480"/>
      <c r="FF43" s="480"/>
      <c r="FG43" s="480"/>
      <c r="FH43" s="480"/>
      <c r="FI43" s="480"/>
      <c r="FJ43" s="480"/>
      <c r="FK43" s="480"/>
      <c r="FL43" s="480"/>
      <c r="FM43" s="480"/>
      <c r="FN43" s="480"/>
      <c r="FO43" s="480"/>
      <c r="FP43" s="480"/>
      <c r="FQ43" s="480"/>
      <c r="FR43" s="480"/>
      <c r="FS43" s="480"/>
      <c r="FT43" s="480"/>
      <c r="FU43" s="480"/>
      <c r="FV43" s="480"/>
      <c r="FW43" s="480"/>
      <c r="FX43" s="517">
        <v>10182.32</v>
      </c>
      <c r="FY43" s="595">
        <v>47361</v>
      </c>
      <c r="FZ43" s="596">
        <v>431087</v>
      </c>
      <c r="GA43" s="517">
        <v>184060.61</v>
      </c>
    </row>
    <row r="44" spans="1:183" s="481" customFormat="1">
      <c r="A44" s="480"/>
      <c r="CC44" s="480"/>
      <c r="CD44" s="480"/>
      <c r="CE44" s="480"/>
      <c r="CF44" s="480"/>
      <c r="CG44" s="480"/>
      <c r="CH44" s="480"/>
      <c r="CI44" s="480"/>
      <c r="CJ44" s="480"/>
      <c r="CK44" s="482"/>
      <c r="CL44" s="480"/>
      <c r="CM44" s="480"/>
      <c r="CN44" s="480"/>
      <c r="CO44" s="480"/>
      <c r="CP44" s="480"/>
      <c r="CQ44" s="480"/>
      <c r="CR44" s="480"/>
      <c r="CS44" s="480"/>
      <c r="CT44" s="480"/>
      <c r="CU44" s="480"/>
      <c r="CV44" s="480"/>
      <c r="CW44" s="480"/>
      <c r="CX44" s="482"/>
      <c r="CY44" s="480"/>
      <c r="CZ44" s="480"/>
      <c r="DA44" s="480" t="str">
        <f t="shared" si="23"/>
        <v>Hipotecario María, Miguel, FedeSantana - Caixa</v>
      </c>
      <c r="DB44" s="480"/>
      <c r="DC44" s="480"/>
      <c r="DD44" s="480"/>
      <c r="DE44" s="517">
        <v>43675.56</v>
      </c>
      <c r="DF44" s="595">
        <v>50675</v>
      </c>
      <c r="DG44" s="596">
        <v>477222</v>
      </c>
      <c r="DH44" s="517">
        <v>477222</v>
      </c>
      <c r="DI44" s="480"/>
      <c r="DJ44" s="480"/>
      <c r="DK44" s="480"/>
      <c r="DL44" s="480"/>
      <c r="DM44" s="480"/>
      <c r="DN44" s="480"/>
      <c r="DO44" s="480"/>
      <c r="DP44" s="480"/>
      <c r="DQ44" s="480"/>
      <c r="DR44" s="480"/>
      <c r="DS44" s="480"/>
      <c r="DT44" s="480"/>
      <c r="DU44" s="480"/>
      <c r="DV44" s="480"/>
      <c r="DW44" s="480"/>
      <c r="DX44" s="480"/>
      <c r="DY44" s="480"/>
      <c r="DZ44" s="480"/>
      <c r="EC44" s="480"/>
      <c r="ED44" s="480"/>
      <c r="EE44" s="480"/>
      <c r="EF44" s="480"/>
      <c r="EG44" s="480"/>
      <c r="EH44" s="480"/>
      <c r="EI44" s="480"/>
      <c r="EJ44" s="480"/>
      <c r="EK44" s="480"/>
      <c r="EL44" s="480"/>
      <c r="EM44" s="480"/>
      <c r="EN44" s="480"/>
      <c r="EO44" s="480"/>
      <c r="EP44" s="480"/>
      <c r="EQ44" s="480"/>
      <c r="ER44" s="480"/>
      <c r="ES44" s="480"/>
      <c r="ET44" s="480"/>
      <c r="EU44" s="480"/>
      <c r="EV44" s="480"/>
      <c r="EW44" s="480"/>
      <c r="EX44" s="480"/>
      <c r="EY44" s="480"/>
      <c r="EZ44" s="480"/>
      <c r="FA44" s="480"/>
      <c r="FB44" s="480"/>
      <c r="FC44" s="480"/>
      <c r="FD44" s="480"/>
      <c r="FE44" s="480"/>
      <c r="FF44" s="480"/>
      <c r="FG44" s="480"/>
      <c r="FH44" s="480"/>
      <c r="FI44" s="480"/>
      <c r="FJ44" s="480"/>
      <c r="FK44" s="480"/>
      <c r="FL44" s="480"/>
      <c r="FM44" s="480"/>
      <c r="FN44" s="480"/>
      <c r="FO44" s="480"/>
      <c r="FP44" s="480"/>
      <c r="FQ44" s="480"/>
      <c r="FR44" s="480"/>
      <c r="FS44" s="480"/>
      <c r="FT44" s="480"/>
      <c r="FU44" s="480"/>
      <c r="FV44" s="480"/>
      <c r="FW44" s="480"/>
      <c r="FX44" s="517">
        <v>43675.56</v>
      </c>
      <c r="FY44" s="595">
        <v>50675</v>
      </c>
      <c r="FZ44" s="596">
        <v>477222</v>
      </c>
      <c r="GA44" s="517">
        <v>477222</v>
      </c>
    </row>
    <row r="45" spans="1:183" s="481" customFormat="1">
      <c r="A45" s="480"/>
      <c r="CC45" s="480"/>
      <c r="CD45" s="480"/>
      <c r="CE45" s="480"/>
      <c r="CF45" s="480"/>
      <c r="CG45" s="480"/>
      <c r="CH45" s="480"/>
      <c r="CI45" s="480"/>
      <c r="CJ45" s="480"/>
      <c r="CK45" s="482"/>
      <c r="CL45" s="480"/>
      <c r="CM45" s="480"/>
      <c r="CN45" s="480"/>
      <c r="CO45" s="480"/>
      <c r="CP45" s="480"/>
      <c r="CQ45" s="480"/>
      <c r="CR45" s="480"/>
      <c r="CS45" s="480"/>
      <c r="CT45" s="480"/>
      <c r="CU45" s="480"/>
      <c r="CV45" s="480"/>
      <c r="CW45" s="480"/>
      <c r="CX45" s="482"/>
      <c r="CY45" s="480"/>
      <c r="CZ45" s="480"/>
      <c r="DA45" s="480" t="str">
        <f t="shared" si="23"/>
        <v>Hipotecario Hnos. Gutierrez - BBVA</v>
      </c>
      <c r="DB45" s="480"/>
      <c r="DC45" s="480"/>
      <c r="DD45" s="480"/>
      <c r="DE45" s="481">
        <v>774.29</v>
      </c>
      <c r="DF45" s="595">
        <v>50770</v>
      </c>
      <c r="DG45" s="596">
        <v>88000</v>
      </c>
      <c r="DH45" s="517">
        <v>87426.49</v>
      </c>
      <c r="DI45" s="480"/>
      <c r="DJ45" s="480"/>
      <c r="DK45" s="480"/>
      <c r="DL45" s="480"/>
      <c r="DM45" s="480"/>
      <c r="DN45" s="480"/>
      <c r="DO45" s="480"/>
      <c r="DP45" s="480"/>
      <c r="DQ45" s="480"/>
      <c r="DR45" s="480"/>
      <c r="DS45" s="480"/>
      <c r="DT45" s="480"/>
      <c r="DU45" s="480"/>
      <c r="DV45" s="480"/>
      <c r="DW45" s="480"/>
      <c r="DX45" s="480"/>
      <c r="DY45" s="480"/>
      <c r="DZ45" s="480"/>
      <c r="EC45" s="480"/>
      <c r="ED45" s="480"/>
      <c r="EE45" s="480"/>
      <c r="EF45" s="480"/>
      <c r="EG45" s="480"/>
      <c r="EH45" s="480"/>
      <c r="EI45" s="480"/>
      <c r="EJ45" s="480"/>
      <c r="EK45" s="480"/>
      <c r="EL45" s="480"/>
      <c r="EM45" s="480"/>
      <c r="EN45" s="480"/>
      <c r="EO45" s="480"/>
      <c r="EP45" s="480"/>
      <c r="EQ45" s="480"/>
      <c r="ER45" s="480"/>
      <c r="ES45" s="480"/>
      <c r="ET45" s="480"/>
      <c r="EU45" s="480"/>
      <c r="EV45" s="480"/>
      <c r="EW45" s="480"/>
      <c r="EX45" s="480"/>
      <c r="EY45" s="480"/>
      <c r="EZ45" s="480"/>
      <c r="FA45" s="480"/>
      <c r="FB45" s="480"/>
      <c r="FC45" s="480"/>
      <c r="FD45" s="480"/>
      <c r="FE45" s="480"/>
      <c r="FF45" s="480"/>
      <c r="FG45" s="480"/>
      <c r="FH45" s="480"/>
      <c r="FI45" s="480"/>
      <c r="FJ45" s="480"/>
      <c r="FK45" s="480"/>
      <c r="FL45" s="480"/>
      <c r="FM45" s="480"/>
      <c r="FN45" s="480"/>
      <c r="FO45" s="480"/>
      <c r="FP45" s="480"/>
      <c r="FQ45" s="480"/>
      <c r="FR45" s="480"/>
      <c r="FS45" s="480"/>
      <c r="FT45" s="480"/>
      <c r="FU45" s="480"/>
      <c r="FV45" s="480"/>
      <c r="FW45" s="480"/>
      <c r="FX45" s="481">
        <v>774.29</v>
      </c>
      <c r="FY45" s="595">
        <v>50770</v>
      </c>
      <c r="FZ45" s="596">
        <v>88000</v>
      </c>
      <c r="GA45" s="517">
        <v>87426.49</v>
      </c>
    </row>
    <row r="46" spans="1:183" s="481" customFormat="1">
      <c r="A46" s="480"/>
      <c r="CC46" s="480"/>
      <c r="CD46" s="480"/>
      <c r="CE46" s="480"/>
      <c r="CF46" s="480"/>
      <c r="CG46" s="480"/>
      <c r="CH46" s="480"/>
      <c r="CI46" s="480"/>
      <c r="CJ46" s="480"/>
      <c r="CK46" s="482"/>
      <c r="CL46" s="480"/>
      <c r="CM46" s="480"/>
      <c r="CN46" s="480"/>
      <c r="CO46" s="480"/>
      <c r="CP46" s="480"/>
      <c r="CQ46" s="480"/>
      <c r="CR46" s="480"/>
      <c r="CS46" s="480"/>
      <c r="CT46" s="480"/>
      <c r="CU46" s="480"/>
      <c r="CV46" s="480"/>
      <c r="CW46" s="480"/>
      <c r="CX46" s="482"/>
      <c r="CY46" s="480"/>
      <c r="CZ46" s="480"/>
      <c r="DA46" s="480" t="str">
        <f t="shared" ref="DA46" si="24">+B11</f>
        <v>Crédito Reforestación - Caixa</v>
      </c>
      <c r="DB46" s="480"/>
      <c r="DC46" s="480"/>
      <c r="DD46" s="480"/>
      <c r="DE46" s="481">
        <v>3361.92</v>
      </c>
      <c r="DF46" s="595">
        <v>45870</v>
      </c>
      <c r="DG46" s="596">
        <v>134250</v>
      </c>
      <c r="DH46" s="517">
        <v>134250</v>
      </c>
      <c r="DI46" s="480"/>
      <c r="DJ46" s="480"/>
      <c r="DK46" s="480"/>
      <c r="DL46" s="480"/>
      <c r="DM46" s="480"/>
      <c r="DN46" s="480"/>
      <c r="DO46" s="480"/>
      <c r="DP46" s="480"/>
      <c r="DQ46" s="480"/>
      <c r="DR46" s="480"/>
      <c r="DS46" s="480"/>
      <c r="DT46" s="480"/>
      <c r="DU46" s="480"/>
      <c r="DV46" s="480"/>
      <c r="DW46" s="480"/>
      <c r="DX46" s="480"/>
      <c r="DY46" s="480"/>
      <c r="DZ46" s="480"/>
      <c r="EC46" s="480"/>
      <c r="ED46" s="480"/>
      <c r="EE46" s="480"/>
      <c r="EF46" s="480"/>
      <c r="EG46" s="480"/>
      <c r="EH46" s="480"/>
      <c r="EI46" s="480"/>
      <c r="EJ46" s="480"/>
      <c r="EK46" s="480"/>
      <c r="EL46" s="480"/>
      <c r="EM46" s="480"/>
      <c r="EN46" s="480"/>
      <c r="EO46" s="480"/>
      <c r="EP46" s="480"/>
      <c r="EQ46" s="480"/>
      <c r="ER46" s="480"/>
      <c r="ES46" s="480"/>
      <c r="ET46" s="480"/>
      <c r="EU46" s="480"/>
      <c r="EV46" s="480"/>
      <c r="EW46" s="480"/>
      <c r="EX46" s="480"/>
      <c r="EY46" s="480"/>
      <c r="EZ46" s="480"/>
      <c r="FA46" s="480"/>
      <c r="FB46" s="480"/>
      <c r="FC46" s="480"/>
      <c r="FD46" s="480"/>
      <c r="FE46" s="480"/>
      <c r="FF46" s="480"/>
      <c r="FG46" s="480"/>
      <c r="FH46" s="480"/>
      <c r="FI46" s="480"/>
      <c r="FJ46" s="480"/>
      <c r="FK46" s="480"/>
      <c r="FL46" s="480"/>
      <c r="FM46" s="480"/>
      <c r="FN46" s="480"/>
      <c r="FO46" s="480"/>
      <c r="FP46" s="480"/>
      <c r="FQ46" s="480"/>
      <c r="FR46" s="480"/>
      <c r="FS46" s="480"/>
      <c r="FT46" s="480"/>
      <c r="FU46" s="480"/>
      <c r="FV46" s="480"/>
      <c r="FW46" s="480"/>
      <c r="FX46" s="481">
        <v>3361.92</v>
      </c>
      <c r="FY46" s="595">
        <v>45870</v>
      </c>
      <c r="FZ46" s="596">
        <v>134250</v>
      </c>
      <c r="GA46" s="517">
        <v>134250</v>
      </c>
    </row>
    <row r="47" spans="1:183" s="481" customFormat="1">
      <c r="A47" s="480"/>
      <c r="CC47" s="480"/>
      <c r="CD47" s="480"/>
      <c r="CE47" s="480"/>
      <c r="CF47" s="480"/>
      <c r="CG47" s="480"/>
      <c r="CH47" s="480"/>
      <c r="CI47" s="480"/>
      <c r="CJ47" s="480"/>
      <c r="CK47" s="482"/>
      <c r="CL47" s="480"/>
      <c r="CM47" s="480"/>
      <c r="CN47" s="480"/>
      <c r="CO47" s="480"/>
      <c r="CP47" s="480"/>
      <c r="CQ47" s="480"/>
      <c r="CR47" s="480"/>
      <c r="CS47" s="480"/>
      <c r="CT47" s="480"/>
      <c r="CU47" s="480"/>
      <c r="CV47" s="480"/>
      <c r="CW47" s="480"/>
      <c r="CX47" s="482"/>
      <c r="CY47" s="480"/>
      <c r="CZ47" s="480"/>
      <c r="DA47" s="480" t="str">
        <f>+B16</f>
        <v>Préstamo Bankinter - 75k Eur</v>
      </c>
      <c r="DB47" s="480"/>
      <c r="DC47" s="480"/>
      <c r="DD47" s="480"/>
      <c r="DE47" s="481">
        <v>970.32</v>
      </c>
      <c r="DF47" s="595">
        <v>48131</v>
      </c>
      <c r="DG47" s="596">
        <v>75000</v>
      </c>
      <c r="DH47" s="517">
        <v>71933.63</v>
      </c>
      <c r="DI47" s="480"/>
      <c r="DJ47" s="480"/>
      <c r="DK47" s="480"/>
      <c r="DL47" s="480"/>
      <c r="DM47" s="480"/>
      <c r="DN47" s="480"/>
      <c r="DO47" s="480"/>
      <c r="DP47" s="480"/>
      <c r="DQ47" s="480"/>
      <c r="DR47" s="480"/>
      <c r="DS47" s="480"/>
      <c r="DT47" s="480"/>
      <c r="DU47" s="480"/>
      <c r="DV47" s="480"/>
      <c r="DW47" s="480"/>
      <c r="DX47" s="480"/>
      <c r="DY47" s="480"/>
      <c r="DZ47" s="480"/>
      <c r="EC47" s="480"/>
      <c r="ED47" s="480"/>
      <c r="EE47" s="480"/>
      <c r="EF47" s="480"/>
      <c r="EG47" s="480"/>
      <c r="EH47" s="480"/>
      <c r="EI47" s="480"/>
      <c r="EJ47" s="480"/>
      <c r="EK47" s="480"/>
      <c r="EL47" s="480"/>
      <c r="EM47" s="480"/>
      <c r="EN47" s="480"/>
      <c r="EO47" s="480"/>
      <c r="EP47" s="480"/>
      <c r="EQ47" s="480"/>
      <c r="ER47" s="480"/>
      <c r="ES47" s="480"/>
      <c r="ET47" s="480"/>
      <c r="EU47" s="480"/>
      <c r="EV47" s="480"/>
      <c r="EW47" s="480"/>
      <c r="EX47" s="480"/>
      <c r="EY47" s="480"/>
      <c r="EZ47" s="480"/>
      <c r="FA47" s="480"/>
      <c r="FB47" s="480"/>
      <c r="FC47" s="480"/>
      <c r="FD47" s="480"/>
      <c r="FE47" s="480"/>
      <c r="FF47" s="480"/>
      <c r="FG47" s="480"/>
      <c r="FH47" s="480"/>
      <c r="FI47" s="480"/>
      <c r="FJ47" s="480"/>
      <c r="FK47" s="480"/>
      <c r="FL47" s="480"/>
      <c r="FM47" s="480"/>
      <c r="FN47" s="480"/>
      <c r="FO47" s="480"/>
      <c r="FP47" s="480"/>
      <c r="FQ47" s="480"/>
      <c r="FR47" s="480"/>
      <c r="FS47" s="480"/>
      <c r="FT47" s="480"/>
      <c r="FU47" s="480"/>
      <c r="FV47" s="480"/>
      <c r="FW47" s="480"/>
      <c r="FX47" s="481">
        <v>970.32</v>
      </c>
      <c r="FY47" s="595">
        <v>48131</v>
      </c>
      <c r="FZ47" s="596">
        <v>75000</v>
      </c>
      <c r="GA47" s="517">
        <v>71933.63</v>
      </c>
    </row>
    <row r="48" spans="1:183" s="481" customFormat="1">
      <c r="A48" s="480"/>
      <c r="CC48" s="480"/>
      <c r="CD48" s="480"/>
      <c r="CE48" s="480"/>
      <c r="CF48" s="480"/>
      <c r="CG48" s="480"/>
      <c r="CH48" s="480"/>
      <c r="CI48" s="480"/>
      <c r="CJ48" s="480"/>
      <c r="CK48" s="482"/>
      <c r="CL48" s="480"/>
      <c r="CM48" s="480"/>
      <c r="CN48" s="480"/>
      <c r="CO48" s="480"/>
      <c r="CP48" s="480"/>
      <c r="CQ48" s="480"/>
      <c r="CR48" s="480"/>
      <c r="CS48" s="480"/>
      <c r="CT48" s="480"/>
      <c r="CU48" s="480"/>
      <c r="CV48" s="480"/>
      <c r="CW48" s="480"/>
      <c r="CX48" s="482"/>
      <c r="CY48" s="480"/>
      <c r="CZ48" s="480"/>
      <c r="DA48" s="480" t="str">
        <f>+B19</f>
        <v>Intereses circulante Caixa - 100k</v>
      </c>
      <c r="DB48" s="480"/>
      <c r="DC48" s="480"/>
      <c r="DD48" s="480"/>
      <c r="DF48" s="595">
        <v>45566</v>
      </c>
      <c r="DG48" s="596">
        <v>100000</v>
      </c>
      <c r="DH48" s="517">
        <v>100000</v>
      </c>
      <c r="DI48" s="480"/>
      <c r="DJ48" s="480"/>
      <c r="DK48" s="480"/>
      <c r="DL48" s="480"/>
      <c r="DM48" s="480"/>
      <c r="DN48" s="480"/>
      <c r="DO48" s="480"/>
      <c r="DP48" s="480"/>
      <c r="DQ48" s="480"/>
      <c r="DR48" s="480"/>
      <c r="DS48" s="480"/>
      <c r="DT48" s="480"/>
      <c r="DU48" s="480"/>
      <c r="DV48" s="480"/>
      <c r="DW48" s="480"/>
      <c r="DX48" s="480"/>
      <c r="DY48" s="480"/>
      <c r="DZ48" s="480"/>
      <c r="EC48" s="480"/>
      <c r="ED48" s="480"/>
      <c r="EE48" s="480"/>
      <c r="EF48" s="480"/>
      <c r="EG48" s="480"/>
      <c r="EH48" s="480"/>
      <c r="EI48" s="480"/>
      <c r="EJ48" s="480"/>
      <c r="EK48" s="480"/>
      <c r="EL48" s="480"/>
      <c r="EM48" s="480"/>
      <c r="EN48" s="480"/>
      <c r="EO48" s="480"/>
      <c r="EP48" s="480"/>
      <c r="EQ48" s="480"/>
      <c r="ER48" s="480"/>
      <c r="ES48" s="480"/>
      <c r="ET48" s="480"/>
      <c r="EU48" s="480"/>
      <c r="EV48" s="480"/>
      <c r="EW48" s="480"/>
      <c r="EX48" s="480"/>
      <c r="EY48" s="480"/>
      <c r="EZ48" s="480"/>
      <c r="FA48" s="480"/>
      <c r="FB48" s="480"/>
      <c r="FC48" s="480"/>
      <c r="FD48" s="480"/>
      <c r="FE48" s="480"/>
      <c r="FF48" s="480"/>
      <c r="FG48" s="480"/>
      <c r="FH48" s="480"/>
      <c r="FI48" s="480"/>
      <c r="FJ48" s="480"/>
      <c r="FK48" s="480"/>
      <c r="FL48" s="480"/>
      <c r="FM48" s="480"/>
      <c r="FN48" s="480"/>
      <c r="FO48" s="480"/>
      <c r="FP48" s="480"/>
      <c r="FQ48" s="480"/>
      <c r="FR48" s="480"/>
      <c r="FS48" s="480"/>
      <c r="FT48" s="480"/>
      <c r="FU48" s="480"/>
      <c r="FV48" s="480"/>
      <c r="FW48" s="480"/>
      <c r="FY48" s="595">
        <v>45566</v>
      </c>
      <c r="FZ48" s="596">
        <v>100000</v>
      </c>
      <c r="GA48" s="517">
        <v>100000</v>
      </c>
    </row>
    <row r="49" spans="1:183" s="481" customFormat="1">
      <c r="A49" s="480"/>
      <c r="CC49" s="480"/>
      <c r="CD49" s="480"/>
      <c r="CE49" s="480"/>
      <c r="CF49" s="480"/>
      <c r="CG49" s="480"/>
      <c r="CH49" s="480"/>
      <c r="CI49" s="480"/>
      <c r="CJ49" s="480"/>
      <c r="CK49" s="482"/>
      <c r="CL49" s="480"/>
      <c r="CM49" s="480"/>
      <c r="CN49" s="480"/>
      <c r="CO49" s="480"/>
      <c r="CP49" s="480"/>
      <c r="CQ49" s="480"/>
      <c r="CR49" s="480"/>
      <c r="CS49" s="480"/>
      <c r="CT49" s="480"/>
      <c r="CU49" s="480"/>
      <c r="CV49" s="480"/>
      <c r="CW49" s="480"/>
      <c r="CX49" s="482"/>
      <c r="CY49" s="480"/>
      <c r="CZ49" s="480"/>
      <c r="DA49" s="480" t="str">
        <f>+B22</f>
        <v>Intereses circulante BBV - 75k</v>
      </c>
      <c r="DB49" s="480"/>
      <c r="DC49" s="480"/>
      <c r="DD49" s="480"/>
      <c r="DE49" s="481">
        <v>1472.2</v>
      </c>
      <c r="DF49" s="595">
        <v>45743</v>
      </c>
      <c r="DG49" s="596">
        <v>75000</v>
      </c>
      <c r="DH49" s="517">
        <v>75000</v>
      </c>
      <c r="DI49" s="480"/>
      <c r="DJ49" s="480"/>
      <c r="DK49" s="480"/>
      <c r="DL49" s="480"/>
      <c r="DM49" s="480"/>
      <c r="DN49" s="480"/>
      <c r="DO49" s="480"/>
      <c r="DP49" s="480"/>
      <c r="DQ49" s="480"/>
      <c r="DR49" s="480"/>
      <c r="DS49" s="480"/>
      <c r="DT49" s="480"/>
      <c r="DU49" s="480"/>
      <c r="DV49" s="480"/>
      <c r="DW49" s="480"/>
      <c r="DX49" s="480"/>
      <c r="DY49" s="480"/>
      <c r="DZ49" s="480"/>
      <c r="EC49" s="480"/>
      <c r="ED49" s="480"/>
      <c r="EE49" s="480"/>
      <c r="EF49" s="480"/>
      <c r="EG49" s="480"/>
      <c r="EH49" s="480"/>
      <c r="EI49" s="480"/>
      <c r="EJ49" s="480"/>
      <c r="EK49" s="480"/>
      <c r="EL49" s="480"/>
      <c r="EM49" s="480"/>
      <c r="EN49" s="480"/>
      <c r="EO49" s="480"/>
      <c r="EP49" s="480"/>
      <c r="EQ49" s="480"/>
      <c r="ER49" s="480"/>
      <c r="ES49" s="480"/>
      <c r="ET49" s="480"/>
      <c r="EU49" s="480"/>
      <c r="EV49" s="480"/>
      <c r="EW49" s="480"/>
      <c r="EX49" s="480"/>
      <c r="EY49" s="480"/>
      <c r="EZ49" s="480"/>
      <c r="FA49" s="480"/>
      <c r="FB49" s="480"/>
      <c r="FC49" s="480"/>
      <c r="FD49" s="480"/>
      <c r="FE49" s="480"/>
      <c r="FF49" s="480"/>
      <c r="FG49" s="480"/>
      <c r="FH49" s="480"/>
      <c r="FI49" s="480"/>
      <c r="FJ49" s="480"/>
      <c r="FK49" s="480"/>
      <c r="FL49" s="480"/>
      <c r="FM49" s="480"/>
      <c r="FN49" s="480"/>
      <c r="FO49" s="480"/>
      <c r="FP49" s="480"/>
      <c r="FQ49" s="480"/>
      <c r="FR49" s="480"/>
      <c r="FS49" s="480"/>
      <c r="FT49" s="480"/>
      <c r="FU49" s="480"/>
      <c r="FV49" s="480"/>
      <c r="FW49" s="480"/>
      <c r="FX49" s="481">
        <v>1472.2</v>
      </c>
      <c r="FY49" s="595">
        <v>45743</v>
      </c>
      <c r="FZ49" s="596">
        <v>75000</v>
      </c>
      <c r="GA49" s="517">
        <v>75000</v>
      </c>
    </row>
    <row r="50" spans="1:183" s="481" customFormat="1">
      <c r="A50" s="480"/>
      <c r="CC50" s="480"/>
      <c r="CD50" s="480"/>
      <c r="CE50" s="480"/>
      <c r="CF50" s="480"/>
      <c r="CG50" s="480"/>
      <c r="CH50" s="480"/>
      <c r="CI50" s="480"/>
      <c r="CJ50" s="480"/>
      <c r="CK50" s="482"/>
      <c r="CL50" s="480"/>
      <c r="CM50" s="480"/>
      <c r="CN50" s="480"/>
      <c r="CO50" s="480"/>
      <c r="CP50" s="480"/>
      <c r="CQ50" s="480"/>
      <c r="CR50" s="480"/>
      <c r="CS50" s="480"/>
      <c r="CT50" s="480"/>
      <c r="CU50" s="480"/>
      <c r="CV50" s="480"/>
      <c r="CW50" s="480"/>
      <c r="CX50" s="482"/>
      <c r="CY50" s="480"/>
      <c r="CZ50" s="480"/>
      <c r="DA50" s="480" t="str">
        <f>+B23</f>
        <v>Intereses circulante Bankinter - 100k</v>
      </c>
      <c r="DB50" s="480"/>
      <c r="DC50" s="480"/>
      <c r="DD50" s="480"/>
      <c r="DE50" s="481">
        <v>319.42</v>
      </c>
      <c r="DF50" s="595">
        <v>45567</v>
      </c>
      <c r="DG50" s="596">
        <v>100000</v>
      </c>
      <c r="DH50" s="517">
        <v>100000</v>
      </c>
      <c r="DI50" s="480"/>
      <c r="DJ50" s="480"/>
      <c r="DK50" s="480"/>
      <c r="DL50" s="480"/>
      <c r="DM50" s="480"/>
      <c r="DN50" s="480"/>
      <c r="DO50" s="480"/>
      <c r="DP50" s="480"/>
      <c r="DQ50" s="480"/>
      <c r="DR50" s="480"/>
      <c r="DS50" s="480"/>
      <c r="DT50" s="480"/>
      <c r="DU50" s="480"/>
      <c r="DV50" s="480"/>
      <c r="DW50" s="480"/>
      <c r="DX50" s="480"/>
      <c r="DY50" s="480"/>
      <c r="DZ50" s="480"/>
      <c r="EC50" s="480"/>
      <c r="ED50" s="480"/>
      <c r="EE50" s="480"/>
      <c r="EF50" s="480"/>
      <c r="EG50" s="480"/>
      <c r="EH50" s="480"/>
      <c r="EI50" s="480"/>
      <c r="EJ50" s="480"/>
      <c r="EK50" s="480"/>
      <c r="EL50" s="480"/>
      <c r="EM50" s="480"/>
      <c r="EN50" s="480"/>
      <c r="EO50" s="480"/>
      <c r="EP50" s="480"/>
      <c r="EQ50" s="480"/>
      <c r="ER50" s="480"/>
      <c r="ES50" s="480"/>
      <c r="ET50" s="480"/>
      <c r="EU50" s="480"/>
      <c r="EV50" s="480"/>
      <c r="EW50" s="480"/>
      <c r="EX50" s="480"/>
      <c r="EY50" s="480"/>
      <c r="EZ50" s="480"/>
      <c r="FA50" s="480"/>
      <c r="FB50" s="480"/>
      <c r="FC50" s="480"/>
      <c r="FD50" s="480"/>
      <c r="FE50" s="480"/>
      <c r="FF50" s="480"/>
      <c r="FG50" s="480"/>
      <c r="FH50" s="480"/>
      <c r="FI50" s="480"/>
      <c r="FJ50" s="480"/>
      <c r="FK50" s="480"/>
      <c r="FL50" s="480"/>
      <c r="FM50" s="480"/>
      <c r="FN50" s="480"/>
      <c r="FO50" s="480"/>
      <c r="FP50" s="480"/>
      <c r="FQ50" s="480"/>
      <c r="FR50" s="480"/>
      <c r="FS50" s="480"/>
      <c r="FT50" s="480"/>
      <c r="FU50" s="480"/>
      <c r="FV50" s="480"/>
      <c r="FW50" s="480"/>
      <c r="FX50" s="481">
        <v>319.42</v>
      </c>
      <c r="FY50" s="595">
        <v>45567</v>
      </c>
      <c r="FZ50" s="596">
        <v>100000</v>
      </c>
      <c r="GA50" s="517">
        <v>100000</v>
      </c>
    </row>
    <row r="51" spans="1:183" s="481" customFormat="1">
      <c r="A51" s="480"/>
      <c r="CC51" s="480"/>
      <c r="CD51" s="480"/>
      <c r="CE51" s="480"/>
      <c r="CF51" s="480"/>
      <c r="CG51" s="480"/>
      <c r="CH51" s="480"/>
      <c r="CI51" s="480"/>
      <c r="CJ51" s="480"/>
      <c r="CK51" s="482"/>
      <c r="CL51" s="480"/>
      <c r="CM51" s="480"/>
      <c r="CN51" s="480"/>
      <c r="CO51" s="480"/>
      <c r="CP51" s="480"/>
      <c r="CQ51" s="480"/>
      <c r="CR51" s="480"/>
      <c r="CS51" s="480"/>
      <c r="CT51" s="480"/>
      <c r="CU51" s="480"/>
      <c r="CV51" s="480"/>
      <c r="CW51" s="480"/>
      <c r="CX51" s="482"/>
      <c r="CY51" s="480"/>
      <c r="CZ51" s="480"/>
      <c r="DA51" s="480" t="str">
        <f t="shared" ref="DA51:DA61" si="25">+B25</f>
        <v>NixAl Agri</v>
      </c>
      <c r="DB51" s="480"/>
      <c r="DC51" s="480"/>
      <c r="DD51" s="480"/>
      <c r="DG51" s="596">
        <v>-21500</v>
      </c>
      <c r="DH51" s="517"/>
      <c r="DI51" s="877">
        <v>-85000</v>
      </c>
      <c r="DJ51" s="480"/>
      <c r="DK51" s="480"/>
      <c r="DL51" s="480"/>
      <c r="DM51" s="480"/>
      <c r="DN51" s="480"/>
      <c r="DO51" s="480"/>
      <c r="DP51" s="480"/>
      <c r="DQ51" s="480"/>
      <c r="DR51" s="480"/>
      <c r="DS51" s="480"/>
      <c r="DT51" s="480"/>
      <c r="DU51" s="480"/>
      <c r="DV51" s="480"/>
      <c r="DW51" s="480"/>
      <c r="DX51" s="480"/>
      <c r="DY51" s="480"/>
      <c r="DZ51" s="480"/>
      <c r="EC51" s="480"/>
      <c r="ED51" s="480"/>
      <c r="EE51" s="480"/>
      <c r="EF51" s="480"/>
      <c r="EG51" s="480"/>
      <c r="EH51" s="480"/>
      <c r="EI51" s="480"/>
      <c r="EJ51" s="480"/>
      <c r="EK51" s="480"/>
      <c r="EL51" s="480"/>
      <c r="EM51" s="480"/>
      <c r="EN51" s="480"/>
      <c r="EO51" s="480"/>
      <c r="EP51" s="480"/>
      <c r="EQ51" s="480"/>
      <c r="ER51" s="480"/>
      <c r="ES51" s="480"/>
      <c r="ET51" s="480"/>
      <c r="EU51" s="480"/>
      <c r="EV51" s="480"/>
      <c r="EW51" s="480"/>
      <c r="EX51" s="480"/>
      <c r="EY51" s="480"/>
      <c r="EZ51" s="480"/>
      <c r="FA51" s="480"/>
      <c r="FB51" s="480"/>
      <c r="FC51" s="480"/>
      <c r="FD51" s="480"/>
      <c r="FE51" s="480"/>
      <c r="FF51" s="480"/>
      <c r="FG51" s="480"/>
      <c r="FH51" s="480"/>
      <c r="FI51" s="480"/>
      <c r="FJ51" s="480"/>
      <c r="FK51" s="480"/>
      <c r="FL51" s="480"/>
      <c r="FM51" s="480"/>
      <c r="FN51" s="480"/>
      <c r="FO51" s="480"/>
      <c r="FP51" s="480"/>
      <c r="FQ51" s="480"/>
      <c r="FR51" s="480"/>
      <c r="FS51" s="480"/>
      <c r="FT51" s="480"/>
      <c r="FU51" s="480"/>
      <c r="FV51" s="480"/>
      <c r="FW51" s="480"/>
      <c r="FZ51" s="596">
        <v>-21500</v>
      </c>
      <c r="GA51" s="517"/>
    </row>
    <row r="52" spans="1:183">
      <c r="DA52" s="480" t="str">
        <f t="shared" si="25"/>
        <v>Alberto Carmona</v>
      </c>
      <c r="DE52" s="481"/>
      <c r="DF52" s="481"/>
      <c r="DG52" s="596">
        <f>279117.36-82059.86</f>
        <v>197057.5</v>
      </c>
      <c r="DH52" s="517"/>
      <c r="DI52" s="878">
        <v>-50447.89</v>
      </c>
      <c r="DK52" s="480"/>
      <c r="DX52" s="480"/>
      <c r="EA52" s="481"/>
      <c r="EB52" s="481"/>
      <c r="EK52" s="480"/>
      <c r="FX52" s="481"/>
      <c r="FY52" s="481"/>
      <c r="FZ52" s="596">
        <f>279117.36-82059.86</f>
        <v>197057.5</v>
      </c>
      <c r="GA52" s="517"/>
    </row>
    <row r="53" spans="1:183">
      <c r="DA53" s="480" t="str">
        <f t="shared" si="25"/>
        <v>Leasing tractor y segadora - Caixa</v>
      </c>
      <c r="DE53" s="481">
        <v>786.02</v>
      </c>
      <c r="DF53" s="595">
        <v>46281</v>
      </c>
      <c r="DG53" s="596">
        <v>48500</v>
      </c>
      <c r="DH53" s="517">
        <v>16573.439999999999</v>
      </c>
      <c r="DK53" s="480"/>
      <c r="DX53" s="480"/>
      <c r="DZ53" s="541"/>
      <c r="EA53" s="481"/>
      <c r="EB53" s="481"/>
      <c r="EK53" s="480"/>
      <c r="FX53" s="481">
        <v>786.02</v>
      </c>
      <c r="FY53" s="595">
        <v>46281</v>
      </c>
      <c r="FZ53" s="596">
        <v>48500</v>
      </c>
      <c r="GA53" s="517">
        <v>16573.439999999999</v>
      </c>
    </row>
    <row r="54" spans="1:183">
      <c r="DA54" s="480" t="str">
        <f t="shared" si="25"/>
        <v>Leasing empacadora - Caja Rural</v>
      </c>
      <c r="DE54" s="481">
        <v>0</v>
      </c>
      <c r="DF54" s="481"/>
      <c r="DG54" s="596"/>
      <c r="DH54" s="517">
        <v>0</v>
      </c>
      <c r="DK54" s="480"/>
      <c r="DX54" s="480"/>
      <c r="DZ54" s="541"/>
      <c r="EA54" s="481"/>
      <c r="EB54" s="481"/>
      <c r="EK54" s="480"/>
      <c r="FX54" s="481">
        <v>0</v>
      </c>
      <c r="FY54" s="481"/>
      <c r="FZ54" s="596"/>
      <c r="GA54" s="517">
        <v>0</v>
      </c>
    </row>
    <row r="55" spans="1:183">
      <c r="DA55" s="480" t="str">
        <f t="shared" si="25"/>
        <v>Conchita Carmona</v>
      </c>
      <c r="DE55" s="481"/>
      <c r="DF55" s="481"/>
      <c r="DG55" s="596">
        <v>8000</v>
      </c>
      <c r="DH55" s="517"/>
      <c r="DI55" s="877">
        <v>8000</v>
      </c>
      <c r="DK55" s="480"/>
      <c r="DX55" s="480"/>
      <c r="DZ55" s="541"/>
      <c r="EA55" s="481"/>
      <c r="EB55" s="481"/>
      <c r="EK55" s="480"/>
      <c r="FX55" s="481"/>
      <c r="FY55" s="481"/>
      <c r="FZ55" s="596">
        <v>8000</v>
      </c>
      <c r="GA55" s="517"/>
    </row>
    <row r="56" spans="1:183">
      <c r="DA56" s="480" t="str">
        <f t="shared" si="25"/>
        <v>Herederos de Carmona Viñau</v>
      </c>
      <c r="DE56" s="481"/>
      <c r="DF56" s="481"/>
      <c r="DG56" s="596">
        <v>95000</v>
      </c>
      <c r="DH56" s="517"/>
      <c r="DI56" s="877">
        <v>82000</v>
      </c>
      <c r="DK56" s="480"/>
      <c r="DX56" s="480"/>
      <c r="DZ56" s="541"/>
      <c r="EA56" s="481"/>
      <c r="EB56" s="481"/>
      <c r="EK56" s="480"/>
      <c r="FX56" s="481"/>
      <c r="FY56" s="481"/>
      <c r="FZ56" s="596">
        <v>95000</v>
      </c>
      <c r="GA56" s="517"/>
    </row>
    <row r="57" spans="1:183">
      <c r="DA57" s="480" t="str">
        <f t="shared" si="25"/>
        <v>Alberto Bello</v>
      </c>
      <c r="DE57" s="481"/>
      <c r="DF57" s="481"/>
      <c r="DG57" s="596">
        <v>-112204.73</v>
      </c>
      <c r="DH57" s="517"/>
      <c r="DI57" s="879">
        <v>-112204.73</v>
      </c>
      <c r="DK57" s="480"/>
      <c r="DX57" s="480"/>
      <c r="DZ57" s="541"/>
      <c r="EA57" s="481"/>
      <c r="EB57" s="481"/>
      <c r="EK57" s="480"/>
      <c r="FX57" s="481"/>
      <c r="FY57" s="481"/>
      <c r="FZ57" s="596">
        <v>-112204.73</v>
      </c>
      <c r="GA57" s="517"/>
    </row>
    <row r="58" spans="1:183">
      <c r="DA58" s="480" t="str">
        <f t="shared" si="25"/>
        <v>Gonzalo Jimenez</v>
      </c>
      <c r="DE58" s="481"/>
      <c r="DF58" s="481"/>
      <c r="DG58" s="596">
        <v>-15000</v>
      </c>
      <c r="DH58" s="517"/>
      <c r="DI58" s="575">
        <v>-15000</v>
      </c>
      <c r="DK58" s="480"/>
      <c r="DX58" s="480"/>
      <c r="DZ58" s="541"/>
      <c r="EA58" s="481"/>
      <c r="EB58" s="481"/>
      <c r="EK58" s="480"/>
      <c r="FX58" s="481"/>
      <c r="FY58" s="481"/>
      <c r="FZ58" s="596">
        <v>-15000</v>
      </c>
      <c r="GA58" s="517"/>
    </row>
    <row r="59" spans="1:183">
      <c r="DA59" s="480" t="str">
        <f t="shared" si="25"/>
        <v>Agro Energia de Africa</v>
      </c>
      <c r="DE59" s="481"/>
      <c r="DF59" s="481"/>
      <c r="DG59" s="596">
        <f>-19735.89-771.38</f>
        <v>-20507.27</v>
      </c>
      <c r="DH59" s="517"/>
      <c r="DI59" s="575">
        <v>-20139.21</v>
      </c>
      <c r="DK59" s="480"/>
      <c r="DX59" s="480"/>
      <c r="DZ59" s="541"/>
      <c r="EA59" s="481"/>
      <c r="EB59" s="481"/>
      <c r="EK59" s="480"/>
      <c r="FX59" s="481"/>
      <c r="FY59" s="481"/>
      <c r="FZ59" s="596">
        <f>-19735.89-771.38</f>
        <v>-20507.27</v>
      </c>
      <c r="GA59" s="517"/>
    </row>
    <row r="60" spans="1:183">
      <c r="DA60" s="480" t="str">
        <f t="shared" si="25"/>
        <v>Pierna Seca</v>
      </c>
      <c r="DE60" s="481"/>
      <c r="DF60" s="481"/>
      <c r="DG60" s="596">
        <f>-3889.1-4345.72</f>
        <v>-8234.82</v>
      </c>
      <c r="DH60" s="517"/>
      <c r="DI60" s="582">
        <v>-3889.1</v>
      </c>
      <c r="DK60" s="480"/>
      <c r="DX60" s="480"/>
      <c r="DZ60" s="541"/>
      <c r="EA60" s="481"/>
      <c r="EB60" s="481"/>
      <c r="EK60" s="480"/>
      <c r="FX60" s="481"/>
      <c r="FY60" s="481"/>
      <c r="FZ60" s="596">
        <f>-3889.1-4345.72</f>
        <v>-8234.82</v>
      </c>
      <c r="GA60" s="517"/>
    </row>
    <row r="61" spans="1:183">
      <c r="CA61" s="582"/>
      <c r="DA61" s="480">
        <f t="shared" si="25"/>
        <v>0</v>
      </c>
      <c r="DG61" s="582"/>
      <c r="DK61" s="480"/>
      <c r="DX61" s="480"/>
      <c r="DZ61" s="541"/>
      <c r="EA61" s="481"/>
      <c r="EB61" s="481"/>
      <c r="EK61" s="480"/>
      <c r="FZ61" s="582"/>
    </row>
    <row r="62" spans="1:183">
      <c r="DA62" s="480" t="s">
        <v>524</v>
      </c>
      <c r="DE62" s="480">
        <v>1494.47</v>
      </c>
      <c r="DF62" s="597">
        <v>46583</v>
      </c>
      <c r="DG62" s="582">
        <v>78900</v>
      </c>
      <c r="DH62" s="480">
        <v>44678.59</v>
      </c>
    </row>
    <row r="63" spans="1:183">
      <c r="CA63" s="582"/>
      <c r="DF63" s="597"/>
      <c r="DG63" s="582"/>
    </row>
    <row r="64" spans="1:183">
      <c r="DG64" s="582"/>
    </row>
  </sheetData>
  <mergeCells count="6">
    <mergeCell ref="DY2:EJ2"/>
    <mergeCell ref="C2:N2"/>
    <mergeCell ref="BY2:CJ2"/>
    <mergeCell ref="CL2:CW2"/>
    <mergeCell ref="CY2:DJ2"/>
    <mergeCell ref="DL2:DW2"/>
  </mergeCells>
  <pageMargins left="0.7" right="0.7" top="0.75" bottom="0.75" header="0.3" footer="0.3"/>
  <pageSetup paperSize="9" scale="10" orientation="landscape"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5E87D20ED6050488D073725884BB946" ma:contentTypeVersion="7" ma:contentTypeDescription="Create a new document." ma:contentTypeScope="" ma:versionID="ee19d86e6c7d24cf7c3575fca3b5ea69">
  <xsd:schema xmlns:xsd="http://www.w3.org/2001/XMLSchema" xmlns:xs="http://www.w3.org/2001/XMLSchema" xmlns:p="http://schemas.microsoft.com/office/2006/metadata/properties" xmlns:ns3="91f0958e-a008-4ca3-bb19-597a3bdbe25e" targetNamespace="http://schemas.microsoft.com/office/2006/metadata/properties" ma:root="true" ma:fieldsID="ae7cef827b86f48298c0e3fb28d7468a" ns3:_="">
    <xsd:import namespace="91f0958e-a008-4ca3-bb19-597a3bdbe25e"/>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f0958e-a008-4ca3-bb19-597a3bdbe2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CAA5E4D-236B-4628-8D1B-40DA9C9CCD11}">
  <ds:schemaRefs>
    <ds:schemaRef ds:uri="http://schemas.microsoft.com/sharepoint/v3/contenttype/forms"/>
  </ds:schemaRefs>
</ds:datastoreItem>
</file>

<file path=customXml/itemProps2.xml><?xml version="1.0" encoding="utf-8"?>
<ds:datastoreItem xmlns:ds="http://schemas.openxmlformats.org/officeDocument/2006/customXml" ds:itemID="{78D2E9AD-89D3-4061-936E-E5BA833586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1f0958e-a008-4ca3-bb19-597a3bdbe2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5A46598-8C52-454F-8E20-CFCD3CE9BD8E}">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P&amp;L</vt:lpstr>
      <vt:lpstr>Tesoreria</vt:lpstr>
      <vt:lpstr>Resumen cierre</vt:lpstr>
      <vt:lpstr>Clientes</vt:lpstr>
      <vt:lpstr>Consolidado</vt:lpstr>
      <vt:lpstr>NC-Ingresos</vt:lpstr>
      <vt:lpstr>NC-Gastos</vt:lpstr>
      <vt:lpstr>Trade-Ingresos</vt:lpstr>
      <vt:lpstr>Trade-Gastos</vt:lpstr>
      <vt:lpstr>Act.Ganadera</vt:lpstr>
      <vt:lpstr>Inversiones</vt:lpstr>
      <vt:lpstr>Financiación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Alberto</dc:creator>
  <cp:keywords/>
  <dc:description/>
  <cp:lastModifiedBy>Admin Nixal</cp:lastModifiedBy>
  <cp:revision/>
  <cp:lastPrinted>2024-05-16T06:01:35Z</cp:lastPrinted>
  <dcterms:created xsi:type="dcterms:W3CDTF">2018-01-24T11:35:38Z</dcterms:created>
  <dcterms:modified xsi:type="dcterms:W3CDTF">2026-06-16T10:53:56Z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0x010100B5E87D20ED6050488D073725884BB946</vt:lpwstr>
  </property>
</Properties>
</file>