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/>
  </bookViews>
  <sheets>
    <sheet name="Current校正用" sheetId="8" r:id="rId1"/>
    <sheet name="Voltage校正用" sheetId="7" r:id="rId2"/>
    <sheet name="LEVD1_36V薄_FW設定值" sheetId="6" r:id="rId3"/>
    <sheet name=" NTC Thermistor" sheetId="3" r:id="rId4"/>
    <sheet name="實測電流" sheetId="4" r:id="rId5"/>
    <sheet name="CHG DSG OP" sheetId="1" r:id="rId6"/>
    <sheet name="Voltage" sheetId="2" r:id="rId7"/>
    <sheet name="Sheet1" sheetId="5" r:id="rId8"/>
  </sheets>
  <calcPr calcId="125725"/>
</workbook>
</file>

<file path=xl/calcChain.xml><?xml version="1.0" encoding="utf-8"?>
<calcChain xmlns="http://schemas.openxmlformats.org/spreadsheetml/2006/main">
  <c r="E6" i="8"/>
  <c r="J9"/>
  <c r="E9"/>
  <c r="E11" s="1"/>
  <c r="H11" s="1"/>
  <c r="J7" i="7"/>
  <c r="E7"/>
  <c r="E9" s="1"/>
  <c r="H9" s="1"/>
  <c r="F15"/>
  <c r="F16"/>
  <c r="F17"/>
  <c r="F14"/>
  <c r="M9" i="6"/>
  <c r="M7"/>
  <c r="M6"/>
  <c r="D7"/>
  <c r="F7" s="1"/>
  <c r="F4"/>
  <c r="D6" s="1"/>
  <c r="K9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G52" i="4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51"/>
  <c r="H51" s="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51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26"/>
  <c r="E6"/>
  <c r="E19" s="1"/>
  <c r="E7"/>
  <c r="E8"/>
  <c r="E9"/>
  <c r="E10"/>
  <c r="E11"/>
  <c r="E12"/>
  <c r="E13"/>
  <c r="E14"/>
  <c r="E15"/>
  <c r="E16"/>
  <c r="E17"/>
  <c r="E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I12" i="3"/>
  <c r="H27"/>
  <c r="J27" s="1"/>
  <c r="H31"/>
  <c r="J31" s="1"/>
  <c r="G25"/>
  <c r="H25" s="1"/>
  <c r="J25" s="1"/>
  <c r="G27"/>
  <c r="G29"/>
  <c r="H29" s="1"/>
  <c r="J29" s="1"/>
  <c r="G31"/>
  <c r="G33"/>
  <c r="H33" s="1"/>
  <c r="J33" s="1"/>
  <c r="K8"/>
  <c r="I10"/>
  <c r="F22"/>
  <c r="G22" s="1"/>
  <c r="H22" s="1"/>
  <c r="J22" s="1"/>
  <c r="F23"/>
  <c r="G23" s="1"/>
  <c r="H23" s="1"/>
  <c r="J23" s="1"/>
  <c r="F25"/>
  <c r="F26"/>
  <c r="G26" s="1"/>
  <c r="H26" s="1"/>
  <c r="J26" s="1"/>
  <c r="F27"/>
  <c r="F28"/>
  <c r="G28" s="1"/>
  <c r="H28" s="1"/>
  <c r="J28" s="1"/>
  <c r="F29"/>
  <c r="F30"/>
  <c r="G30" s="1"/>
  <c r="H30" s="1"/>
  <c r="J30" s="1"/>
  <c r="F31"/>
  <c r="F32"/>
  <c r="G32" s="1"/>
  <c r="H32" s="1"/>
  <c r="J32" s="1"/>
  <c r="F33"/>
  <c r="F34"/>
  <c r="G34" s="1"/>
  <c r="H34" s="1"/>
  <c r="J34" s="1"/>
  <c r="F24"/>
  <c r="G24" s="1"/>
  <c r="H24" s="1"/>
  <c r="J24" s="1"/>
  <c r="F21"/>
  <c r="G21" s="1"/>
  <c r="H21" s="1"/>
  <c r="J21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E10" i="6" l="1"/>
  <c r="K6" s="1"/>
  <c r="E13"/>
  <c r="K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40" l="1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sharedStrings.xml><?xml version="1.0" encoding="utf-8"?>
<sst xmlns="http://schemas.openxmlformats.org/spreadsheetml/2006/main" count="271" uniqueCount="161">
  <si>
    <t>R-sense</t>
    <phoneticPr fontId="1" type="noConversion"/>
  </si>
  <si>
    <t>CGH OP</t>
    <phoneticPr fontId="1" type="noConversion"/>
  </si>
  <si>
    <t>R1</t>
    <phoneticPr fontId="1" type="noConversion"/>
  </si>
  <si>
    <t>R</t>
    <phoneticPr fontId="1" type="noConversion"/>
  </si>
  <si>
    <t>R2</t>
    <phoneticPr fontId="1" type="noConversion"/>
  </si>
  <si>
    <t>kR</t>
    <phoneticPr fontId="1" type="noConversion"/>
  </si>
  <si>
    <t>Gain=</t>
    <phoneticPr fontId="1" type="noConversion"/>
  </si>
  <si>
    <t>R1/R2</t>
    <phoneticPr fontId="1" type="noConversion"/>
  </si>
  <si>
    <t>mR ==&gt;</t>
    <phoneticPr fontId="1" type="noConversion"/>
  </si>
  <si>
    <t>Current(mA)</t>
    <phoneticPr fontId="1" type="noConversion"/>
  </si>
  <si>
    <t>V-Rsense(mv)</t>
    <phoneticPr fontId="1" type="noConversion"/>
  </si>
  <si>
    <t>OP-Output(mV)</t>
    <phoneticPr fontId="1" type="noConversion"/>
  </si>
  <si>
    <t>CHG OP</t>
    <phoneticPr fontId="1" type="noConversion"/>
  </si>
  <si>
    <t>ADC</t>
    <phoneticPr fontId="1" type="noConversion"/>
  </si>
  <si>
    <t>ADC calculate</t>
    <phoneticPr fontId="1" type="noConversion"/>
  </si>
  <si>
    <t>ADC res.</t>
    <phoneticPr fontId="1" type="noConversion"/>
  </si>
  <si>
    <t>bits ==&gt;</t>
    <phoneticPr fontId="1" type="noConversion"/>
  </si>
  <si>
    <t>ADC Ref.</t>
    <phoneticPr fontId="1" type="noConversion"/>
  </si>
  <si>
    <t>V</t>
    <phoneticPr fontId="1" type="noConversion"/>
  </si>
  <si>
    <t>mV</t>
    <phoneticPr fontId="1" type="noConversion"/>
  </si>
  <si>
    <t>a step</t>
    <phoneticPr fontId="1" type="noConversion"/>
  </si>
  <si>
    <t>VBAT</t>
    <phoneticPr fontId="1" type="noConversion"/>
  </si>
  <si>
    <t>R2 (對地)</t>
    <phoneticPr fontId="1" type="noConversion"/>
  </si>
  <si>
    <t>Cell Min Vol</t>
    <phoneticPr fontId="1" type="noConversion"/>
  </si>
  <si>
    <t>Cell Max Vol</t>
    <phoneticPr fontId="1" type="noConversion"/>
  </si>
  <si>
    <t>Max Vol</t>
    <phoneticPr fontId="1" type="noConversion"/>
  </si>
  <si>
    <t>Min Vol</t>
    <phoneticPr fontId="1" type="noConversion"/>
  </si>
  <si>
    <t>Serial cell</t>
    <phoneticPr fontId="1" type="noConversion"/>
  </si>
  <si>
    <t>Vbat (V)</t>
    <phoneticPr fontId="1" type="noConversion"/>
  </si>
  <si>
    <t>分壓output(mV)</t>
    <phoneticPr fontId="1" type="noConversion"/>
  </si>
  <si>
    <t>分壓output(V)</t>
    <phoneticPr fontId="1" type="noConversion"/>
  </si>
  <si>
    <t>mA to ADC factor</t>
    <phoneticPr fontId="1" type="noConversion"/>
  </si>
  <si>
    <t>mv to ADC Factor</t>
    <phoneticPr fontId="1" type="noConversion"/>
  </si>
  <si>
    <t>10mV to ADC factor</t>
    <phoneticPr fontId="1" type="noConversion"/>
  </si>
  <si>
    <t>Factor = (R1+R2)/R2 * ADC_Step</t>
    <phoneticPr fontId="1" type="noConversion"/>
  </si>
  <si>
    <t>DSG OP</t>
    <phoneticPr fontId="1" type="noConversion"/>
  </si>
  <si>
    <t>Factor = Rsense(R) * op_gain / ADC step(mV)</t>
    <phoneticPr fontId="1" type="noConversion"/>
  </si>
  <si>
    <t>10mA to ADC factor</t>
    <phoneticPr fontId="1" type="noConversion"/>
  </si>
  <si>
    <t>////////////////////////////////////////////////////////////////</t>
  </si>
  <si>
    <t>//    VDD (3.3V) |------Resistor1--+---NTC-----|GND</t>
  </si>
  <si>
    <t>//                                 |</t>
  </si>
  <si>
    <t>//  Resistor1 = 10kR</t>
  </si>
  <si>
    <t>// NTC Thermistor setting by voltage</t>
    <phoneticPr fontId="1" type="noConversion"/>
  </si>
  <si>
    <t>VDD</t>
    <phoneticPr fontId="1" type="noConversion"/>
  </si>
  <si>
    <t>NTC 溫度(度)</t>
    <phoneticPr fontId="1" type="noConversion"/>
  </si>
  <si>
    <t>NTC (kR)</t>
    <phoneticPr fontId="1" type="noConversion"/>
  </si>
  <si>
    <t>//  NTC 25 Celcius = 10kR;        NTC 0  Celcius = 27.391kR</t>
    <phoneticPr fontId="1" type="noConversion"/>
  </si>
  <si>
    <t>//  NTC 40 Celcius = 5.8281kR;    NTC 45 Celcius = 4.9183kR</t>
    <phoneticPr fontId="1" type="noConversion"/>
  </si>
  <si>
    <t>//  NTC 50 Celcius = 4.1709kR;    NTC 55 Celcius = 3.5539kR</t>
    <phoneticPr fontId="1" type="noConversion"/>
  </si>
  <si>
    <t>//  NTC 60 Celcius = 3.0417kR;    NTC 65 Celcius = 2.6144kR</t>
    <phoneticPr fontId="1" type="noConversion"/>
  </si>
  <si>
    <t>//  NTC 70 Celcius = 2.2559kR;    NTC 75 Celcius = 1.9538kR</t>
    <phoneticPr fontId="1" type="noConversion"/>
  </si>
  <si>
    <t>//  NTC 80 Celcius = 1.6980kR;    NTC 85 Celcius = 1.4805kR</t>
    <phoneticPr fontId="1" type="noConversion"/>
  </si>
  <si>
    <t>//                       thermal voltage output</t>
    <phoneticPr fontId="1" type="noConversion"/>
  </si>
  <si>
    <t>thermal voltage output (V)</t>
    <phoneticPr fontId="1" type="noConversion"/>
  </si>
  <si>
    <t>output (mV)</t>
    <phoneticPr fontId="1" type="noConversion"/>
  </si>
  <si>
    <t>factor</t>
    <phoneticPr fontId="1" type="noConversion"/>
  </si>
  <si>
    <t>1/ADC RES</t>
    <phoneticPr fontId="1" type="noConversion"/>
  </si>
  <si>
    <t>ADC to Voltage</t>
    <phoneticPr fontId="1" type="noConversion"/>
  </si>
  <si>
    <t>adc vol(mv)</t>
    <phoneticPr fontId="1" type="noConversion"/>
  </si>
  <si>
    <t>battery(V)</t>
    <phoneticPr fontId="1" type="noConversion"/>
  </si>
  <si>
    <t>Battery Vol(V)</t>
    <phoneticPr fontId="1" type="noConversion"/>
  </si>
  <si>
    <t>ADC OFFSET</t>
    <phoneticPr fontId="1" type="noConversion"/>
  </si>
  <si>
    <t>實際值-理論值</t>
    <phoneticPr fontId="1" type="noConversion"/>
  </si>
  <si>
    <t>量測實際ADC</t>
    <phoneticPr fontId="1" type="noConversion"/>
  </si>
  <si>
    <t>量測實際值</t>
    <phoneticPr fontId="1" type="noConversion"/>
  </si>
  <si>
    <t>offset</t>
    <phoneticPr fontId="1" type="noConversion"/>
  </si>
  <si>
    <t>分壓(V)</t>
    <phoneticPr fontId="1" type="noConversion"/>
  </si>
  <si>
    <t>ADC_OFFSET</t>
    <phoneticPr fontId="1" type="noConversion"/>
  </si>
  <si>
    <t>op out (mV)</t>
    <phoneticPr fontId="1" type="noConversion"/>
  </si>
  <si>
    <t>input (A)</t>
    <phoneticPr fontId="1" type="noConversion"/>
  </si>
  <si>
    <t>Rsense</t>
    <phoneticPr fontId="1" type="noConversion"/>
  </si>
  <si>
    <t>DSG OP ADC</t>
    <phoneticPr fontId="1" type="noConversion"/>
  </si>
  <si>
    <t>Current(mA)</t>
    <phoneticPr fontId="1" type="noConversion"/>
  </si>
  <si>
    <t>ADC min</t>
    <phoneticPr fontId="1" type="noConversion"/>
  </si>
  <si>
    <t>ADC max</t>
    <phoneticPr fontId="1" type="noConversion"/>
  </si>
  <si>
    <t>CHG OP ADC</t>
    <phoneticPr fontId="1" type="noConversion"/>
  </si>
  <si>
    <t>Voltage(V)</t>
    <phoneticPr fontId="1" type="noConversion"/>
  </si>
  <si>
    <t>倍</t>
    <phoneticPr fontId="1" type="noConversion"/>
  </si>
  <si>
    <t>DSG (A)</t>
    <phoneticPr fontId="1" type="noConversion"/>
  </si>
  <si>
    <t>R-sense(mV)</t>
    <phoneticPr fontId="1" type="noConversion"/>
  </si>
  <si>
    <t>OP-Out(mV)</t>
    <phoneticPr fontId="1" type="noConversion"/>
  </si>
  <si>
    <t>gain</t>
    <phoneticPr fontId="1" type="noConversion"/>
  </si>
  <si>
    <t>adc 10 bit</t>
    <phoneticPr fontId="1" type="noConversion"/>
  </si>
  <si>
    <t>ADC ref</t>
    <phoneticPr fontId="1" type="noConversion"/>
  </si>
  <si>
    <t>mv</t>
    <phoneticPr fontId="1" type="noConversion"/>
  </si>
  <si>
    <t>ADC setp</t>
    <phoneticPr fontId="1" type="noConversion"/>
  </si>
  <si>
    <t>ADC Valu</t>
    <phoneticPr fontId="1" type="noConversion"/>
  </si>
  <si>
    <t>R-calcul</t>
    <phoneticPr fontId="1" type="noConversion"/>
  </si>
  <si>
    <t>mR</t>
    <phoneticPr fontId="1" type="noConversion"/>
  </si>
  <si>
    <t>error tol</t>
    <phoneticPr fontId="1" type="noConversion"/>
  </si>
  <si>
    <t>ADC factor</t>
    <phoneticPr fontId="1" type="noConversion"/>
  </si>
  <si>
    <t>V</t>
    <phoneticPr fontId="1" type="noConversion"/>
  </si>
  <si>
    <t>adc step</t>
    <phoneticPr fontId="1" type="noConversion"/>
  </si>
  <si>
    <t>Gain</t>
    <phoneticPr fontId="1" type="noConversion"/>
  </si>
  <si>
    <t>DSG OP</t>
    <phoneticPr fontId="1" type="noConversion"/>
  </si>
  <si>
    <t>ADC offset</t>
    <phoneticPr fontId="1" type="noConversion"/>
  </si>
  <si>
    <t>硬體設定及校正值</t>
    <phoneticPr fontId="1" type="noConversion"/>
  </si>
  <si>
    <t>10mA to ADC Factor = mA to ADC Factor / 10</t>
    <phoneticPr fontId="1" type="noConversion"/>
  </si>
  <si>
    <t>1mA to ADC Factor = Rsense(R) * op_gain / ADC step(mV)</t>
    <phoneticPr fontId="1" type="noConversion"/>
  </si>
  <si>
    <t>1mA to ADC Factor</t>
  </si>
  <si>
    <t xml:space="preserve">CHG </t>
    <phoneticPr fontId="1" type="noConversion"/>
  </si>
  <si>
    <t>輸入電流(mA)</t>
  </si>
  <si>
    <t>DSG</t>
    <phoneticPr fontId="1" type="noConversion"/>
  </si>
  <si>
    <t>//實際值-理論值</t>
  </si>
  <si>
    <t>//實際值-理論值</t>
    <phoneticPr fontId="1" type="noConversion"/>
  </si>
  <si>
    <t>ADC Values</t>
    <phoneticPr fontId="1" type="noConversion"/>
  </si>
  <si>
    <t>ADC / 10</t>
    <phoneticPr fontId="1" type="noConversion"/>
  </si>
  <si>
    <t>輸入電壓(V)</t>
    <phoneticPr fontId="1" type="noConversion"/>
  </si>
  <si>
    <t>_DETECT_CURRENT_OF_DSG_STATUS_</t>
  </si>
  <si>
    <t>_DETECT_CURRENT_OF_CHG_STATUS_</t>
  </si>
  <si>
    <t>_OC_PROTECTION_RELEASE_TIME_</t>
  </si>
  <si>
    <t>_NO_DEFINE_</t>
  </si>
  <si>
    <t>_DOC_PROTECTION_</t>
  </si>
  <si>
    <t>_COC_PROTECTION_</t>
  </si>
  <si>
    <t>_SOC_1st_CELL_OV_VOLTAGE_</t>
  </si>
  <si>
    <t>_SOC_1st_CELL_UV_VOLTAGE_</t>
  </si>
  <si>
    <t>__2ND_BATTERY_OV_PROTECTION_</t>
  </si>
  <si>
    <t>__2ND_BATTERY_OV_RELEASE_</t>
  </si>
  <si>
    <t>__2ND_BATTERY_UV_PROTECTION_</t>
  </si>
  <si>
    <t>__2ND_BATTERY_UV_RELEASE_</t>
  </si>
  <si>
    <t>_DSG_OT_PROTECTION_VOLTAGE_</t>
  </si>
  <si>
    <t>_DSG_OT_RELEASE_VOLTAGE_</t>
  </si>
  <si>
    <t>_CHG_OT_PROTECTION_VOLTAGE_</t>
  </si>
  <si>
    <t>_CHG_OT_RELEASE_VOLTAGE_</t>
  </si>
  <si>
    <t>_UT_PROTECTION_VOLTAGE_</t>
  </si>
  <si>
    <t>_UT_RELEASE_VOLTAGE_</t>
  </si>
  <si>
    <t>_BUTTON_PRESS_TIME_</t>
  </si>
  <si>
    <t>_WAKE_UP_TIME_FROM_SUSPEND_MODE_</t>
  </si>
  <si>
    <t>_FIRST_TO_SUSPEND_MODE_IN_RELEASE_TIME_</t>
  </si>
  <si>
    <t>_CHG_CV_MODE_LIMIT_VOLTAGE_</t>
  </si>
  <si>
    <t>_CHG_CV_MODE_RELEASE_WAIT_TIME_</t>
  </si>
  <si>
    <t>_CHG_CV_MODE_REPEATING_CYCLE_</t>
  </si>
  <si>
    <t>_CYCLECOUNT_DSG_CAP_THRESHOLD_</t>
  </si>
  <si>
    <t>_CYCLECOUNT_FOR_CHG_LEVEL_1_</t>
  </si>
  <si>
    <t>_CYCLECOUNT_FOR_CHG_LEVEL_2_</t>
  </si>
  <si>
    <t>厚型 48V</t>
    <phoneticPr fontId="1" type="noConversion"/>
  </si>
  <si>
    <t>voltage</t>
    <phoneticPr fontId="1" type="noConversion"/>
  </si>
  <si>
    <t>Factor</t>
    <phoneticPr fontId="1" type="noConversion"/>
  </si>
  <si>
    <t>mV to ADC</t>
    <phoneticPr fontId="1" type="noConversion"/>
  </si>
  <si>
    <t>輸入ADC</t>
    <phoneticPr fontId="1" type="noConversion"/>
  </si>
  <si>
    <t>輸入實際電壓(mV)</t>
    <phoneticPr fontId="1" type="noConversion"/>
  </si>
  <si>
    <t>理論電壓(mV)</t>
    <phoneticPr fontId="1" type="noConversion"/>
  </si>
  <si>
    <t>輸入ADC讀值</t>
    <phoneticPr fontId="1" type="noConversion"/>
  </si>
  <si>
    <t>ADC Offset 值</t>
    <phoneticPr fontId="1" type="noConversion"/>
  </si>
  <si>
    <t>(實際值-理論值)</t>
    <phoneticPr fontId="1" type="noConversion"/>
  </si>
  <si>
    <t>理論值=實際值-Offset</t>
    <phoneticPr fontId="1" type="noConversion"/>
  </si>
  <si>
    <t>add, length, flash sec.,offset, value</t>
    <phoneticPr fontId="1" type="noConversion"/>
  </si>
  <si>
    <t>Current</t>
    <phoneticPr fontId="1" type="noConversion"/>
  </si>
  <si>
    <t>mA to ADC ==&gt;</t>
    <phoneticPr fontId="1" type="noConversion"/>
  </si>
  <si>
    <t>Gain: 68</t>
    <phoneticPr fontId="1" type="noConversion"/>
  </si>
  <si>
    <t>Gain: 120</t>
    <phoneticPr fontId="1" type="noConversion"/>
  </si>
  <si>
    <t>Select</t>
    <phoneticPr fontId="1" type="noConversion"/>
  </si>
  <si>
    <t>Factor</t>
    <phoneticPr fontId="1" type="noConversion"/>
  </si>
  <si>
    <t>理論電流(mA)</t>
    <phoneticPr fontId="1" type="noConversion"/>
  </si>
  <si>
    <t>輸入實際電流(mA)</t>
    <phoneticPr fontId="1" type="noConversion"/>
  </si>
  <si>
    <t>CHG</t>
    <phoneticPr fontId="1" type="noConversion"/>
  </si>
  <si>
    <t>ADC 理論值</t>
    <phoneticPr fontId="1" type="noConversion"/>
  </si>
  <si>
    <r>
      <t xml:space="preserve">e0 03 01 18 </t>
    </r>
    <r>
      <rPr>
        <sz val="12"/>
        <color rgb="FFFF0000"/>
        <rFont val="新細明體"/>
        <family val="1"/>
        <charset val="136"/>
      </rPr>
      <t>fb</t>
    </r>
    <phoneticPr fontId="1" type="noConversion"/>
  </si>
  <si>
    <r>
      <t xml:space="preserve">e0 03 01 16 </t>
    </r>
    <r>
      <rPr>
        <sz val="12"/>
        <color rgb="FFFF0000"/>
        <rFont val="新細明體"/>
        <family val="1"/>
        <charset val="136"/>
      </rPr>
      <t>fb</t>
    </r>
    <phoneticPr fontId="1" type="noConversion"/>
  </si>
  <si>
    <r>
      <t xml:space="preserve">e0 03 01 17 </t>
    </r>
    <r>
      <rPr>
        <sz val="12"/>
        <color rgb="FFFF0000"/>
        <rFont val="新細明體"/>
        <family val="1"/>
        <charset val="136"/>
      </rPr>
      <t>fb</t>
    </r>
    <phoneticPr fontId="1" type="noConversion"/>
  </si>
  <si>
    <t>I2C Address : 0x48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</si>
</sst>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8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  <font>
      <b/>
      <sz val="12"/>
      <color rgb="FF0070C0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mediumDashDot">
        <color indexed="64"/>
      </right>
      <top/>
      <bottom style="slantDashDot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4" fillId="7" borderId="9" xfId="0" applyFont="1" applyFill="1" applyBorder="1" applyAlignment="1">
      <alignment horizontal="center" vertical="center" wrapText="1" readingOrder="1"/>
    </xf>
    <xf numFmtId="0" fontId="4" fillId="7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 readingOrder="1"/>
    </xf>
    <xf numFmtId="0" fontId="4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0" borderId="21" xfId="0" applyFont="1" applyFill="1" applyBorder="1">
      <alignment vertical="center"/>
    </xf>
    <xf numFmtId="0" fontId="0" fillId="0" borderId="22" xfId="0" applyBorder="1">
      <alignment vertical="center"/>
    </xf>
    <xf numFmtId="0" fontId="3" fillId="0" borderId="21" xfId="0" applyFont="1" applyBorder="1">
      <alignment vertical="center"/>
    </xf>
    <xf numFmtId="0" fontId="0" fillId="0" borderId="6" xfId="0" applyBorder="1">
      <alignment vertical="center"/>
    </xf>
    <xf numFmtId="0" fontId="0" fillId="9" borderId="7" xfId="0" applyFill="1" applyBorder="1">
      <alignment vertical="center"/>
    </xf>
    <xf numFmtId="0" fontId="0" fillId="0" borderId="23" xfId="0" applyBorder="1">
      <alignment vertical="center"/>
    </xf>
    <xf numFmtId="0" fontId="5" fillId="0" borderId="0" xfId="0" applyFont="1">
      <alignment vertical="center"/>
    </xf>
    <xf numFmtId="0" fontId="0" fillId="10" borderId="0" xfId="0" quotePrefix="1" applyFill="1">
      <alignment vertical="center"/>
    </xf>
    <xf numFmtId="0" fontId="0" fillId="10" borderId="0" xfId="0" applyFill="1">
      <alignment vertical="center"/>
    </xf>
    <xf numFmtId="0" fontId="3" fillId="0" borderId="4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14" fontId="0" fillId="0" borderId="0" xfId="0" applyNumberFormat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0" fontId="6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>
      <alignment vertical="center"/>
    </xf>
    <xf numFmtId="0" fontId="0" fillId="11" borderId="0" xfId="0" applyFill="1" applyBorder="1">
      <alignment vertical="center"/>
    </xf>
    <xf numFmtId="0" fontId="0" fillId="11" borderId="33" xfId="0" applyFill="1" applyBorder="1">
      <alignment vertical="center"/>
    </xf>
    <xf numFmtId="0" fontId="0" fillId="0" borderId="30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3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35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207084468664848E-2"/>
          <c:y val="6.5645584362161905E-2"/>
          <c:w val="0.60354223433242504"/>
          <c:h val="0.81619343223621421"/>
        </c:manualLayout>
      </c:layout>
      <c:scatterChart>
        <c:scatterStyle val="smoothMarker"/>
        <c:ser>
          <c:idx val="0"/>
          <c:order val="0"/>
          <c:tx>
            <c:strRef>
              <c:f>實測電流!$B$3:$B$4</c:f>
              <c:strCache>
                <c:ptCount val="1"/>
                <c:pt idx="0">
                  <c:v>DSG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實測電流!$B$5:$B$17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22</c:v>
                </c:pt>
                <c:pt idx="3">
                  <c:v>36</c:v>
                </c:pt>
                <c:pt idx="4">
                  <c:v>50</c:v>
                </c:pt>
                <c:pt idx="5">
                  <c:v>80</c:v>
                </c:pt>
                <c:pt idx="6">
                  <c:v>108</c:v>
                </c:pt>
                <c:pt idx="7">
                  <c:v>137</c:v>
                </c:pt>
                <c:pt idx="8">
                  <c:v>166</c:v>
                </c:pt>
                <c:pt idx="9">
                  <c:v>194</c:v>
                </c:pt>
                <c:pt idx="10">
                  <c:v>223</c:v>
                </c:pt>
                <c:pt idx="11">
                  <c:v>251</c:v>
                </c:pt>
                <c:pt idx="12">
                  <c:v>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實測電流!$C$3:$C$4</c:f>
              <c:strCache>
                <c:ptCount val="1"/>
                <c:pt idx="0">
                  <c:v>DSG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實測電流!$C$5:$C$17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81</c:v>
                </c:pt>
                <c:pt idx="6">
                  <c:v>110</c:v>
                </c:pt>
                <c:pt idx="7">
                  <c:v>140</c:v>
                </c:pt>
                <c:pt idx="8">
                  <c:v>167</c:v>
                </c:pt>
                <c:pt idx="9">
                  <c:v>196</c:v>
                </c:pt>
                <c:pt idx="10">
                  <c:v>224</c:v>
                </c:pt>
                <c:pt idx="11">
                  <c:v>252</c:v>
                </c:pt>
                <c:pt idx="12">
                  <c:v>282</c:v>
                </c:pt>
              </c:numCache>
            </c:numRef>
          </c:yVal>
          <c:smooth val="1"/>
        </c:ser>
        <c:axId val="74040064"/>
        <c:axId val="74041984"/>
      </c:scatterChart>
      <c:valAx>
        <c:axId val="74040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4041984"/>
        <c:crosses val="autoZero"/>
        <c:crossBetween val="midCat"/>
      </c:valAx>
      <c:valAx>
        <c:axId val="74041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4040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70844686648672"/>
          <c:y val="0.41794355377243081"/>
          <c:w val="0.26839237057220738"/>
          <c:h val="0.111597493415675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0252109253634827"/>
          <c:y val="7.6923269539436984E-2"/>
          <c:w val="0.50084074714478455"/>
          <c:h val="0.78461734930225469"/>
        </c:manualLayout>
      </c:layout>
      <c:scatterChart>
        <c:scatterStyle val="smoothMarker"/>
        <c:ser>
          <c:idx val="0"/>
          <c:order val="0"/>
          <c:tx>
            <c:strRef>
              <c:f>實測電流!$B$24:$B$25</c:f>
              <c:strCache>
                <c:ptCount val="1"/>
                <c:pt idx="0">
                  <c:v>CHG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實測電流!$B$26:$B$44</c:f>
              <c:numCache>
                <c:formatCode>General</c:formatCode>
                <c:ptCount val="19"/>
                <c:pt idx="0">
                  <c:v>65</c:v>
                </c:pt>
                <c:pt idx="1">
                  <c:v>91</c:v>
                </c:pt>
                <c:pt idx="2">
                  <c:v>99</c:v>
                </c:pt>
                <c:pt idx="3">
                  <c:v>114</c:v>
                </c:pt>
                <c:pt idx="4">
                  <c:v>129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188</c:v>
                </c:pt>
                <c:pt idx="9">
                  <c:v>206</c:v>
                </c:pt>
                <c:pt idx="10">
                  <c:v>222</c:v>
                </c:pt>
                <c:pt idx="11">
                  <c:v>248</c:v>
                </c:pt>
                <c:pt idx="12">
                  <c:v>301</c:v>
                </c:pt>
                <c:pt idx="13">
                  <c:v>380</c:v>
                </c:pt>
                <c:pt idx="14">
                  <c:v>462</c:v>
                </c:pt>
                <c:pt idx="15">
                  <c:v>541</c:v>
                </c:pt>
                <c:pt idx="16">
                  <c:v>694</c:v>
                </c:pt>
                <c:pt idx="17">
                  <c:v>858</c:v>
                </c:pt>
                <c:pt idx="18">
                  <c:v>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實測電流!$C$24:$C$25</c:f>
              <c:strCache>
                <c:ptCount val="1"/>
                <c:pt idx="0">
                  <c:v>CHG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實測電流!$C$26:$C$44</c:f>
              <c:numCache>
                <c:formatCode>General</c:formatCode>
                <c:ptCount val="19"/>
                <c:pt idx="0">
                  <c:v>67</c:v>
                </c:pt>
                <c:pt idx="1">
                  <c:v>92</c:v>
                </c:pt>
                <c:pt idx="2">
                  <c:v>102</c:v>
                </c:pt>
                <c:pt idx="3">
                  <c:v>116</c:v>
                </c:pt>
                <c:pt idx="4">
                  <c:v>134</c:v>
                </c:pt>
                <c:pt idx="5">
                  <c:v>149</c:v>
                </c:pt>
                <c:pt idx="6">
                  <c:v>169</c:v>
                </c:pt>
                <c:pt idx="7">
                  <c:v>182</c:v>
                </c:pt>
                <c:pt idx="8">
                  <c:v>198</c:v>
                </c:pt>
                <c:pt idx="9">
                  <c:v>214</c:v>
                </c:pt>
                <c:pt idx="10">
                  <c:v>235</c:v>
                </c:pt>
                <c:pt idx="11">
                  <c:v>261</c:v>
                </c:pt>
                <c:pt idx="12">
                  <c:v>309</c:v>
                </c:pt>
                <c:pt idx="13">
                  <c:v>392</c:v>
                </c:pt>
                <c:pt idx="14">
                  <c:v>475</c:v>
                </c:pt>
                <c:pt idx="15">
                  <c:v>552</c:v>
                </c:pt>
                <c:pt idx="16">
                  <c:v>710</c:v>
                </c:pt>
                <c:pt idx="17">
                  <c:v>864</c:v>
                </c:pt>
                <c:pt idx="18">
                  <c:v>910</c:v>
                </c:pt>
              </c:numCache>
            </c:numRef>
          </c:yVal>
          <c:smooth val="1"/>
        </c:ser>
        <c:axId val="74205440"/>
        <c:axId val="74224000"/>
      </c:scatterChart>
      <c:valAx>
        <c:axId val="74205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4224000"/>
        <c:crosses val="autoZero"/>
        <c:crossBetween val="midCat"/>
      </c:valAx>
      <c:valAx>
        <c:axId val="7422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420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1013754771019"/>
          <c:y val="0.40512921957436798"/>
          <c:w val="0.33445405597923572"/>
          <c:h val="0.130769558217042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77E-2"/>
          <c:y val="8.1301028172182682E-2"/>
          <c:w val="0.79229764355444865"/>
          <c:h val="0.77235976763573455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75747712"/>
        <c:axId val="75749632"/>
      </c:scatterChart>
      <c:valAx>
        <c:axId val="757477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5749632"/>
        <c:crosses val="autoZero"/>
        <c:crossBetween val="midCat"/>
      </c:valAx>
      <c:valAx>
        <c:axId val="75749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5747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1944"/>
          <c:y val="0.39837503804369467"/>
          <c:w val="9.4910655217460005E-2"/>
          <c:h val="0.138211747892710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123825</xdr:rowOff>
    </xdr:from>
    <xdr:to>
      <xdr:col>16</xdr:col>
      <xdr:colOff>0</xdr:colOff>
      <xdr:row>21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0</xdr:rowOff>
    </xdr:from>
    <xdr:to>
      <xdr:col>14</xdr:col>
      <xdr:colOff>0</xdr:colOff>
      <xdr:row>41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17"/>
  <sheetViews>
    <sheetView tabSelected="1" workbookViewId="0">
      <selection activeCell="G6" sqref="G6"/>
    </sheetView>
  </sheetViews>
  <sheetFormatPr defaultRowHeight="16.5"/>
  <cols>
    <col min="3" max="3" width="9.5" bestFit="1" customWidth="1"/>
    <col min="5" max="5" width="10" customWidth="1"/>
  </cols>
  <sheetData>
    <row r="2" spans="3:10">
      <c r="C2" s="60"/>
    </row>
    <row r="3" spans="3:10">
      <c r="C3" t="s">
        <v>147</v>
      </c>
      <c r="D3" t="s">
        <v>137</v>
      </c>
      <c r="E3" s="61">
        <v>0.16383900000000001</v>
      </c>
      <c r="F3" t="s">
        <v>148</v>
      </c>
      <c r="H3" t="s">
        <v>150</v>
      </c>
    </row>
    <row r="4" spans="3:10">
      <c r="C4" t="s">
        <v>147</v>
      </c>
      <c r="D4" t="s">
        <v>137</v>
      </c>
      <c r="E4" s="61">
        <v>9.2799999999999994E-2</v>
      </c>
      <c r="F4" t="s">
        <v>148</v>
      </c>
      <c r="H4" t="s">
        <v>149</v>
      </c>
    </row>
    <row r="6" spans="3:10">
      <c r="C6" t="s">
        <v>151</v>
      </c>
      <c r="D6" t="s">
        <v>152</v>
      </c>
      <c r="E6" s="66">
        <f>E3</f>
        <v>0.16383900000000001</v>
      </c>
    </row>
    <row r="7" spans="3:10" ht="17.25" thickBot="1"/>
    <row r="8" spans="3:10" ht="17.25" thickTop="1">
      <c r="C8" s="69" t="s">
        <v>154</v>
      </c>
      <c r="D8" s="70"/>
      <c r="E8" s="63">
        <v>3000</v>
      </c>
      <c r="F8" s="12"/>
      <c r="G8" s="13"/>
      <c r="H8" s="71" t="s">
        <v>139</v>
      </c>
      <c r="I8" s="71"/>
      <c r="J8" s="62">
        <v>814</v>
      </c>
    </row>
    <row r="9" spans="3:10">
      <c r="C9" s="67" t="s">
        <v>156</v>
      </c>
      <c r="D9" s="68"/>
      <c r="E9" s="64">
        <f>ROUND(E8*E6,0)</f>
        <v>492</v>
      </c>
      <c r="F9" s="64"/>
      <c r="G9" s="15"/>
      <c r="H9" s="71" t="s">
        <v>153</v>
      </c>
      <c r="I9" s="71"/>
      <c r="J9">
        <f>ROUND(J8/E6,0)</f>
        <v>4968</v>
      </c>
    </row>
    <row r="10" spans="3:10">
      <c r="C10" s="67" t="s">
        <v>142</v>
      </c>
      <c r="D10" s="68"/>
      <c r="E10" s="65">
        <v>270</v>
      </c>
      <c r="F10" s="64"/>
      <c r="G10" s="15"/>
    </row>
    <row r="11" spans="3:10">
      <c r="C11" s="67" t="s">
        <v>143</v>
      </c>
      <c r="D11" s="68"/>
      <c r="E11" s="64">
        <f>E10-E9</f>
        <v>-222</v>
      </c>
      <c r="F11" s="64" t="s">
        <v>144</v>
      </c>
      <c r="G11" s="15"/>
      <c r="H11" t="str">
        <f>DEC2HEX(E11)</f>
        <v>FFFFFFFF22</v>
      </c>
    </row>
    <row r="12" spans="3:10" ht="17.25" thickBot="1">
      <c r="C12" s="45"/>
      <c r="D12" s="18"/>
      <c r="E12" s="18" t="s">
        <v>145</v>
      </c>
      <c r="F12" s="18"/>
      <c r="G12" s="19"/>
    </row>
    <row r="13" spans="3:10" ht="17.25" thickTop="1"/>
    <row r="15" spans="3:10">
      <c r="H15" t="s">
        <v>155</v>
      </c>
      <c r="I15" t="s">
        <v>158</v>
      </c>
    </row>
    <row r="16" spans="3:10">
      <c r="I16" t="s">
        <v>146</v>
      </c>
    </row>
    <row r="17" spans="8:9">
      <c r="H17" t="s">
        <v>102</v>
      </c>
      <c r="I17" t="s">
        <v>159</v>
      </c>
    </row>
  </sheetData>
  <mergeCells count="6">
    <mergeCell ref="C11:D11"/>
    <mergeCell ref="C8:D8"/>
    <mergeCell ref="H8:I8"/>
    <mergeCell ref="C9:D9"/>
    <mergeCell ref="H9:I9"/>
    <mergeCell ref="C10:D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J17"/>
  <sheetViews>
    <sheetView workbookViewId="0">
      <selection activeCell="I12" sqref="I12"/>
    </sheetView>
  </sheetViews>
  <sheetFormatPr defaultRowHeight="16.5"/>
  <cols>
    <col min="3" max="3" width="9.5" bestFit="1" customWidth="1"/>
  </cols>
  <sheetData>
    <row r="2" spans="3:10">
      <c r="C2" s="60">
        <v>41052</v>
      </c>
      <c r="E2" t="s">
        <v>135</v>
      </c>
    </row>
    <row r="4" spans="3:10">
      <c r="C4" t="s">
        <v>21</v>
      </c>
      <c r="D4" t="s">
        <v>137</v>
      </c>
      <c r="E4" s="61">
        <v>1.6962000000000001E-2</v>
      </c>
      <c r="F4" t="s">
        <v>138</v>
      </c>
    </row>
    <row r="5" spans="3:10" ht="17.25" thickBot="1"/>
    <row r="6" spans="3:10" ht="17.25" thickTop="1">
      <c r="C6" s="69" t="s">
        <v>140</v>
      </c>
      <c r="D6" s="70"/>
      <c r="E6" s="63">
        <v>36000</v>
      </c>
      <c r="F6" s="12"/>
      <c r="G6" s="13"/>
      <c r="H6" s="71" t="s">
        <v>139</v>
      </c>
      <c r="I6" s="71"/>
      <c r="J6" s="62">
        <v>814</v>
      </c>
    </row>
    <row r="7" spans="3:10">
      <c r="C7" s="67" t="s">
        <v>156</v>
      </c>
      <c r="D7" s="68"/>
      <c r="E7" s="58">
        <f>ROUND(E6*E4,0)</f>
        <v>611</v>
      </c>
      <c r="F7" s="58"/>
      <c r="G7" s="15"/>
      <c r="H7" s="71" t="s">
        <v>141</v>
      </c>
      <c r="I7" s="71"/>
      <c r="J7">
        <f>ROUND(J6/E4,0)</f>
        <v>47990</v>
      </c>
    </row>
    <row r="8" spans="3:10">
      <c r="C8" s="67" t="s">
        <v>142</v>
      </c>
      <c r="D8" s="68"/>
      <c r="E8" s="59">
        <v>620</v>
      </c>
      <c r="F8" s="58"/>
      <c r="G8" s="15"/>
    </row>
    <row r="9" spans="3:10">
      <c r="C9" s="67" t="s">
        <v>143</v>
      </c>
      <c r="D9" s="68"/>
      <c r="E9" s="58">
        <f>E8-E7</f>
        <v>9</v>
      </c>
      <c r="F9" s="58" t="s">
        <v>144</v>
      </c>
      <c r="G9" s="15"/>
      <c r="H9" t="str">
        <f>DEC2HEX(E9)</f>
        <v>9</v>
      </c>
    </row>
    <row r="10" spans="3:10" ht="17.25" thickBot="1">
      <c r="C10" s="45"/>
      <c r="D10" s="18"/>
      <c r="E10" s="18" t="s">
        <v>145</v>
      </c>
      <c r="F10" s="18"/>
      <c r="G10" s="19"/>
    </row>
    <row r="11" spans="3:10" ht="17.25" thickTop="1">
      <c r="I11" t="s">
        <v>160</v>
      </c>
    </row>
    <row r="13" spans="3:10">
      <c r="C13" t="s">
        <v>136</v>
      </c>
      <c r="D13" t="s">
        <v>13</v>
      </c>
      <c r="F13" t="s">
        <v>55</v>
      </c>
      <c r="I13" t="s">
        <v>157</v>
      </c>
    </row>
    <row r="14" spans="3:10">
      <c r="C14">
        <v>48</v>
      </c>
      <c r="D14">
        <v>822</v>
      </c>
      <c r="F14">
        <f>D14/(C14*1000)</f>
        <v>1.7125000000000001E-2</v>
      </c>
      <c r="I14" t="s">
        <v>146</v>
      </c>
    </row>
    <row r="15" spans="3:10">
      <c r="C15">
        <v>50</v>
      </c>
      <c r="D15">
        <v>856</v>
      </c>
      <c r="F15">
        <f t="shared" ref="F15:F17" si="0">D15/(C15*1000)</f>
        <v>1.712E-2</v>
      </c>
    </row>
    <row r="16" spans="3:10">
      <c r="C16">
        <v>45</v>
      </c>
      <c r="D16">
        <v>770</v>
      </c>
      <c r="F16">
        <f t="shared" si="0"/>
        <v>1.7111111111111112E-2</v>
      </c>
    </row>
    <row r="17" spans="3:6">
      <c r="C17">
        <v>40</v>
      </c>
      <c r="D17">
        <v>685</v>
      </c>
      <c r="F17">
        <f t="shared" si="0"/>
        <v>1.7125000000000001E-2</v>
      </c>
    </row>
  </sheetData>
  <mergeCells count="6">
    <mergeCell ref="C6:D6"/>
    <mergeCell ref="C7:D7"/>
    <mergeCell ref="C8:D8"/>
    <mergeCell ref="C9:D9"/>
    <mergeCell ref="H6:I6"/>
    <mergeCell ref="H7:I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N50"/>
  <sheetViews>
    <sheetView topLeftCell="A17" workbookViewId="0">
      <selection activeCell="C24" sqref="C24:C50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4" ht="17.25" thickBot="1">
      <c r="C2" t="s">
        <v>96</v>
      </c>
    </row>
    <row r="3" spans="3:14" ht="17.25" thickTop="1">
      <c r="C3" s="39" t="s">
        <v>14</v>
      </c>
      <c r="D3" s="12"/>
      <c r="E3" s="12"/>
      <c r="F3" s="40"/>
      <c r="G3" s="13"/>
      <c r="H3" s="49" t="s">
        <v>98</v>
      </c>
      <c r="I3" s="49"/>
      <c r="J3" s="49"/>
      <c r="K3" s="50"/>
      <c r="L3" s="50"/>
      <c r="M3" s="50"/>
      <c r="N3" s="50"/>
    </row>
    <row r="4" spans="3:14" ht="17.25" thickBot="1">
      <c r="C4" s="14" t="s">
        <v>15</v>
      </c>
      <c r="D4" s="35">
        <v>10</v>
      </c>
      <c r="E4" s="10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4">
      <c r="C5" s="14" t="s">
        <v>17</v>
      </c>
      <c r="D5" s="35">
        <v>2.5</v>
      </c>
      <c r="E5" s="10" t="s">
        <v>18</v>
      </c>
      <c r="F5" s="31"/>
      <c r="G5" s="10"/>
      <c r="H5" s="54"/>
      <c r="I5" s="72" t="s">
        <v>101</v>
      </c>
      <c r="J5" s="72"/>
      <c r="K5" s="76" t="s">
        <v>105</v>
      </c>
      <c r="L5" s="76"/>
      <c r="M5" s="76" t="s">
        <v>106</v>
      </c>
      <c r="N5" s="80"/>
    </row>
    <row r="6" spans="3:14" ht="17.25" thickBot="1">
      <c r="C6" s="41" t="s">
        <v>92</v>
      </c>
      <c r="D6" s="32">
        <f>D5/F4*1000</f>
        <v>2.44140625</v>
      </c>
      <c r="E6" s="32" t="s">
        <v>19</v>
      </c>
      <c r="F6" s="33"/>
      <c r="G6" s="10"/>
      <c r="H6" s="55" t="s">
        <v>100</v>
      </c>
      <c r="I6" s="73">
        <v>3000</v>
      </c>
      <c r="J6" s="73"/>
      <c r="K6" s="77">
        <f>I6*E10+E9</f>
        <v>278.52800000000002</v>
      </c>
      <c r="L6" s="77"/>
      <c r="M6" s="77">
        <f>I6/10</f>
        <v>300</v>
      </c>
      <c r="N6" s="81"/>
    </row>
    <row r="7" spans="3:14" ht="18" thickTop="1" thickBot="1">
      <c r="C7" s="14" t="s">
        <v>0</v>
      </c>
      <c r="D7" s="35">
        <f>10/3</f>
        <v>3.3333333333333335</v>
      </c>
      <c r="E7" s="10" t="s">
        <v>8</v>
      </c>
      <c r="F7" s="10">
        <f>D7/1000</f>
        <v>3.3333333333333335E-3</v>
      </c>
      <c r="G7" s="10" t="s">
        <v>3</v>
      </c>
      <c r="H7" s="55" t="s">
        <v>102</v>
      </c>
      <c r="I7" s="74">
        <v>3000</v>
      </c>
      <c r="J7" s="74"/>
      <c r="K7" s="78">
        <f>I7*E13+E12</f>
        <v>278.52800000000002</v>
      </c>
      <c r="L7" s="78"/>
      <c r="M7" s="78">
        <f>I7/10</f>
        <v>300</v>
      </c>
      <c r="N7" s="82"/>
    </row>
    <row r="8" spans="3:14">
      <c r="C8" s="42" t="s">
        <v>12</v>
      </c>
      <c r="D8" s="27" t="s">
        <v>93</v>
      </c>
      <c r="E8" s="36">
        <v>68</v>
      </c>
      <c r="F8" s="10"/>
      <c r="G8" s="10"/>
      <c r="H8" s="56"/>
      <c r="I8" s="75" t="s">
        <v>107</v>
      </c>
      <c r="J8" s="75"/>
      <c r="K8" s="79" t="s">
        <v>105</v>
      </c>
      <c r="L8" s="79"/>
      <c r="M8" s="79" t="s">
        <v>106</v>
      </c>
      <c r="N8" s="83"/>
    </row>
    <row r="9" spans="3:14" ht="17.25" thickBot="1">
      <c r="C9" s="51"/>
      <c r="D9" s="10" t="s">
        <v>95</v>
      </c>
      <c r="E9" s="37">
        <v>0</v>
      </c>
      <c r="F9" s="10" t="s">
        <v>104</v>
      </c>
      <c r="G9" s="10"/>
      <c r="H9" s="57" t="s">
        <v>21</v>
      </c>
      <c r="I9" s="74">
        <v>20</v>
      </c>
      <c r="J9" s="74"/>
      <c r="K9" s="78">
        <f>I9/(E14+E15)*E15*1000/D6+E16</f>
        <v>339.23926380368101</v>
      </c>
      <c r="L9" s="78"/>
      <c r="M9" s="78">
        <f>I9/10</f>
        <v>2</v>
      </c>
      <c r="N9" s="84"/>
    </row>
    <row r="10" spans="3:14">
      <c r="C10" s="43" t="s">
        <v>99</v>
      </c>
      <c r="D10" s="30"/>
      <c r="E10" s="52">
        <f>F7*E8/D6</f>
        <v>9.2842666666666671E-2</v>
      </c>
      <c r="F10" s="10"/>
      <c r="G10" s="15"/>
    </row>
    <row r="11" spans="3:14">
      <c r="C11" s="42" t="s">
        <v>94</v>
      </c>
      <c r="D11" s="27" t="s">
        <v>93</v>
      </c>
      <c r="E11" s="36">
        <v>68</v>
      </c>
      <c r="F11" s="10"/>
      <c r="G11" s="15"/>
    </row>
    <row r="12" spans="3:14">
      <c r="C12" s="51"/>
      <c r="D12" s="10" t="s">
        <v>95</v>
      </c>
      <c r="E12" s="37">
        <v>0</v>
      </c>
      <c r="F12" s="10" t="s">
        <v>103</v>
      </c>
      <c r="G12" s="15"/>
    </row>
    <row r="13" spans="3:14">
      <c r="C13" s="14" t="s">
        <v>99</v>
      </c>
      <c r="D13" s="10"/>
      <c r="E13" s="53">
        <f>F7*E11/D6</f>
        <v>9.2842666666666671E-2</v>
      </c>
      <c r="F13" s="10"/>
      <c r="G13" s="15"/>
    </row>
    <row r="14" spans="3:14">
      <c r="C14" s="44" t="s">
        <v>21</v>
      </c>
      <c r="D14" s="27" t="s">
        <v>2</v>
      </c>
      <c r="E14" s="38">
        <v>1000</v>
      </c>
      <c r="F14" s="28" t="s">
        <v>5</v>
      </c>
      <c r="G14" s="15"/>
    </row>
    <row r="15" spans="3:14">
      <c r="C15" s="14"/>
      <c r="D15" s="10" t="s">
        <v>22</v>
      </c>
      <c r="E15" s="35">
        <v>43.2</v>
      </c>
      <c r="F15" s="29" t="s">
        <v>5</v>
      </c>
      <c r="G15" s="15"/>
    </row>
    <row r="16" spans="3:14" ht="17.25" thickBot="1">
      <c r="C16" s="45"/>
      <c r="D16" s="18" t="s">
        <v>95</v>
      </c>
      <c r="E16" s="46">
        <v>0</v>
      </c>
      <c r="F16" s="47" t="s">
        <v>103</v>
      </c>
      <c r="G16" s="19"/>
    </row>
    <row r="17" spans="3:4" ht="17.25" thickTop="1">
      <c r="C17" s="48"/>
      <c r="D17" s="48"/>
    </row>
    <row r="24" spans="3:4">
      <c r="C24" t="s">
        <v>108</v>
      </c>
    </row>
    <row r="25" spans="3:4">
      <c r="C25" t="s">
        <v>109</v>
      </c>
    </row>
    <row r="26" spans="3:4">
      <c r="C26" t="s">
        <v>110</v>
      </c>
    </row>
    <row r="27" spans="3:4">
      <c r="C27" t="s">
        <v>111</v>
      </c>
    </row>
    <row r="28" spans="3:4">
      <c r="C28" t="s">
        <v>112</v>
      </c>
    </row>
    <row r="29" spans="3:4">
      <c r="C29" t="s">
        <v>113</v>
      </c>
    </row>
    <row r="30" spans="3:4">
      <c r="C30" t="s">
        <v>114</v>
      </c>
    </row>
    <row r="31" spans="3:4">
      <c r="C31" t="s">
        <v>115</v>
      </c>
    </row>
    <row r="32" spans="3:4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9:L9"/>
    <mergeCell ref="I5:J5"/>
    <mergeCell ref="I6:J6"/>
    <mergeCell ref="I7:J7"/>
    <mergeCell ref="I8:J8"/>
    <mergeCell ref="I9:J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/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11">
      <c r="A1" t="s">
        <v>42</v>
      </c>
    </row>
    <row r="2" spans="1:11">
      <c r="A2" t="s">
        <v>38</v>
      </c>
    </row>
    <row r="3" spans="1:11">
      <c r="A3" t="s">
        <v>39</v>
      </c>
    </row>
    <row r="4" spans="1:11">
      <c r="A4" t="s">
        <v>40</v>
      </c>
    </row>
    <row r="5" spans="1:11">
      <c r="A5" t="s">
        <v>40</v>
      </c>
    </row>
    <row r="6" spans="1:11">
      <c r="A6" t="s">
        <v>52</v>
      </c>
    </row>
    <row r="7" spans="1:11">
      <c r="A7" t="s">
        <v>38</v>
      </c>
      <c r="H7" s="5" t="s">
        <v>14</v>
      </c>
    </row>
    <row r="8" spans="1:11">
      <c r="A8" t="s">
        <v>41</v>
      </c>
      <c r="H8" t="s">
        <v>15</v>
      </c>
      <c r="I8" s="1">
        <v>10</v>
      </c>
      <c r="J8" t="s">
        <v>16</v>
      </c>
      <c r="K8" s="1">
        <f>2^I8</f>
        <v>1024</v>
      </c>
    </row>
    <row r="9" spans="1:11">
      <c r="A9" t="s">
        <v>46</v>
      </c>
      <c r="H9" t="s">
        <v>17</v>
      </c>
      <c r="I9" s="1">
        <v>2.5</v>
      </c>
      <c r="J9" t="s">
        <v>18</v>
      </c>
    </row>
    <row r="10" spans="1:11">
      <c r="A10" t="s">
        <v>47</v>
      </c>
      <c r="H10" t="s">
        <v>20</v>
      </c>
      <c r="I10">
        <f>I9/K8*1000</f>
        <v>2.44140625</v>
      </c>
      <c r="J10" t="s">
        <v>19</v>
      </c>
    </row>
    <row r="11" spans="1:11">
      <c r="A11" t="s">
        <v>48</v>
      </c>
    </row>
    <row r="12" spans="1:11">
      <c r="A12" t="s">
        <v>49</v>
      </c>
      <c r="H12" s="8" t="s">
        <v>56</v>
      </c>
      <c r="I12">
        <f>1/I10</f>
        <v>0.40960000000000002</v>
      </c>
    </row>
    <row r="13" spans="1:11">
      <c r="A13" t="s">
        <v>50</v>
      </c>
    </row>
    <row r="14" spans="1:11">
      <c r="A14" t="s">
        <v>51</v>
      </c>
    </row>
    <row r="16" spans="1:11">
      <c r="D16" t="s">
        <v>43</v>
      </c>
      <c r="E16">
        <v>3.3</v>
      </c>
      <c r="F16" t="s">
        <v>18</v>
      </c>
    </row>
    <row r="17" spans="4:10">
      <c r="D17" t="s">
        <v>2</v>
      </c>
      <c r="E17">
        <v>10</v>
      </c>
      <c r="F17" t="s">
        <v>5</v>
      </c>
    </row>
    <row r="20" spans="4:10">
      <c r="D20" t="s">
        <v>44</v>
      </c>
      <c r="E20" t="s">
        <v>45</v>
      </c>
      <c r="F20" t="s">
        <v>53</v>
      </c>
      <c r="G20" t="s">
        <v>54</v>
      </c>
      <c r="H20" t="s">
        <v>13</v>
      </c>
      <c r="J20" t="s">
        <v>55</v>
      </c>
    </row>
    <row r="21" spans="4:10">
      <c r="D21">
        <v>0</v>
      </c>
      <c r="E21">
        <v>27.390999999999998</v>
      </c>
      <c r="F21">
        <f>$E$16/($E$17+E21)*E21</f>
        <v>2.4174346767938806</v>
      </c>
      <c r="G21">
        <f>ROUND((F21*1000),0)</f>
        <v>2417</v>
      </c>
      <c r="H21">
        <f>ROUNDDOWN(G21/$I$10,0)</f>
        <v>990</v>
      </c>
      <c r="J21">
        <f>H21/G21</f>
        <v>0.40959867604468347</v>
      </c>
    </row>
    <row r="22" spans="4:10">
      <c r="D22">
        <v>3</v>
      </c>
      <c r="E22">
        <v>24.082999999999998</v>
      </c>
      <c r="F22">
        <f>$E$16/($E$17+E22)*E22</f>
        <v>2.3317753718862773</v>
      </c>
      <c r="G22">
        <f t="shared" ref="G22:G34" si="0">ROUND((F22*1000),0)</f>
        <v>2332</v>
      </c>
      <c r="H22">
        <f t="shared" ref="H22:H34" si="1">ROUNDDOWN(G22/$I$10,0)</f>
        <v>955</v>
      </c>
      <c r="J22">
        <f t="shared" ref="J22:J34" si="2">H22/G22</f>
        <v>0.40951972555746141</v>
      </c>
    </row>
    <row r="23" spans="4:10">
      <c r="D23">
        <v>5</v>
      </c>
      <c r="E23">
        <v>22.132000000000001</v>
      </c>
      <c r="F23">
        <f>$E$16/($E$17+E23)*E23</f>
        <v>2.2729864309722392</v>
      </c>
      <c r="G23">
        <f t="shared" si="0"/>
        <v>2273</v>
      </c>
      <c r="H23">
        <f t="shared" si="1"/>
        <v>931</v>
      </c>
      <c r="J23">
        <f t="shared" si="2"/>
        <v>0.40959084909810822</v>
      </c>
    </row>
    <row r="24" spans="4:10">
      <c r="D24">
        <v>25</v>
      </c>
      <c r="E24">
        <v>10</v>
      </c>
      <c r="F24">
        <f>$E$16/($E$17+E24)*E24</f>
        <v>1.65</v>
      </c>
      <c r="G24">
        <f t="shared" si="0"/>
        <v>1650</v>
      </c>
      <c r="H24">
        <f t="shared" si="1"/>
        <v>675</v>
      </c>
      <c r="J24">
        <f t="shared" si="2"/>
        <v>0.40909090909090912</v>
      </c>
    </row>
    <row r="25" spans="4:10">
      <c r="D25">
        <v>40</v>
      </c>
      <c r="E25">
        <v>5.8281000000000001</v>
      </c>
      <c r="F25">
        <f t="shared" ref="F25:F34" si="3">$E$16/($E$17+E25)*E25</f>
        <v>1.2151003594872412</v>
      </c>
      <c r="G25">
        <f t="shared" si="0"/>
        <v>1215</v>
      </c>
      <c r="H25">
        <f t="shared" si="1"/>
        <v>497</v>
      </c>
      <c r="J25">
        <f t="shared" si="2"/>
        <v>0.40905349794238682</v>
      </c>
    </row>
    <row r="26" spans="4:10">
      <c r="D26">
        <v>45</v>
      </c>
      <c r="E26">
        <v>4.9183000000000003</v>
      </c>
      <c r="F26">
        <f t="shared" si="3"/>
        <v>1.0879517103155185</v>
      </c>
      <c r="G26">
        <f t="shared" si="0"/>
        <v>1088</v>
      </c>
      <c r="H26">
        <f t="shared" si="1"/>
        <v>445</v>
      </c>
      <c r="J26">
        <f t="shared" si="2"/>
        <v>0.40900735294117646</v>
      </c>
    </row>
    <row r="27" spans="4:10">
      <c r="D27">
        <v>50</v>
      </c>
      <c r="E27">
        <v>4.1708999999999996</v>
      </c>
      <c r="F27">
        <f t="shared" si="3"/>
        <v>0.97128411039524643</v>
      </c>
      <c r="G27">
        <f t="shared" si="0"/>
        <v>971</v>
      </c>
      <c r="H27">
        <f t="shared" si="1"/>
        <v>397</v>
      </c>
      <c r="J27">
        <f t="shared" si="2"/>
        <v>0.40885684860968075</v>
      </c>
    </row>
    <row r="28" spans="4:10">
      <c r="D28">
        <v>55</v>
      </c>
      <c r="E28">
        <v>3.5539000000000001</v>
      </c>
      <c r="F28">
        <f t="shared" si="3"/>
        <v>0.86527641490641072</v>
      </c>
      <c r="G28">
        <f t="shared" si="0"/>
        <v>865</v>
      </c>
      <c r="H28">
        <f t="shared" si="1"/>
        <v>354</v>
      </c>
      <c r="J28">
        <f t="shared" si="2"/>
        <v>0.40924855491329482</v>
      </c>
    </row>
    <row r="29" spans="4:10">
      <c r="D29">
        <v>60</v>
      </c>
      <c r="E29">
        <v>3.0417000000000001</v>
      </c>
      <c r="F29">
        <f t="shared" si="3"/>
        <v>0.76965502963570698</v>
      </c>
      <c r="G29">
        <f t="shared" si="0"/>
        <v>770</v>
      </c>
      <c r="H29">
        <f t="shared" si="1"/>
        <v>315</v>
      </c>
      <c r="J29">
        <f t="shared" si="2"/>
        <v>0.40909090909090912</v>
      </c>
    </row>
    <row r="30" spans="4:10">
      <c r="D30">
        <v>65</v>
      </c>
      <c r="E30">
        <v>2.6143999999999998</v>
      </c>
      <c r="F30">
        <f t="shared" si="3"/>
        <v>0.68394216133942154</v>
      </c>
      <c r="G30">
        <f t="shared" si="0"/>
        <v>684</v>
      </c>
      <c r="H30">
        <f t="shared" si="1"/>
        <v>280</v>
      </c>
      <c r="J30">
        <f t="shared" si="2"/>
        <v>0.40935672514619881</v>
      </c>
    </row>
    <row r="31" spans="4:10">
      <c r="D31">
        <v>70</v>
      </c>
      <c r="E31">
        <v>2.2559</v>
      </c>
      <c r="F31">
        <f t="shared" si="3"/>
        <v>0.60741928377352949</v>
      </c>
      <c r="G31">
        <f t="shared" si="0"/>
        <v>607</v>
      </c>
      <c r="H31">
        <f t="shared" si="1"/>
        <v>248</v>
      </c>
      <c r="J31">
        <f t="shared" si="2"/>
        <v>0.40856672158154861</v>
      </c>
    </row>
    <row r="32" spans="4:10">
      <c r="D32">
        <v>75</v>
      </c>
      <c r="E32">
        <v>1.9538</v>
      </c>
      <c r="F32">
        <f t="shared" si="3"/>
        <v>0.53937158058525325</v>
      </c>
      <c r="G32">
        <f t="shared" si="0"/>
        <v>539</v>
      </c>
      <c r="H32">
        <f t="shared" si="1"/>
        <v>220</v>
      </c>
      <c r="J32">
        <f t="shared" si="2"/>
        <v>0.40816326530612246</v>
      </c>
    </row>
    <row r="33" spans="4:10">
      <c r="D33">
        <v>80</v>
      </c>
      <c r="E33">
        <v>1.698</v>
      </c>
      <c r="F33">
        <f t="shared" si="3"/>
        <v>0.47900495811249783</v>
      </c>
      <c r="G33">
        <f t="shared" si="0"/>
        <v>479</v>
      </c>
      <c r="H33">
        <f t="shared" si="1"/>
        <v>196</v>
      </c>
      <c r="J33">
        <f t="shared" si="2"/>
        <v>0.40918580375782881</v>
      </c>
    </row>
    <row r="34" spans="4:10">
      <c r="D34">
        <v>85</v>
      </c>
      <c r="E34">
        <v>1.4804999999999999</v>
      </c>
      <c r="F34">
        <f t="shared" si="3"/>
        <v>0.42556073341753403</v>
      </c>
      <c r="G34">
        <f t="shared" si="0"/>
        <v>426</v>
      </c>
      <c r="H34">
        <f t="shared" si="1"/>
        <v>174</v>
      </c>
      <c r="J34">
        <f t="shared" si="2"/>
        <v>0.40845070422535212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H72"/>
  <sheetViews>
    <sheetView zoomScale="115" workbookViewId="0">
      <selection activeCell="A3" sqref="A3:A17"/>
    </sheetView>
  </sheetViews>
  <sheetFormatPr defaultRowHeight="16.5"/>
  <cols>
    <col min="1" max="1" width="12.375" customWidth="1"/>
  </cols>
  <sheetData>
    <row r="3" spans="1:5">
      <c r="A3" t="s">
        <v>71</v>
      </c>
    </row>
    <row r="4" spans="1:5">
      <c r="A4" t="s">
        <v>72</v>
      </c>
      <c r="B4" t="s">
        <v>73</v>
      </c>
      <c r="C4" t="s">
        <v>74</v>
      </c>
      <c r="E4" t="s">
        <v>55</v>
      </c>
    </row>
    <row r="5" spans="1:5">
      <c r="A5">
        <v>0</v>
      </c>
      <c r="B5">
        <v>1</v>
      </c>
      <c r="C5">
        <v>3</v>
      </c>
      <c r="E5" t="e">
        <f>(B5+C5)/2/A5</f>
        <v>#DIV/0!</v>
      </c>
    </row>
    <row r="6" spans="1:5">
      <c r="A6">
        <v>500</v>
      </c>
      <c r="B6">
        <v>8</v>
      </c>
      <c r="C6">
        <v>10</v>
      </c>
      <c r="E6">
        <f t="shared" ref="E6:E17" si="0">(B6+C6)/2/A6</f>
        <v>1.7999999999999999E-2</v>
      </c>
    </row>
    <row r="7" spans="1:5">
      <c r="A7">
        <v>1000</v>
      </c>
      <c r="B7">
        <v>22</v>
      </c>
      <c r="C7">
        <v>24</v>
      </c>
      <c r="E7">
        <f t="shared" si="0"/>
        <v>2.3E-2</v>
      </c>
    </row>
    <row r="8" spans="1:5">
      <c r="A8">
        <v>1500</v>
      </c>
      <c r="B8">
        <v>36</v>
      </c>
      <c r="C8">
        <v>38</v>
      </c>
      <c r="E8">
        <f t="shared" si="0"/>
        <v>2.4666666666666667E-2</v>
      </c>
    </row>
    <row r="9" spans="1:5">
      <c r="A9">
        <v>2000</v>
      </c>
      <c r="B9">
        <v>50</v>
      </c>
      <c r="C9">
        <v>52</v>
      </c>
      <c r="E9">
        <f t="shared" si="0"/>
        <v>2.5499999999999998E-2</v>
      </c>
    </row>
    <row r="10" spans="1:5">
      <c r="A10">
        <v>3000</v>
      </c>
      <c r="B10">
        <v>80</v>
      </c>
      <c r="C10">
        <v>81</v>
      </c>
      <c r="E10">
        <f t="shared" si="0"/>
        <v>2.6833333333333334E-2</v>
      </c>
    </row>
    <row r="11" spans="1:5">
      <c r="A11">
        <v>4000</v>
      </c>
      <c r="B11">
        <v>108</v>
      </c>
      <c r="C11">
        <v>110</v>
      </c>
      <c r="E11">
        <f t="shared" si="0"/>
        <v>2.725E-2</v>
      </c>
    </row>
    <row r="12" spans="1:5">
      <c r="A12">
        <v>5000</v>
      </c>
      <c r="B12">
        <v>137</v>
      </c>
      <c r="C12">
        <v>140</v>
      </c>
      <c r="E12">
        <f t="shared" si="0"/>
        <v>2.7699999999999999E-2</v>
      </c>
    </row>
    <row r="13" spans="1:5">
      <c r="A13">
        <v>6000</v>
      </c>
      <c r="B13">
        <v>166</v>
      </c>
      <c r="C13">
        <v>167</v>
      </c>
      <c r="E13">
        <f t="shared" si="0"/>
        <v>2.775E-2</v>
      </c>
    </row>
    <row r="14" spans="1:5">
      <c r="A14">
        <v>7000</v>
      </c>
      <c r="B14">
        <v>194</v>
      </c>
      <c r="C14">
        <v>196</v>
      </c>
      <c r="E14">
        <f t="shared" si="0"/>
        <v>2.7857142857142858E-2</v>
      </c>
    </row>
    <row r="15" spans="1:5">
      <c r="A15">
        <v>8000</v>
      </c>
      <c r="B15">
        <v>223</v>
      </c>
      <c r="C15">
        <v>224</v>
      </c>
      <c r="E15">
        <f t="shared" si="0"/>
        <v>2.7937500000000001E-2</v>
      </c>
    </row>
    <row r="16" spans="1:5">
      <c r="A16">
        <v>9000</v>
      </c>
      <c r="B16">
        <v>251</v>
      </c>
      <c r="C16">
        <v>252</v>
      </c>
      <c r="E16">
        <f t="shared" si="0"/>
        <v>2.7944444444444445E-2</v>
      </c>
    </row>
    <row r="17" spans="1:5">
      <c r="A17">
        <v>10000</v>
      </c>
      <c r="B17">
        <v>281</v>
      </c>
      <c r="C17">
        <v>282</v>
      </c>
      <c r="E17">
        <f t="shared" si="0"/>
        <v>2.8150000000000001E-2</v>
      </c>
    </row>
    <row r="19" spans="1:5">
      <c r="E19">
        <f>SUM(E6:E17)/COUNT(E6:E17)</f>
        <v>2.6049090608465608E-2</v>
      </c>
    </row>
    <row r="24" spans="1:5">
      <c r="A24" t="s">
        <v>75</v>
      </c>
    </row>
    <row r="25" spans="1:5">
      <c r="A25" t="s">
        <v>72</v>
      </c>
      <c r="B25" t="s">
        <v>73</v>
      </c>
      <c r="C25" t="s">
        <v>74</v>
      </c>
      <c r="E25" t="s">
        <v>55</v>
      </c>
    </row>
    <row r="26" spans="1:5">
      <c r="A26">
        <v>0</v>
      </c>
      <c r="B26">
        <v>65</v>
      </c>
      <c r="C26">
        <v>67</v>
      </c>
      <c r="E26" t="e">
        <f>(B26+C26)/2/A26</f>
        <v>#DIV/0!</v>
      </c>
    </row>
    <row r="27" spans="1:5">
      <c r="A27">
        <v>160</v>
      </c>
      <c r="B27">
        <v>91</v>
      </c>
      <c r="C27">
        <v>92</v>
      </c>
      <c r="E27">
        <f t="shared" ref="E27:E44" si="1">(B27+C27)/2/A27</f>
        <v>0.57187500000000002</v>
      </c>
    </row>
    <row r="28" spans="1:5">
      <c r="A28">
        <v>212</v>
      </c>
      <c r="B28">
        <v>99</v>
      </c>
      <c r="C28">
        <v>102</v>
      </c>
      <c r="E28">
        <f t="shared" si="1"/>
        <v>0.47405660377358488</v>
      </c>
    </row>
    <row r="29" spans="1:5">
      <c r="A29">
        <v>314.5</v>
      </c>
      <c r="B29">
        <v>114</v>
      </c>
      <c r="C29">
        <v>116</v>
      </c>
      <c r="E29">
        <f t="shared" si="1"/>
        <v>0.3656597774244833</v>
      </c>
    </row>
    <row r="30" spans="1:5">
      <c r="A30">
        <v>409.5</v>
      </c>
      <c r="B30">
        <v>129</v>
      </c>
      <c r="C30">
        <v>134</v>
      </c>
      <c r="E30">
        <f t="shared" si="1"/>
        <v>0.32112332112332115</v>
      </c>
    </row>
    <row r="31" spans="1:5">
      <c r="A31">
        <v>515</v>
      </c>
      <c r="B31">
        <v>146</v>
      </c>
      <c r="C31">
        <v>149</v>
      </c>
      <c r="E31">
        <f t="shared" si="1"/>
        <v>0.28640776699029125</v>
      </c>
    </row>
    <row r="32" spans="1:5">
      <c r="A32">
        <v>626</v>
      </c>
      <c r="B32">
        <v>162</v>
      </c>
      <c r="C32">
        <v>169</v>
      </c>
      <c r="E32">
        <f t="shared" si="1"/>
        <v>0.26437699680511184</v>
      </c>
    </row>
    <row r="33" spans="1:5">
      <c r="A33">
        <v>713</v>
      </c>
      <c r="B33">
        <v>175</v>
      </c>
      <c r="C33">
        <v>182</v>
      </c>
      <c r="E33">
        <f t="shared" si="1"/>
        <v>0.25035063113604489</v>
      </c>
    </row>
    <row r="34" spans="1:5">
      <c r="A34">
        <v>816</v>
      </c>
      <c r="B34">
        <v>188</v>
      </c>
      <c r="C34">
        <v>198</v>
      </c>
      <c r="E34">
        <f t="shared" si="1"/>
        <v>0.23651960784313725</v>
      </c>
    </row>
    <row r="35" spans="1:5">
      <c r="A35">
        <v>903</v>
      </c>
      <c r="B35">
        <v>206</v>
      </c>
      <c r="C35">
        <v>214</v>
      </c>
      <c r="E35">
        <f t="shared" si="1"/>
        <v>0.23255813953488372</v>
      </c>
    </row>
    <row r="36" spans="1:5">
      <c r="A36">
        <v>1021</v>
      </c>
      <c r="B36">
        <v>222</v>
      </c>
      <c r="C36">
        <v>235</v>
      </c>
      <c r="E36">
        <f t="shared" si="1"/>
        <v>0.22380019588638589</v>
      </c>
    </row>
    <row r="37" spans="1:5">
      <c r="A37">
        <v>1205</v>
      </c>
      <c r="B37">
        <v>248</v>
      </c>
      <c r="C37">
        <v>261</v>
      </c>
      <c r="E37">
        <f t="shared" si="1"/>
        <v>0.21120331950207469</v>
      </c>
    </row>
    <row r="38" spans="1:5">
      <c r="A38">
        <v>1507</v>
      </c>
      <c r="B38">
        <v>301</v>
      </c>
      <c r="C38">
        <v>309</v>
      </c>
      <c r="E38">
        <f t="shared" si="1"/>
        <v>0.20238885202388851</v>
      </c>
    </row>
    <row r="39" spans="1:5">
      <c r="A39">
        <v>2023</v>
      </c>
      <c r="B39">
        <v>380</v>
      </c>
      <c r="C39">
        <v>392</v>
      </c>
      <c r="E39">
        <f t="shared" si="1"/>
        <v>0.19080573405832921</v>
      </c>
    </row>
    <row r="40" spans="1:5">
      <c r="A40">
        <v>2534</v>
      </c>
      <c r="B40">
        <v>462</v>
      </c>
      <c r="C40">
        <v>475</v>
      </c>
      <c r="E40">
        <f t="shared" si="1"/>
        <v>0.18488555643251775</v>
      </c>
    </row>
    <row r="41" spans="1:5">
      <c r="A41">
        <v>3016</v>
      </c>
      <c r="B41">
        <v>541</v>
      </c>
      <c r="C41">
        <v>552</v>
      </c>
      <c r="E41">
        <f t="shared" si="1"/>
        <v>0.1812002652519894</v>
      </c>
    </row>
    <row r="42" spans="1:5">
      <c r="A42">
        <v>4022</v>
      </c>
      <c r="B42">
        <v>694</v>
      </c>
      <c r="C42">
        <v>710</v>
      </c>
      <c r="E42">
        <f t="shared" si="1"/>
        <v>0.17454002983590253</v>
      </c>
    </row>
    <row r="43" spans="1:5">
      <c r="A43">
        <v>5052</v>
      </c>
      <c r="B43">
        <v>858</v>
      </c>
      <c r="C43">
        <v>864</v>
      </c>
      <c r="E43">
        <f t="shared" si="1"/>
        <v>0.17042755344418054</v>
      </c>
    </row>
    <row r="44" spans="1:5">
      <c r="A44">
        <v>5300</v>
      </c>
      <c r="B44">
        <v>897</v>
      </c>
      <c r="C44">
        <v>910</v>
      </c>
      <c r="E44">
        <f t="shared" si="1"/>
        <v>0.17047169811320756</v>
      </c>
    </row>
    <row r="49" spans="1:8">
      <c r="A49" t="s">
        <v>21</v>
      </c>
    </row>
    <row r="50" spans="1:8">
      <c r="A50" t="s">
        <v>76</v>
      </c>
      <c r="B50" t="s">
        <v>73</v>
      </c>
      <c r="C50" t="s">
        <v>74</v>
      </c>
      <c r="E50" t="s">
        <v>55</v>
      </c>
    </row>
    <row r="51" spans="1:8">
      <c r="A51">
        <v>36</v>
      </c>
      <c r="B51">
        <v>595</v>
      </c>
      <c r="C51">
        <v>596</v>
      </c>
      <c r="E51">
        <f>(B51+C51)/2/A51</f>
        <v>16.541666666666668</v>
      </c>
      <c r="F51">
        <v>16.8</v>
      </c>
      <c r="G51">
        <f>A51*F51</f>
        <v>604.80000000000007</v>
      </c>
      <c r="H51">
        <f>G51-C51</f>
        <v>8.8000000000000682</v>
      </c>
    </row>
    <row r="52" spans="1:8">
      <c r="A52">
        <v>37</v>
      </c>
      <c r="B52">
        <v>611</v>
      </c>
      <c r="C52">
        <v>612</v>
      </c>
      <c r="E52">
        <f t="shared" ref="E52:E72" si="2">(B52+C52)/2/A52</f>
        <v>16.527027027027028</v>
      </c>
      <c r="F52">
        <v>16.8</v>
      </c>
      <c r="G52">
        <f t="shared" ref="G52:G72" si="3">A52*F52</f>
        <v>621.6</v>
      </c>
      <c r="H52">
        <f t="shared" ref="H52:H72" si="4">G52-C52</f>
        <v>9.6000000000000227</v>
      </c>
    </row>
    <row r="53" spans="1:8">
      <c r="A53">
        <v>38</v>
      </c>
      <c r="B53">
        <v>628</v>
      </c>
      <c r="C53">
        <v>630</v>
      </c>
      <c r="E53">
        <f t="shared" si="2"/>
        <v>16.55263157894737</v>
      </c>
      <c r="F53">
        <v>16.8</v>
      </c>
      <c r="G53">
        <f t="shared" si="3"/>
        <v>638.4</v>
      </c>
      <c r="H53">
        <f t="shared" si="4"/>
        <v>8.3999999999999773</v>
      </c>
    </row>
    <row r="54" spans="1:8">
      <c r="A54">
        <v>39</v>
      </c>
      <c r="B54">
        <v>644</v>
      </c>
      <c r="C54">
        <v>645</v>
      </c>
      <c r="E54">
        <f t="shared" si="2"/>
        <v>16.525641025641026</v>
      </c>
      <c r="F54">
        <v>16.8</v>
      </c>
      <c r="G54">
        <f t="shared" si="3"/>
        <v>655.20000000000005</v>
      </c>
      <c r="H54">
        <f t="shared" si="4"/>
        <v>10.200000000000045</v>
      </c>
    </row>
    <row r="55" spans="1:8">
      <c r="A55">
        <v>40</v>
      </c>
      <c r="B55">
        <v>660</v>
      </c>
      <c r="C55">
        <v>661</v>
      </c>
      <c r="E55">
        <f t="shared" si="2"/>
        <v>16.512499999999999</v>
      </c>
      <c r="F55">
        <v>16.8</v>
      </c>
      <c r="G55">
        <f t="shared" si="3"/>
        <v>672</v>
      </c>
      <c r="H55">
        <f t="shared" si="4"/>
        <v>11</v>
      </c>
    </row>
    <row r="56" spans="1:8">
      <c r="A56">
        <v>41</v>
      </c>
      <c r="B56">
        <v>676</v>
      </c>
      <c r="C56">
        <v>678</v>
      </c>
      <c r="E56">
        <f t="shared" si="2"/>
        <v>16.512195121951219</v>
      </c>
      <c r="F56">
        <v>16.8</v>
      </c>
      <c r="G56">
        <f t="shared" si="3"/>
        <v>688.80000000000007</v>
      </c>
      <c r="H56">
        <f t="shared" si="4"/>
        <v>10.800000000000068</v>
      </c>
    </row>
    <row r="57" spans="1:8">
      <c r="A57">
        <v>42</v>
      </c>
      <c r="B57">
        <v>692</v>
      </c>
      <c r="C57">
        <v>693</v>
      </c>
      <c r="E57">
        <f t="shared" si="2"/>
        <v>16.488095238095237</v>
      </c>
      <c r="F57">
        <v>16.8</v>
      </c>
      <c r="G57">
        <f t="shared" si="3"/>
        <v>705.6</v>
      </c>
      <c r="H57">
        <f t="shared" si="4"/>
        <v>12.600000000000023</v>
      </c>
    </row>
    <row r="58" spans="1:8">
      <c r="A58">
        <v>43</v>
      </c>
      <c r="B58">
        <v>709</v>
      </c>
      <c r="C58">
        <v>710</v>
      </c>
      <c r="E58">
        <f t="shared" si="2"/>
        <v>16.5</v>
      </c>
      <c r="F58">
        <v>16.8</v>
      </c>
      <c r="G58">
        <f t="shared" si="3"/>
        <v>722.4</v>
      </c>
      <c r="H58">
        <f t="shared" si="4"/>
        <v>12.399999999999977</v>
      </c>
    </row>
    <row r="59" spans="1:8">
      <c r="A59">
        <v>44</v>
      </c>
      <c r="B59">
        <v>724</v>
      </c>
      <c r="C59">
        <v>725</v>
      </c>
      <c r="E59">
        <f t="shared" si="2"/>
        <v>16.46590909090909</v>
      </c>
      <c r="F59">
        <v>16.8</v>
      </c>
      <c r="G59">
        <f t="shared" si="3"/>
        <v>739.2</v>
      </c>
      <c r="H59">
        <f t="shared" si="4"/>
        <v>14.200000000000045</v>
      </c>
    </row>
    <row r="60" spans="1:8">
      <c r="A60">
        <v>45</v>
      </c>
      <c r="B60">
        <v>740</v>
      </c>
      <c r="C60">
        <v>741</v>
      </c>
      <c r="E60">
        <f t="shared" si="2"/>
        <v>16.455555555555556</v>
      </c>
      <c r="F60">
        <v>16.8</v>
      </c>
      <c r="G60">
        <f t="shared" si="3"/>
        <v>756</v>
      </c>
      <c r="H60">
        <f t="shared" si="4"/>
        <v>15</v>
      </c>
    </row>
    <row r="61" spans="1:8">
      <c r="A61">
        <v>46</v>
      </c>
      <c r="B61">
        <v>757</v>
      </c>
      <c r="C61">
        <v>758</v>
      </c>
      <c r="E61">
        <f t="shared" si="2"/>
        <v>16.467391304347824</v>
      </c>
      <c r="F61">
        <v>16.8</v>
      </c>
      <c r="G61">
        <f t="shared" si="3"/>
        <v>772.80000000000007</v>
      </c>
      <c r="H61">
        <f t="shared" si="4"/>
        <v>14.800000000000068</v>
      </c>
    </row>
    <row r="62" spans="1:8">
      <c r="A62">
        <v>47</v>
      </c>
      <c r="B62">
        <v>773</v>
      </c>
      <c r="C62">
        <v>774</v>
      </c>
      <c r="E62">
        <f t="shared" si="2"/>
        <v>16.457446808510639</v>
      </c>
      <c r="F62">
        <v>16.8</v>
      </c>
      <c r="G62">
        <f t="shared" si="3"/>
        <v>789.6</v>
      </c>
      <c r="H62">
        <f t="shared" si="4"/>
        <v>15.600000000000023</v>
      </c>
    </row>
    <row r="63" spans="1:8">
      <c r="A63">
        <v>48</v>
      </c>
      <c r="B63">
        <v>788</v>
      </c>
      <c r="C63">
        <v>789</v>
      </c>
      <c r="E63">
        <f t="shared" si="2"/>
        <v>16.427083333333332</v>
      </c>
      <c r="F63">
        <v>16.8</v>
      </c>
      <c r="G63">
        <f t="shared" si="3"/>
        <v>806.40000000000009</v>
      </c>
      <c r="H63">
        <f t="shared" si="4"/>
        <v>17.400000000000091</v>
      </c>
    </row>
    <row r="64" spans="1:8">
      <c r="A64">
        <v>49</v>
      </c>
      <c r="B64">
        <v>805</v>
      </c>
      <c r="C64">
        <v>806</v>
      </c>
      <c r="E64">
        <f t="shared" si="2"/>
        <v>16.438775510204081</v>
      </c>
      <c r="F64">
        <v>16.8</v>
      </c>
      <c r="G64">
        <f t="shared" si="3"/>
        <v>823.2</v>
      </c>
      <c r="H64">
        <f t="shared" si="4"/>
        <v>17.200000000000045</v>
      </c>
    </row>
    <row r="65" spans="1:8">
      <c r="A65">
        <v>50</v>
      </c>
      <c r="B65">
        <v>822</v>
      </c>
      <c r="C65">
        <v>824</v>
      </c>
      <c r="E65">
        <f t="shared" si="2"/>
        <v>16.46</v>
      </c>
      <c r="F65">
        <v>16.8</v>
      </c>
      <c r="G65">
        <f t="shared" si="3"/>
        <v>840</v>
      </c>
      <c r="H65">
        <f t="shared" si="4"/>
        <v>16</v>
      </c>
    </row>
    <row r="66" spans="1:8">
      <c r="A66">
        <v>51</v>
      </c>
      <c r="B66">
        <v>837</v>
      </c>
      <c r="C66">
        <v>838</v>
      </c>
      <c r="E66">
        <f t="shared" si="2"/>
        <v>16.421568627450981</v>
      </c>
      <c r="F66">
        <v>16.8</v>
      </c>
      <c r="G66">
        <f t="shared" si="3"/>
        <v>856.80000000000007</v>
      </c>
      <c r="H66">
        <f t="shared" si="4"/>
        <v>18.800000000000068</v>
      </c>
    </row>
    <row r="67" spans="1:8">
      <c r="A67">
        <v>52</v>
      </c>
      <c r="B67">
        <v>853</v>
      </c>
      <c r="C67">
        <v>854</v>
      </c>
      <c r="E67">
        <f t="shared" si="2"/>
        <v>16.41346153846154</v>
      </c>
      <c r="F67">
        <v>16.8</v>
      </c>
      <c r="G67">
        <f t="shared" si="3"/>
        <v>873.6</v>
      </c>
      <c r="H67">
        <f t="shared" si="4"/>
        <v>19.600000000000023</v>
      </c>
    </row>
    <row r="68" spans="1:8">
      <c r="A68">
        <v>53</v>
      </c>
      <c r="B68">
        <v>869</v>
      </c>
      <c r="C68">
        <v>870</v>
      </c>
      <c r="E68">
        <f t="shared" si="2"/>
        <v>16.40566037735849</v>
      </c>
      <c r="F68">
        <v>16.8</v>
      </c>
      <c r="G68">
        <f t="shared" si="3"/>
        <v>890.40000000000009</v>
      </c>
      <c r="H68">
        <f t="shared" si="4"/>
        <v>20.400000000000091</v>
      </c>
    </row>
    <row r="69" spans="1:8">
      <c r="A69">
        <v>54</v>
      </c>
      <c r="B69">
        <v>885</v>
      </c>
      <c r="C69">
        <v>886</v>
      </c>
      <c r="E69">
        <f t="shared" si="2"/>
        <v>16.398148148148149</v>
      </c>
      <c r="F69">
        <v>16.8</v>
      </c>
      <c r="G69">
        <f t="shared" si="3"/>
        <v>907.2</v>
      </c>
      <c r="H69">
        <f t="shared" si="4"/>
        <v>21.200000000000045</v>
      </c>
    </row>
    <row r="70" spans="1:8">
      <c r="A70">
        <v>55</v>
      </c>
      <c r="B70">
        <v>902</v>
      </c>
      <c r="C70">
        <v>902</v>
      </c>
      <c r="E70">
        <f t="shared" si="2"/>
        <v>16.399999999999999</v>
      </c>
      <c r="F70">
        <v>16.8</v>
      </c>
      <c r="G70">
        <f t="shared" si="3"/>
        <v>924</v>
      </c>
      <c r="H70">
        <f t="shared" si="4"/>
        <v>22</v>
      </c>
    </row>
    <row r="71" spans="1:8">
      <c r="A71">
        <v>56</v>
      </c>
      <c r="B71">
        <v>917</v>
      </c>
      <c r="C71">
        <v>918</v>
      </c>
      <c r="E71">
        <f t="shared" si="2"/>
        <v>16.383928571428573</v>
      </c>
      <c r="F71">
        <v>16.8</v>
      </c>
      <c r="G71">
        <f t="shared" si="3"/>
        <v>940.80000000000007</v>
      </c>
      <c r="H71">
        <f t="shared" si="4"/>
        <v>22.800000000000068</v>
      </c>
    </row>
    <row r="72" spans="1:8">
      <c r="A72">
        <v>57</v>
      </c>
      <c r="B72">
        <v>934</v>
      </c>
      <c r="C72">
        <v>935</v>
      </c>
      <c r="E72">
        <f t="shared" si="2"/>
        <v>16.394736842105264</v>
      </c>
      <c r="F72">
        <v>16.8</v>
      </c>
      <c r="G72">
        <f t="shared" si="3"/>
        <v>957.6</v>
      </c>
      <c r="H72">
        <f t="shared" si="4"/>
        <v>22.600000000000023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AB53"/>
  <sheetViews>
    <sheetView topLeftCell="B13" workbookViewId="0">
      <selection activeCell="F28" sqref="F28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67</v>
      </c>
      <c r="M14" t="s">
        <v>67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69</v>
      </c>
      <c r="Y31" t="s">
        <v>70</v>
      </c>
      <c r="Z31" t="s">
        <v>68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J82"/>
  <sheetViews>
    <sheetView topLeftCell="A28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64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60</v>
      </c>
      <c r="H7" s="10" t="s">
        <v>66</v>
      </c>
      <c r="I7" s="20" t="s">
        <v>13</v>
      </c>
      <c r="J7" s="15" t="s">
        <v>65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57</v>
      </c>
      <c r="H10" s="10" t="s">
        <v>65</v>
      </c>
      <c r="I10" s="10" t="s">
        <v>58</v>
      </c>
      <c r="J10" s="15" t="s">
        <v>59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61</v>
      </c>
      <c r="C17" s="1">
        <v>-5</v>
      </c>
      <c r="D17" t="s">
        <v>62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63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C2:M43"/>
  <sheetViews>
    <sheetView topLeftCell="A25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77</v>
      </c>
    </row>
    <row r="4" spans="4:6">
      <c r="D4" t="s">
        <v>71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82</v>
      </c>
      <c r="J17">
        <v>1024</v>
      </c>
    </row>
    <row r="18" spans="4:13">
      <c r="D18">
        <v>10000</v>
      </c>
      <c r="I18" t="s">
        <v>83</v>
      </c>
      <c r="J18">
        <v>2500</v>
      </c>
      <c r="K18" t="s">
        <v>84</v>
      </c>
    </row>
    <row r="19" spans="4:13">
      <c r="I19" t="s">
        <v>85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88</v>
      </c>
    </row>
    <row r="23" spans="4:13" ht="17.25" thickBot="1">
      <c r="D23" t="s">
        <v>78</v>
      </c>
      <c r="E23" t="s">
        <v>87</v>
      </c>
      <c r="F23" t="s">
        <v>79</v>
      </c>
      <c r="G23" t="s">
        <v>89</v>
      </c>
      <c r="H23" t="s">
        <v>80</v>
      </c>
      <c r="I23" t="s">
        <v>81</v>
      </c>
      <c r="J23" t="s">
        <v>81</v>
      </c>
      <c r="L23" t="s">
        <v>86</v>
      </c>
      <c r="M23" t="s">
        <v>90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Current校正用</vt:lpstr>
      <vt:lpstr>Voltage校正用</vt:lpstr>
      <vt:lpstr>LEVD1_36V薄_FW設定值</vt:lpstr>
      <vt:lpstr> NTC Thermistor</vt:lpstr>
      <vt:lpstr>實測電流</vt:lpstr>
      <vt:lpstr>CHG DSG OP</vt:lpstr>
      <vt:lpstr>Voltage</vt:lpstr>
      <vt:lpstr>Sheet1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2012-07-23T03:17:12Z</dcterms:modified>
</cp:coreProperties>
</file>