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395" windowHeight="8055"/>
  </bookViews>
  <sheets>
    <sheet name="校正用" sheetId="7" r:id="rId1"/>
    <sheet name="LEVD1_36V薄_FW設定值" sheetId="6" r:id="rId2"/>
    <sheet name=" NTC Thermistor" sheetId="3" r:id="rId3"/>
    <sheet name="實測電流" sheetId="4" r:id="rId4"/>
    <sheet name="CHG DSG OP" sheetId="1" r:id="rId5"/>
    <sheet name="Voltage" sheetId="2" r:id="rId6"/>
    <sheet name="Sheet1" sheetId="5" r:id="rId7"/>
  </sheets>
  <calcPr calcId="125725"/>
</workbook>
</file>

<file path=xl/calcChain.xml><?xml version="1.0" encoding="utf-8"?>
<calcChain xmlns="http://schemas.openxmlformats.org/spreadsheetml/2006/main">
  <c r="J7" i="7"/>
  <c r="E7"/>
  <c r="E9" s="1"/>
  <c r="H9" s="1"/>
  <c r="F15"/>
  <c r="F16"/>
  <c r="F17"/>
  <c r="F14"/>
  <c r="M9" i="6"/>
  <c r="M7"/>
  <c r="M6"/>
  <c r="D7"/>
  <c r="F7" s="1"/>
  <c r="F4"/>
  <c r="D6" s="1"/>
  <c r="K9" s="1"/>
  <c r="E9" i="1"/>
  <c r="I22" i="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21"/>
  <c r="G25" i="5"/>
  <c r="G26"/>
  <c r="G27"/>
  <c r="G28"/>
  <c r="G29"/>
  <c r="G30"/>
  <c r="G31"/>
  <c r="G32"/>
  <c r="G33"/>
  <c r="G24"/>
  <c r="E25"/>
  <c r="E26"/>
  <c r="E27"/>
  <c r="E28"/>
  <c r="E29"/>
  <c r="E30"/>
  <c r="E31"/>
  <c r="E32"/>
  <c r="E33"/>
  <c r="E24"/>
  <c r="M25"/>
  <c r="M26"/>
  <c r="M27"/>
  <c r="M28"/>
  <c r="M29"/>
  <c r="M30"/>
  <c r="M31"/>
  <c r="M32"/>
  <c r="M33"/>
  <c r="M24"/>
  <c r="L25"/>
  <c r="L26"/>
  <c r="L27"/>
  <c r="L28"/>
  <c r="L29"/>
  <c r="L30"/>
  <c r="L31"/>
  <c r="L32"/>
  <c r="L33"/>
  <c r="L24"/>
  <c r="J19"/>
  <c r="J26"/>
  <c r="J27"/>
  <c r="J28"/>
  <c r="J29"/>
  <c r="J30"/>
  <c r="J31"/>
  <c r="J32"/>
  <c r="J33"/>
  <c r="J25"/>
  <c r="G52" i="4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51"/>
  <c r="H51" s="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51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26"/>
  <c r="E6"/>
  <c r="E19" s="1"/>
  <c r="E7"/>
  <c r="E8"/>
  <c r="E9"/>
  <c r="E10"/>
  <c r="E11"/>
  <c r="E12"/>
  <c r="E13"/>
  <c r="E14"/>
  <c r="E15"/>
  <c r="E16"/>
  <c r="E17"/>
  <c r="E5"/>
  <c r="P9" i="1"/>
  <c r="AB32"/>
  <c r="Y32"/>
  <c r="X32"/>
  <c r="X34"/>
  <c r="X35"/>
  <c r="X36"/>
  <c r="X37"/>
  <c r="X38"/>
  <c r="X39"/>
  <c r="X40"/>
  <c r="X41"/>
  <c r="X42"/>
  <c r="X33"/>
  <c r="Y34"/>
  <c r="AB34"/>
  <c r="Y35"/>
  <c r="AB35"/>
  <c r="Y36"/>
  <c r="AB36"/>
  <c r="Y37"/>
  <c r="AB37"/>
  <c r="Y38"/>
  <c r="AB38"/>
  <c r="Y39"/>
  <c r="AB39"/>
  <c r="Y40"/>
  <c r="AB40"/>
  <c r="Y41"/>
  <c r="AB41"/>
  <c r="Y42"/>
  <c r="AB42"/>
  <c r="Y33"/>
  <c r="AB33"/>
  <c r="H8" i="2"/>
  <c r="H11"/>
  <c r="D37"/>
  <c r="E37" s="1"/>
  <c r="D38"/>
  <c r="E38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/>
  <c r="D47"/>
  <c r="E47" s="1"/>
  <c r="D48"/>
  <c r="E48" s="1"/>
  <c r="D49"/>
  <c r="E49" s="1"/>
  <c r="D50"/>
  <c r="E50"/>
  <c r="D51"/>
  <c r="E51" s="1"/>
  <c r="F51" s="1"/>
  <c r="D52"/>
  <c r="E52"/>
  <c r="D53"/>
  <c r="E53" s="1"/>
  <c r="D54"/>
  <c r="E54" s="1"/>
  <c r="D55"/>
  <c r="E55" s="1"/>
  <c r="F55" s="1"/>
  <c r="D56"/>
  <c r="E56"/>
  <c r="D57"/>
  <c r="E57" s="1"/>
  <c r="D58"/>
  <c r="E58" s="1"/>
  <c r="D59"/>
  <c r="E59" s="1"/>
  <c r="F59" s="1"/>
  <c r="D60"/>
  <c r="E60"/>
  <c r="D61"/>
  <c r="E61" s="1"/>
  <c r="D62"/>
  <c r="E62" s="1"/>
  <c r="D63"/>
  <c r="E63" s="1"/>
  <c r="F63" s="1"/>
  <c r="D64"/>
  <c r="E64"/>
  <c r="D65"/>
  <c r="E65" s="1"/>
  <c r="D66"/>
  <c r="E66" s="1"/>
  <c r="D67"/>
  <c r="E67" s="1"/>
  <c r="F67" s="1"/>
  <c r="D68"/>
  <c r="E68"/>
  <c r="D69"/>
  <c r="E69" s="1"/>
  <c r="D70"/>
  <c r="E70" s="1"/>
  <c r="D71"/>
  <c r="E71" s="1"/>
  <c r="F71" s="1"/>
  <c r="D72"/>
  <c r="E72"/>
  <c r="D73"/>
  <c r="E73" s="1"/>
  <c r="D74"/>
  <c r="E74" s="1"/>
  <c r="D75"/>
  <c r="E75" s="1"/>
  <c r="F75" s="1"/>
  <c r="D76"/>
  <c r="E76"/>
  <c r="D77"/>
  <c r="E77" s="1"/>
  <c r="D78"/>
  <c r="E78" s="1"/>
  <c r="D79"/>
  <c r="E79" s="1"/>
  <c r="F79" s="1"/>
  <c r="D80"/>
  <c r="E80"/>
  <c r="D81"/>
  <c r="E81" s="1"/>
  <c r="D82"/>
  <c r="E82" s="1"/>
  <c r="I12" i="3"/>
  <c r="H27"/>
  <c r="J27" s="1"/>
  <c r="H31"/>
  <c r="J31" s="1"/>
  <c r="G25"/>
  <c r="H25" s="1"/>
  <c r="J25" s="1"/>
  <c r="G27"/>
  <c r="G29"/>
  <c r="H29" s="1"/>
  <c r="J29" s="1"/>
  <c r="G31"/>
  <c r="G33"/>
  <c r="H33" s="1"/>
  <c r="J33" s="1"/>
  <c r="K8"/>
  <c r="I10"/>
  <c r="F22"/>
  <c r="G22" s="1"/>
  <c r="H22" s="1"/>
  <c r="J22" s="1"/>
  <c r="F23"/>
  <c r="G23" s="1"/>
  <c r="H23" s="1"/>
  <c r="J23" s="1"/>
  <c r="F25"/>
  <c r="F26"/>
  <c r="G26" s="1"/>
  <c r="H26" s="1"/>
  <c r="J26" s="1"/>
  <c r="F27"/>
  <c r="F28"/>
  <c r="G28" s="1"/>
  <c r="H28" s="1"/>
  <c r="J28" s="1"/>
  <c r="F29"/>
  <c r="F30"/>
  <c r="G30" s="1"/>
  <c r="H30" s="1"/>
  <c r="J30" s="1"/>
  <c r="F31"/>
  <c r="F32"/>
  <c r="G32" s="1"/>
  <c r="H32" s="1"/>
  <c r="J32" s="1"/>
  <c r="F33"/>
  <c r="F34"/>
  <c r="G34" s="1"/>
  <c r="H34" s="1"/>
  <c r="J34" s="1"/>
  <c r="F24"/>
  <c r="G24" s="1"/>
  <c r="H24" s="1"/>
  <c r="J24" s="1"/>
  <c r="F21"/>
  <c r="G21" s="1"/>
  <c r="H21" s="1"/>
  <c r="J21" s="1"/>
  <c r="D5" i="1"/>
  <c r="F5"/>
  <c r="F11"/>
  <c r="D13"/>
  <c r="D21" i="2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F32" s="1"/>
  <c r="H32" s="1"/>
  <c r="D33"/>
  <c r="E33" s="1"/>
  <c r="D34"/>
  <c r="E34" s="1"/>
  <c r="D35"/>
  <c r="E35" s="1"/>
  <c r="D36"/>
  <c r="E36" s="1"/>
  <c r="F36" s="1"/>
  <c r="D20"/>
  <c r="E20" s="1"/>
  <c r="N5" i="1"/>
  <c r="P5"/>
  <c r="P11"/>
  <c r="N13"/>
  <c r="E14" i="2"/>
  <c r="C16" s="1"/>
  <c r="I8" s="1"/>
  <c r="J8" s="1"/>
  <c r="C11"/>
  <c r="C10"/>
  <c r="E10" i="6" l="1"/>
  <c r="K6" s="1"/>
  <c r="E13"/>
  <c r="K7" s="1"/>
  <c r="G32" i="2"/>
  <c r="J32"/>
  <c r="G79"/>
  <c r="H79"/>
  <c r="J79"/>
  <c r="G71"/>
  <c r="H71"/>
  <c r="J71"/>
  <c r="G63"/>
  <c r="H63"/>
  <c r="J63"/>
  <c r="G55"/>
  <c r="H55"/>
  <c r="J55"/>
  <c r="F34"/>
  <c r="F81"/>
  <c r="F77"/>
  <c r="F73"/>
  <c r="F69"/>
  <c r="F65"/>
  <c r="F61"/>
  <c r="F57"/>
  <c r="F53"/>
  <c r="F49"/>
  <c r="F45"/>
  <c r="F41"/>
  <c r="F37"/>
  <c r="N21" i="1"/>
  <c r="O21" s="1"/>
  <c r="P21" s="1"/>
  <c r="R21" s="1"/>
  <c r="N18"/>
  <c r="O18" s="1"/>
  <c r="P18" s="1"/>
  <c r="R18" s="1"/>
  <c r="N19"/>
  <c r="O19" s="1"/>
  <c r="P19" s="1"/>
  <c r="R19" s="1"/>
  <c r="N20"/>
  <c r="O20" s="1"/>
  <c r="P20" s="1"/>
  <c r="R20" s="1"/>
  <c r="N22"/>
  <c r="O22" s="1"/>
  <c r="P22" s="1"/>
  <c r="R22" s="1"/>
  <c r="N23"/>
  <c r="O23" s="1"/>
  <c r="P23" s="1"/>
  <c r="R23" s="1"/>
  <c r="N24"/>
  <c r="O24" s="1"/>
  <c r="P24" s="1"/>
  <c r="R24" s="1"/>
  <c r="N25"/>
  <c r="O25" s="1"/>
  <c r="P25" s="1"/>
  <c r="R25" s="1"/>
  <c r="N26"/>
  <c r="O26" s="1"/>
  <c r="P26" s="1"/>
  <c r="R26" s="1"/>
  <c r="N27"/>
  <c r="O27" s="1"/>
  <c r="P27" s="1"/>
  <c r="R27" s="1"/>
  <c r="N28"/>
  <c r="O28" s="1"/>
  <c r="P28" s="1"/>
  <c r="R28" s="1"/>
  <c r="N29"/>
  <c r="O29" s="1"/>
  <c r="P29" s="1"/>
  <c r="R29" s="1"/>
  <c r="N30"/>
  <c r="O30" s="1"/>
  <c r="P30" s="1"/>
  <c r="R30" s="1"/>
  <c r="N31"/>
  <c r="O31" s="1"/>
  <c r="P31" s="1"/>
  <c r="R31" s="1"/>
  <c r="N32"/>
  <c r="O32" s="1"/>
  <c r="P32" s="1"/>
  <c r="R32" s="1"/>
  <c r="N33"/>
  <c r="O33" s="1"/>
  <c r="P33" s="1"/>
  <c r="R33" s="1"/>
  <c r="N34"/>
  <c r="O34" s="1"/>
  <c r="P34" s="1"/>
  <c r="R34" s="1"/>
  <c r="N35"/>
  <c r="O35" s="1"/>
  <c r="P35" s="1"/>
  <c r="R35" s="1"/>
  <c r="N36"/>
  <c r="O36" s="1"/>
  <c r="P36" s="1"/>
  <c r="R36" s="1"/>
  <c r="N37"/>
  <c r="O37" s="1"/>
  <c r="P37" s="1"/>
  <c r="R37" s="1"/>
  <c r="N38"/>
  <c r="O38" s="1"/>
  <c r="P38" s="1"/>
  <c r="R38" s="1"/>
  <c r="N39"/>
  <c r="O39" s="1"/>
  <c r="P39" s="1"/>
  <c r="R39" s="1"/>
  <c r="N40"/>
  <c r="O40" s="1"/>
  <c r="P40" s="1"/>
  <c r="R40" s="1"/>
  <c r="N41"/>
  <c r="O41" s="1"/>
  <c r="P41" s="1"/>
  <c r="R41" s="1"/>
  <c r="N42"/>
  <c r="O42" s="1"/>
  <c r="P42" s="1"/>
  <c r="R42" s="1"/>
  <c r="N43"/>
  <c r="O43" s="1"/>
  <c r="P43" s="1"/>
  <c r="R43" s="1"/>
  <c r="N44"/>
  <c r="O44" s="1"/>
  <c r="P44" s="1"/>
  <c r="R44" s="1"/>
  <c r="N45"/>
  <c r="O45" s="1"/>
  <c r="P45" s="1"/>
  <c r="R45" s="1"/>
  <c r="N46"/>
  <c r="O46" s="1"/>
  <c r="P46" s="1"/>
  <c r="R46" s="1"/>
  <c r="N47"/>
  <c r="O47" s="1"/>
  <c r="P47" s="1"/>
  <c r="R47" s="1"/>
  <c r="N48"/>
  <c r="O48" s="1"/>
  <c r="P48" s="1"/>
  <c r="R48" s="1"/>
  <c r="N49"/>
  <c r="O49" s="1"/>
  <c r="P49" s="1"/>
  <c r="R49" s="1"/>
  <c r="N50"/>
  <c r="O50" s="1"/>
  <c r="P50" s="1"/>
  <c r="R50" s="1"/>
  <c r="N51"/>
  <c r="O51" s="1"/>
  <c r="P51" s="1"/>
  <c r="R51" s="1"/>
  <c r="N52"/>
  <c r="O52" s="1"/>
  <c r="P52" s="1"/>
  <c r="R52" s="1"/>
  <c r="N53"/>
  <c r="O53" s="1"/>
  <c r="P53" s="1"/>
  <c r="R53" s="1"/>
  <c r="N17"/>
  <c r="O17" s="1"/>
  <c r="P17" s="1"/>
  <c r="R17" s="1"/>
  <c r="G36" i="2"/>
  <c r="J36"/>
  <c r="H36"/>
  <c r="G75"/>
  <c r="H75"/>
  <c r="J75"/>
  <c r="G67"/>
  <c r="H67"/>
  <c r="J67"/>
  <c r="G59"/>
  <c r="H59"/>
  <c r="J59"/>
  <c r="G51"/>
  <c r="H51"/>
  <c r="J51"/>
  <c r="F47"/>
  <c r="F43"/>
  <c r="F39"/>
  <c r="D18" i="1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F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17"/>
  <c r="E17" s="1"/>
  <c r="F17" s="1"/>
  <c r="F30" i="2"/>
  <c r="F28"/>
  <c r="F26"/>
  <c r="F24"/>
  <c r="F20"/>
  <c r="F35"/>
  <c r="F33"/>
  <c r="F31"/>
  <c r="F29"/>
  <c r="F27"/>
  <c r="F25"/>
  <c r="F23"/>
  <c r="F21"/>
  <c r="I11"/>
  <c r="J11" s="1"/>
  <c r="F22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J40" l="1"/>
  <c r="G40"/>
  <c r="H40"/>
  <c r="J48"/>
  <c r="G48"/>
  <c r="H48"/>
  <c r="J56"/>
  <c r="G56"/>
  <c r="H56"/>
  <c r="J38"/>
  <c r="G38"/>
  <c r="H38"/>
  <c r="J42"/>
  <c r="G42"/>
  <c r="H42"/>
  <c r="J46"/>
  <c r="G46"/>
  <c r="H46"/>
  <c r="J50"/>
  <c r="G50"/>
  <c r="H50"/>
  <c r="J54"/>
  <c r="G54"/>
  <c r="H54"/>
  <c r="J58"/>
  <c r="G58"/>
  <c r="H58"/>
  <c r="J62"/>
  <c r="G62"/>
  <c r="H62"/>
  <c r="J66"/>
  <c r="G66"/>
  <c r="H66"/>
  <c r="J70"/>
  <c r="G70"/>
  <c r="H70"/>
  <c r="J74"/>
  <c r="G74"/>
  <c r="H74"/>
  <c r="J78"/>
  <c r="G78"/>
  <c r="H78"/>
  <c r="J82"/>
  <c r="G82"/>
  <c r="H82"/>
  <c r="G23"/>
  <c r="H23"/>
  <c r="J23"/>
  <c r="G27"/>
  <c r="H27"/>
  <c r="J27"/>
  <c r="G31"/>
  <c r="H31"/>
  <c r="J31"/>
  <c r="G35"/>
  <c r="H35"/>
  <c r="J35"/>
  <c r="G24"/>
  <c r="J24"/>
  <c r="H24"/>
  <c r="G28"/>
  <c r="J28"/>
  <c r="H28"/>
  <c r="I17" i="1"/>
  <c r="H17"/>
  <c r="I52"/>
  <c r="H52"/>
  <c r="I50"/>
  <c r="H50"/>
  <c r="I48"/>
  <c r="H48"/>
  <c r="I46"/>
  <c r="H46"/>
  <c r="I44"/>
  <c r="H44"/>
  <c r="I42"/>
  <c r="H42"/>
  <c r="I40"/>
  <c r="H40"/>
  <c r="I38"/>
  <c r="H38"/>
  <c r="I36"/>
  <c r="H36"/>
  <c r="I34"/>
  <c r="H34"/>
  <c r="I32"/>
  <c r="H32"/>
  <c r="I30"/>
  <c r="H30"/>
  <c r="I28"/>
  <c r="H28"/>
  <c r="I26"/>
  <c r="H26"/>
  <c r="I24"/>
  <c r="H24"/>
  <c r="I22"/>
  <c r="H22"/>
  <c r="I20"/>
  <c r="H20"/>
  <c r="I18"/>
  <c r="H18"/>
  <c r="G43" i="2"/>
  <c r="H43"/>
  <c r="J43"/>
  <c r="G37"/>
  <c r="H37"/>
  <c r="J37"/>
  <c r="G45"/>
  <c r="H45"/>
  <c r="J45"/>
  <c r="G53"/>
  <c r="H53"/>
  <c r="J53"/>
  <c r="G61"/>
  <c r="H61"/>
  <c r="J61"/>
  <c r="G69"/>
  <c r="H69"/>
  <c r="J69"/>
  <c r="G77"/>
  <c r="H77"/>
  <c r="J77"/>
  <c r="G34"/>
  <c r="J34"/>
  <c r="H34"/>
  <c r="J44"/>
  <c r="G44"/>
  <c r="H44"/>
  <c r="J52"/>
  <c r="G52"/>
  <c r="H52"/>
  <c r="J60"/>
  <c r="G60"/>
  <c r="H60"/>
  <c r="J64"/>
  <c r="G64"/>
  <c r="H64"/>
  <c r="J68"/>
  <c r="G68"/>
  <c r="H68"/>
  <c r="J72"/>
  <c r="G72"/>
  <c r="H72"/>
  <c r="J76"/>
  <c r="G76"/>
  <c r="H76"/>
  <c r="J80"/>
  <c r="G80"/>
  <c r="H80"/>
  <c r="G22"/>
  <c r="J22"/>
  <c r="H22"/>
  <c r="G21"/>
  <c r="H21"/>
  <c r="J21"/>
  <c r="G25"/>
  <c r="H25"/>
  <c r="J25"/>
  <c r="G29"/>
  <c r="H29"/>
  <c r="J29"/>
  <c r="G33"/>
  <c r="H33"/>
  <c r="J33"/>
  <c r="G20"/>
  <c r="J20"/>
  <c r="H20"/>
  <c r="G26"/>
  <c r="J26"/>
  <c r="H26"/>
  <c r="G30"/>
  <c r="J30"/>
  <c r="H30"/>
  <c r="I53" i="1"/>
  <c r="H53"/>
  <c r="I51"/>
  <c r="H51"/>
  <c r="I49"/>
  <c r="H49"/>
  <c r="I47"/>
  <c r="H47"/>
  <c r="I45"/>
  <c r="H45"/>
  <c r="I43"/>
  <c r="H43"/>
  <c r="I41"/>
  <c r="H41"/>
  <c r="I39"/>
  <c r="H39"/>
  <c r="I37"/>
  <c r="H37"/>
  <c r="I35"/>
  <c r="H35"/>
  <c r="I33"/>
  <c r="H33"/>
  <c r="I31"/>
  <c r="H31"/>
  <c r="I29"/>
  <c r="H29"/>
  <c r="I27"/>
  <c r="H27"/>
  <c r="I25"/>
  <c r="H25"/>
  <c r="I23"/>
  <c r="H23"/>
  <c r="I21"/>
  <c r="H21"/>
  <c r="I19"/>
  <c r="H19"/>
  <c r="G39" i="2"/>
  <c r="H39"/>
  <c r="J39"/>
  <c r="G47"/>
  <c r="H47"/>
  <c r="J47"/>
  <c r="G41"/>
  <c r="H41"/>
  <c r="J41"/>
  <c r="G49"/>
  <c r="H49"/>
  <c r="J49"/>
  <c r="G57"/>
  <c r="H57"/>
  <c r="J57"/>
  <c r="G65"/>
  <c r="H65"/>
  <c r="J65"/>
  <c r="G73"/>
  <c r="H73"/>
  <c r="J73"/>
  <c r="G81"/>
  <c r="H81"/>
  <c r="J81"/>
</calcChain>
</file>

<file path=xl/sharedStrings.xml><?xml version="1.0" encoding="utf-8"?>
<sst xmlns="http://schemas.openxmlformats.org/spreadsheetml/2006/main" count="245" uniqueCount="147">
  <si>
    <t>R-sense</t>
    <phoneticPr fontId="1" type="noConversion"/>
  </si>
  <si>
    <t>CGH OP</t>
    <phoneticPr fontId="1" type="noConversion"/>
  </si>
  <si>
    <t>R1</t>
    <phoneticPr fontId="1" type="noConversion"/>
  </si>
  <si>
    <t>R</t>
    <phoneticPr fontId="1" type="noConversion"/>
  </si>
  <si>
    <t>R2</t>
    <phoneticPr fontId="1" type="noConversion"/>
  </si>
  <si>
    <t>kR</t>
    <phoneticPr fontId="1" type="noConversion"/>
  </si>
  <si>
    <t>Gain=</t>
    <phoneticPr fontId="1" type="noConversion"/>
  </si>
  <si>
    <t>R1/R2</t>
    <phoneticPr fontId="1" type="noConversion"/>
  </si>
  <si>
    <t>mR ==&gt;</t>
    <phoneticPr fontId="1" type="noConversion"/>
  </si>
  <si>
    <t>Current(mA)</t>
    <phoneticPr fontId="1" type="noConversion"/>
  </si>
  <si>
    <t>V-Rsense(mv)</t>
    <phoneticPr fontId="1" type="noConversion"/>
  </si>
  <si>
    <t>OP-Output(mV)</t>
    <phoneticPr fontId="1" type="noConversion"/>
  </si>
  <si>
    <t>CHG OP</t>
    <phoneticPr fontId="1" type="noConversion"/>
  </si>
  <si>
    <t>ADC</t>
    <phoneticPr fontId="1" type="noConversion"/>
  </si>
  <si>
    <t>ADC calculate</t>
    <phoneticPr fontId="1" type="noConversion"/>
  </si>
  <si>
    <t>ADC res.</t>
    <phoneticPr fontId="1" type="noConversion"/>
  </si>
  <si>
    <t>bits ==&gt;</t>
    <phoneticPr fontId="1" type="noConversion"/>
  </si>
  <si>
    <t>ADC Ref.</t>
    <phoneticPr fontId="1" type="noConversion"/>
  </si>
  <si>
    <t>V</t>
    <phoneticPr fontId="1" type="noConversion"/>
  </si>
  <si>
    <t>mV</t>
    <phoneticPr fontId="1" type="noConversion"/>
  </si>
  <si>
    <t>a step</t>
    <phoneticPr fontId="1" type="noConversion"/>
  </si>
  <si>
    <t>VBAT</t>
    <phoneticPr fontId="1" type="noConversion"/>
  </si>
  <si>
    <t>R2 (對地)</t>
    <phoneticPr fontId="1" type="noConversion"/>
  </si>
  <si>
    <t>Cell Min Vol</t>
    <phoneticPr fontId="1" type="noConversion"/>
  </si>
  <si>
    <t>Cell Max Vol</t>
    <phoneticPr fontId="1" type="noConversion"/>
  </si>
  <si>
    <t>Max Vol</t>
    <phoneticPr fontId="1" type="noConversion"/>
  </si>
  <si>
    <t>Min Vol</t>
    <phoneticPr fontId="1" type="noConversion"/>
  </si>
  <si>
    <t>Serial cell</t>
    <phoneticPr fontId="1" type="noConversion"/>
  </si>
  <si>
    <t>Vbat (V)</t>
    <phoneticPr fontId="1" type="noConversion"/>
  </si>
  <si>
    <t>分壓output(mV)</t>
    <phoneticPr fontId="1" type="noConversion"/>
  </si>
  <si>
    <t>分壓output(V)</t>
    <phoneticPr fontId="1" type="noConversion"/>
  </si>
  <si>
    <t>mA to ADC factor</t>
    <phoneticPr fontId="1" type="noConversion"/>
  </si>
  <si>
    <t>mv to ADC Factor</t>
    <phoneticPr fontId="1" type="noConversion"/>
  </si>
  <si>
    <t>10mV to ADC factor</t>
    <phoneticPr fontId="1" type="noConversion"/>
  </si>
  <si>
    <t>Factor = (R1+R2)/R2 * ADC_Step</t>
    <phoneticPr fontId="1" type="noConversion"/>
  </si>
  <si>
    <t>DSG OP</t>
    <phoneticPr fontId="1" type="noConversion"/>
  </si>
  <si>
    <t>Factor = Rsense(R) * op_gain / ADC step(mV)</t>
    <phoneticPr fontId="1" type="noConversion"/>
  </si>
  <si>
    <t>10mA to ADC factor</t>
    <phoneticPr fontId="1" type="noConversion"/>
  </si>
  <si>
    <t>////////////////////////////////////////////////////////////////</t>
  </si>
  <si>
    <t>//    VDD (3.3V) |------Resistor1--+---NTC-----|GND</t>
  </si>
  <si>
    <t>//                                 |</t>
  </si>
  <si>
    <t>//  Resistor1 = 10kR</t>
  </si>
  <si>
    <t>// NTC Thermistor setting by voltage</t>
    <phoneticPr fontId="1" type="noConversion"/>
  </si>
  <si>
    <t>VDD</t>
    <phoneticPr fontId="1" type="noConversion"/>
  </si>
  <si>
    <t>NTC 溫度(度)</t>
    <phoneticPr fontId="1" type="noConversion"/>
  </si>
  <si>
    <t>NTC (kR)</t>
    <phoneticPr fontId="1" type="noConversion"/>
  </si>
  <si>
    <t>//  NTC 25 Celcius = 10kR;        NTC 0  Celcius = 27.391kR</t>
    <phoneticPr fontId="1" type="noConversion"/>
  </si>
  <si>
    <t>//  NTC 40 Celcius = 5.8281kR;    NTC 45 Celcius = 4.9183kR</t>
    <phoneticPr fontId="1" type="noConversion"/>
  </si>
  <si>
    <t>//  NTC 50 Celcius = 4.1709kR;    NTC 55 Celcius = 3.5539kR</t>
    <phoneticPr fontId="1" type="noConversion"/>
  </si>
  <si>
    <t>//  NTC 60 Celcius = 3.0417kR;    NTC 65 Celcius = 2.6144kR</t>
    <phoneticPr fontId="1" type="noConversion"/>
  </si>
  <si>
    <t>//  NTC 70 Celcius = 2.2559kR;    NTC 75 Celcius = 1.9538kR</t>
    <phoneticPr fontId="1" type="noConversion"/>
  </si>
  <si>
    <t>//  NTC 80 Celcius = 1.6980kR;    NTC 85 Celcius = 1.4805kR</t>
    <phoneticPr fontId="1" type="noConversion"/>
  </si>
  <si>
    <t>//                       thermal voltage output</t>
    <phoneticPr fontId="1" type="noConversion"/>
  </si>
  <si>
    <t>thermal voltage output (V)</t>
    <phoneticPr fontId="1" type="noConversion"/>
  </si>
  <si>
    <t>output (mV)</t>
    <phoneticPr fontId="1" type="noConversion"/>
  </si>
  <si>
    <t>factor</t>
    <phoneticPr fontId="1" type="noConversion"/>
  </si>
  <si>
    <t>1/ADC RES</t>
    <phoneticPr fontId="1" type="noConversion"/>
  </si>
  <si>
    <t>ADC to Voltage</t>
    <phoneticPr fontId="1" type="noConversion"/>
  </si>
  <si>
    <t>adc vol(mv)</t>
    <phoneticPr fontId="1" type="noConversion"/>
  </si>
  <si>
    <t>battery(V)</t>
    <phoneticPr fontId="1" type="noConversion"/>
  </si>
  <si>
    <t>Battery Vol(V)</t>
    <phoneticPr fontId="1" type="noConversion"/>
  </si>
  <si>
    <t>ADC OFFSET</t>
    <phoneticPr fontId="1" type="noConversion"/>
  </si>
  <si>
    <t>實際值-理論值</t>
    <phoneticPr fontId="1" type="noConversion"/>
  </si>
  <si>
    <t>量測實際ADC</t>
    <phoneticPr fontId="1" type="noConversion"/>
  </si>
  <si>
    <t>量測實際值</t>
    <phoneticPr fontId="1" type="noConversion"/>
  </si>
  <si>
    <t>offset</t>
    <phoneticPr fontId="1" type="noConversion"/>
  </si>
  <si>
    <t>分壓(V)</t>
    <phoneticPr fontId="1" type="noConversion"/>
  </si>
  <si>
    <t>ADC_OFFSET</t>
    <phoneticPr fontId="1" type="noConversion"/>
  </si>
  <si>
    <t>op out (mV)</t>
    <phoneticPr fontId="1" type="noConversion"/>
  </si>
  <si>
    <t>input (A)</t>
    <phoneticPr fontId="1" type="noConversion"/>
  </si>
  <si>
    <t>Rsense</t>
    <phoneticPr fontId="1" type="noConversion"/>
  </si>
  <si>
    <t>DSG OP ADC</t>
    <phoneticPr fontId="1" type="noConversion"/>
  </si>
  <si>
    <t>Current(mA)</t>
    <phoneticPr fontId="1" type="noConversion"/>
  </si>
  <si>
    <t>ADC min</t>
    <phoneticPr fontId="1" type="noConversion"/>
  </si>
  <si>
    <t>ADC max</t>
    <phoneticPr fontId="1" type="noConversion"/>
  </si>
  <si>
    <t>CHG OP ADC</t>
    <phoneticPr fontId="1" type="noConversion"/>
  </si>
  <si>
    <t>Voltage(V)</t>
    <phoneticPr fontId="1" type="noConversion"/>
  </si>
  <si>
    <t>倍</t>
    <phoneticPr fontId="1" type="noConversion"/>
  </si>
  <si>
    <t>DSG (A)</t>
    <phoneticPr fontId="1" type="noConversion"/>
  </si>
  <si>
    <t>R-sense(mV)</t>
    <phoneticPr fontId="1" type="noConversion"/>
  </si>
  <si>
    <t>OP-Out(mV)</t>
    <phoneticPr fontId="1" type="noConversion"/>
  </si>
  <si>
    <t>gain</t>
    <phoneticPr fontId="1" type="noConversion"/>
  </si>
  <si>
    <t>adc 10 bit</t>
    <phoneticPr fontId="1" type="noConversion"/>
  </si>
  <si>
    <t>ADC ref</t>
    <phoneticPr fontId="1" type="noConversion"/>
  </si>
  <si>
    <t>mv</t>
    <phoneticPr fontId="1" type="noConversion"/>
  </si>
  <si>
    <t>ADC setp</t>
    <phoneticPr fontId="1" type="noConversion"/>
  </si>
  <si>
    <t>ADC Valu</t>
    <phoneticPr fontId="1" type="noConversion"/>
  </si>
  <si>
    <t>R-calcul</t>
    <phoneticPr fontId="1" type="noConversion"/>
  </si>
  <si>
    <t>mR</t>
    <phoneticPr fontId="1" type="noConversion"/>
  </si>
  <si>
    <t>error tol</t>
    <phoneticPr fontId="1" type="noConversion"/>
  </si>
  <si>
    <t>ADC factor</t>
    <phoneticPr fontId="1" type="noConversion"/>
  </si>
  <si>
    <t>V</t>
    <phoneticPr fontId="1" type="noConversion"/>
  </si>
  <si>
    <t>adc step</t>
    <phoneticPr fontId="1" type="noConversion"/>
  </si>
  <si>
    <t>Gain</t>
    <phoneticPr fontId="1" type="noConversion"/>
  </si>
  <si>
    <t>DSG OP</t>
    <phoneticPr fontId="1" type="noConversion"/>
  </si>
  <si>
    <t>ADC offset</t>
    <phoneticPr fontId="1" type="noConversion"/>
  </si>
  <si>
    <t>硬體設定及校正值</t>
    <phoneticPr fontId="1" type="noConversion"/>
  </si>
  <si>
    <t>10mA to ADC Factor = mA to ADC Factor / 10</t>
    <phoneticPr fontId="1" type="noConversion"/>
  </si>
  <si>
    <t>1mA to ADC Factor = Rsense(R) * op_gain / ADC step(mV)</t>
    <phoneticPr fontId="1" type="noConversion"/>
  </si>
  <si>
    <t>1mA to ADC Factor</t>
  </si>
  <si>
    <t xml:space="preserve">CHG </t>
    <phoneticPr fontId="1" type="noConversion"/>
  </si>
  <si>
    <t>輸入電流(mA)</t>
  </si>
  <si>
    <t>DSG</t>
    <phoneticPr fontId="1" type="noConversion"/>
  </si>
  <si>
    <t>//實際值-理論值</t>
  </si>
  <si>
    <t>//實際值-理論值</t>
    <phoneticPr fontId="1" type="noConversion"/>
  </si>
  <si>
    <t>ADC Values</t>
    <phoneticPr fontId="1" type="noConversion"/>
  </si>
  <si>
    <t>ADC / 10</t>
    <phoneticPr fontId="1" type="noConversion"/>
  </si>
  <si>
    <t>輸入電壓(V)</t>
    <phoneticPr fontId="1" type="noConversion"/>
  </si>
  <si>
    <t>_DETECT_CURRENT_OF_DSG_STATUS_</t>
  </si>
  <si>
    <t>_DETECT_CURRENT_OF_CHG_STATUS_</t>
  </si>
  <si>
    <t>_OC_PROTECTION_RELEASE_TIME_</t>
  </si>
  <si>
    <t>_NO_DEFINE_</t>
  </si>
  <si>
    <t>_DOC_PROTECTION_</t>
  </si>
  <si>
    <t>_COC_PROTECTION_</t>
  </si>
  <si>
    <t>_SOC_1st_CELL_OV_VOLTAGE_</t>
  </si>
  <si>
    <t>_SOC_1st_CELL_UV_VOLTAGE_</t>
  </si>
  <si>
    <t>__2ND_BATTERY_OV_PROTECTION_</t>
  </si>
  <si>
    <t>__2ND_BATTERY_OV_RELEASE_</t>
  </si>
  <si>
    <t>__2ND_BATTERY_UV_PROTECTION_</t>
  </si>
  <si>
    <t>__2ND_BATTERY_UV_RELEASE_</t>
  </si>
  <si>
    <t>_DSG_OT_PROTECTION_VOLTAGE_</t>
  </si>
  <si>
    <t>_DSG_OT_RELEASE_VOLTAGE_</t>
  </si>
  <si>
    <t>_CHG_OT_PROTECTION_VOLTAGE_</t>
  </si>
  <si>
    <t>_CHG_OT_RELEASE_VOLTAGE_</t>
  </si>
  <si>
    <t>_UT_PROTECTION_VOLTAGE_</t>
  </si>
  <si>
    <t>_UT_RELEASE_VOLTAGE_</t>
  </si>
  <si>
    <t>_BUTTON_PRESS_TIME_</t>
  </si>
  <si>
    <t>_WAKE_UP_TIME_FROM_SUSPEND_MODE_</t>
  </si>
  <si>
    <t>_FIRST_TO_SUSPEND_MODE_IN_RELEASE_TIME_</t>
  </si>
  <si>
    <t>_CHG_CV_MODE_LIMIT_VOLTAGE_</t>
  </si>
  <si>
    <t>_CHG_CV_MODE_RELEASE_WAIT_TIME_</t>
  </si>
  <si>
    <t>_CHG_CV_MODE_REPEATING_CYCLE_</t>
  </si>
  <si>
    <t>_CYCLECOUNT_DSG_CAP_THRESHOLD_</t>
  </si>
  <si>
    <t>_CYCLECOUNT_FOR_CHG_LEVEL_1_</t>
  </si>
  <si>
    <t>_CYCLECOUNT_FOR_CHG_LEVEL_2_</t>
  </si>
  <si>
    <t>厚型 48V</t>
    <phoneticPr fontId="1" type="noConversion"/>
  </si>
  <si>
    <t>voltage</t>
    <phoneticPr fontId="1" type="noConversion"/>
  </si>
  <si>
    <t>Factor</t>
    <phoneticPr fontId="1" type="noConversion"/>
  </si>
  <si>
    <t>mV to ADC</t>
    <phoneticPr fontId="1" type="noConversion"/>
  </si>
  <si>
    <t>輸入ADC</t>
    <phoneticPr fontId="1" type="noConversion"/>
  </si>
  <si>
    <t>輸入實際電壓(mV)</t>
    <phoneticPr fontId="1" type="noConversion"/>
  </si>
  <si>
    <t>理論電壓(mV)</t>
    <phoneticPr fontId="1" type="noConversion"/>
  </si>
  <si>
    <t>ADC 理論讀值</t>
    <phoneticPr fontId="1" type="noConversion"/>
  </si>
  <si>
    <t>輸入ADC讀值</t>
    <phoneticPr fontId="1" type="noConversion"/>
  </si>
  <si>
    <t>ADC Offset 值</t>
    <phoneticPr fontId="1" type="noConversion"/>
  </si>
  <si>
    <t>(實際值-理論值)</t>
    <phoneticPr fontId="1" type="noConversion"/>
  </si>
  <si>
    <t>理論值=實際值-Offset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</si>
</sst>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2"/>
      <color rgb="FF000000"/>
      <name val="Arial"/>
      <family val="2"/>
    </font>
    <font>
      <b/>
      <sz val="12"/>
      <color rgb="FF1D1884"/>
      <name val="新細明體"/>
      <family val="1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0070C0"/>
      </right>
      <top/>
      <bottom/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 style="double">
        <color auto="1"/>
      </top>
      <bottom/>
      <diagonal/>
    </border>
    <border>
      <left style="double">
        <color auto="1"/>
      </left>
      <right/>
      <top/>
      <bottom style="thick">
        <color rgb="FF0070C0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mediumDashDot">
        <color indexed="64"/>
      </right>
      <top/>
      <bottom style="slantDashDot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quotePrefix="1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5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4" xfId="0" applyFill="1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4" fillId="7" borderId="9" xfId="0" applyFont="1" applyFill="1" applyBorder="1" applyAlignment="1">
      <alignment horizontal="center" vertical="center" wrapText="1" readingOrder="1"/>
    </xf>
    <xf numFmtId="0" fontId="4" fillId="7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 readingOrder="1"/>
    </xf>
    <xf numFmtId="0" fontId="4" fillId="7" borderId="10" xfId="0" applyFont="1" applyFill="1" applyBorder="1" applyAlignment="1">
      <alignment horizontal="center" vertical="center" wrapText="1" readingOrder="1"/>
    </xf>
    <xf numFmtId="176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6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13" xfId="0" applyFill="1" applyBorder="1">
      <alignment vertical="center"/>
    </xf>
    <xf numFmtId="0" fontId="0" fillId="9" borderId="1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3" fillId="0" borderId="21" xfId="0" applyFont="1" applyFill="1" applyBorder="1">
      <alignment vertical="center"/>
    </xf>
    <xf numFmtId="0" fontId="0" fillId="0" borderId="22" xfId="0" applyBorder="1">
      <alignment vertical="center"/>
    </xf>
    <xf numFmtId="0" fontId="3" fillId="0" borderId="21" xfId="0" applyFont="1" applyBorder="1">
      <alignment vertical="center"/>
    </xf>
    <xf numFmtId="0" fontId="0" fillId="0" borderId="6" xfId="0" applyBorder="1">
      <alignment vertical="center"/>
    </xf>
    <xf numFmtId="0" fontId="0" fillId="9" borderId="7" xfId="0" applyFill="1" applyBorder="1">
      <alignment vertical="center"/>
    </xf>
    <xf numFmtId="0" fontId="0" fillId="0" borderId="23" xfId="0" applyBorder="1">
      <alignment vertical="center"/>
    </xf>
    <xf numFmtId="0" fontId="5" fillId="0" borderId="0" xfId="0" applyFont="1">
      <alignment vertical="center"/>
    </xf>
    <xf numFmtId="0" fontId="0" fillId="10" borderId="0" xfId="0" quotePrefix="1" applyFill="1">
      <alignment vertical="center"/>
    </xf>
    <xf numFmtId="0" fontId="0" fillId="10" borderId="0" xfId="0" applyFill="1">
      <alignment vertical="center"/>
    </xf>
    <xf numFmtId="0" fontId="3" fillId="0" borderId="4" xfId="0" applyFont="1" applyFill="1" applyBorder="1">
      <alignment vertical="center"/>
    </xf>
    <xf numFmtId="0" fontId="0" fillId="0" borderId="15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2" xfId="0" applyBorder="1">
      <alignment vertical="center"/>
    </xf>
    <xf numFmtId="0" fontId="0" fillId="0" borderId="0" xfId="0" applyBorder="1">
      <alignment vertical="center"/>
    </xf>
    <xf numFmtId="0" fontId="0" fillId="11" borderId="0" xfId="0" applyFill="1" applyBorder="1">
      <alignment vertical="center"/>
    </xf>
    <xf numFmtId="14" fontId="0" fillId="0" borderId="0" xfId="0" applyNumberFormat="1">
      <alignment vertical="center"/>
    </xf>
    <xf numFmtId="0" fontId="0" fillId="12" borderId="0" xfId="0" applyFill="1">
      <alignment vertical="center"/>
    </xf>
    <xf numFmtId="0" fontId="0" fillId="11" borderId="0" xfId="0" applyFill="1">
      <alignment vertical="center"/>
    </xf>
    <xf numFmtId="0" fontId="0" fillId="11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8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25" xfId="0" applyBorder="1">
      <alignment vertical="center"/>
    </xf>
    <xf numFmtId="0" fontId="0" fillId="11" borderId="0" xfId="0" applyFill="1" applyBorder="1">
      <alignment vertical="center"/>
    </xf>
    <xf numFmtId="0" fontId="0" fillId="11" borderId="33" xfId="0" applyFill="1" applyBorder="1">
      <alignment vertical="center"/>
    </xf>
    <xf numFmtId="0" fontId="0" fillId="0" borderId="30" xfId="0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FF00"/>
      <color rgb="FF1D188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207084468664848E-2"/>
          <c:y val="6.5645584362161905E-2"/>
          <c:w val="0.60354223433242504"/>
          <c:h val="0.81619343223621366"/>
        </c:manualLayout>
      </c:layout>
      <c:scatterChart>
        <c:scatterStyle val="smoothMarker"/>
        <c:ser>
          <c:idx val="0"/>
          <c:order val="0"/>
          <c:tx>
            <c:strRef>
              <c:f>實測電流!$B$3:$B$4</c:f>
              <c:strCache>
                <c:ptCount val="1"/>
                <c:pt idx="0">
                  <c:v>DSG OP ADC ADC min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實測電流!$A$5:$A$17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</c:numCache>
            </c:numRef>
          </c:xVal>
          <c:yVal>
            <c:numRef>
              <c:f>實測電流!$B$5:$B$17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22</c:v>
                </c:pt>
                <c:pt idx="3">
                  <c:v>36</c:v>
                </c:pt>
                <c:pt idx="4">
                  <c:v>50</c:v>
                </c:pt>
                <c:pt idx="5">
                  <c:v>80</c:v>
                </c:pt>
                <c:pt idx="6">
                  <c:v>108</c:v>
                </c:pt>
                <c:pt idx="7">
                  <c:v>137</c:v>
                </c:pt>
                <c:pt idx="8">
                  <c:v>166</c:v>
                </c:pt>
                <c:pt idx="9">
                  <c:v>194</c:v>
                </c:pt>
                <c:pt idx="10">
                  <c:v>223</c:v>
                </c:pt>
                <c:pt idx="11">
                  <c:v>251</c:v>
                </c:pt>
                <c:pt idx="12">
                  <c:v>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實測電流!$C$3:$C$4</c:f>
              <c:strCache>
                <c:ptCount val="1"/>
                <c:pt idx="0">
                  <c:v>DSG OP ADC ADC max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實測電流!$A$5:$A$17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</c:numCache>
            </c:numRef>
          </c:xVal>
          <c:yVal>
            <c:numRef>
              <c:f>實測電流!$C$5:$C$17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24</c:v>
                </c:pt>
                <c:pt idx="3">
                  <c:v>38</c:v>
                </c:pt>
                <c:pt idx="4">
                  <c:v>52</c:v>
                </c:pt>
                <c:pt idx="5">
                  <c:v>81</c:v>
                </c:pt>
                <c:pt idx="6">
                  <c:v>110</c:v>
                </c:pt>
                <c:pt idx="7">
                  <c:v>140</c:v>
                </c:pt>
                <c:pt idx="8">
                  <c:v>167</c:v>
                </c:pt>
                <c:pt idx="9">
                  <c:v>196</c:v>
                </c:pt>
                <c:pt idx="10">
                  <c:v>224</c:v>
                </c:pt>
                <c:pt idx="11">
                  <c:v>252</c:v>
                </c:pt>
                <c:pt idx="12">
                  <c:v>282</c:v>
                </c:pt>
              </c:numCache>
            </c:numRef>
          </c:yVal>
          <c:smooth val="1"/>
        </c:ser>
        <c:axId val="91951488"/>
        <c:axId val="91953408"/>
      </c:scatterChart>
      <c:valAx>
        <c:axId val="919514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953408"/>
        <c:crosses val="autoZero"/>
        <c:crossBetween val="midCat"/>
      </c:valAx>
      <c:valAx>
        <c:axId val="919534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951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70844686648594"/>
          <c:y val="0.41794355377243081"/>
          <c:w val="0.26839237057220738"/>
          <c:h val="0.111597493415675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0252109253634827"/>
          <c:y val="7.6923269539436984E-2"/>
          <c:w val="0.50084074714478399"/>
          <c:h val="0.78461734930225568"/>
        </c:manualLayout>
      </c:layout>
      <c:scatterChart>
        <c:scatterStyle val="smoothMarker"/>
        <c:ser>
          <c:idx val="0"/>
          <c:order val="0"/>
          <c:tx>
            <c:strRef>
              <c:f>實測電流!$B$24:$B$25</c:f>
              <c:strCache>
                <c:ptCount val="1"/>
                <c:pt idx="0">
                  <c:v>CHG OP ADC ADC min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實測電流!$A$26:$A$44</c:f>
              <c:numCache>
                <c:formatCode>General</c:formatCode>
                <c:ptCount val="19"/>
                <c:pt idx="0">
                  <c:v>0</c:v>
                </c:pt>
                <c:pt idx="1">
                  <c:v>160</c:v>
                </c:pt>
                <c:pt idx="2">
                  <c:v>212</c:v>
                </c:pt>
                <c:pt idx="3">
                  <c:v>314.5</c:v>
                </c:pt>
                <c:pt idx="4">
                  <c:v>409.5</c:v>
                </c:pt>
                <c:pt idx="5">
                  <c:v>515</c:v>
                </c:pt>
                <c:pt idx="6">
                  <c:v>626</c:v>
                </c:pt>
                <c:pt idx="7">
                  <c:v>713</c:v>
                </c:pt>
                <c:pt idx="8">
                  <c:v>816</c:v>
                </c:pt>
                <c:pt idx="9">
                  <c:v>903</c:v>
                </c:pt>
                <c:pt idx="10">
                  <c:v>1021</c:v>
                </c:pt>
                <c:pt idx="11">
                  <c:v>1205</c:v>
                </c:pt>
                <c:pt idx="12">
                  <c:v>1507</c:v>
                </c:pt>
                <c:pt idx="13">
                  <c:v>2023</c:v>
                </c:pt>
                <c:pt idx="14">
                  <c:v>2534</c:v>
                </c:pt>
                <c:pt idx="15">
                  <c:v>3016</c:v>
                </c:pt>
                <c:pt idx="16">
                  <c:v>4022</c:v>
                </c:pt>
                <c:pt idx="17">
                  <c:v>5052</c:v>
                </c:pt>
                <c:pt idx="18">
                  <c:v>5300</c:v>
                </c:pt>
              </c:numCache>
            </c:numRef>
          </c:xVal>
          <c:yVal>
            <c:numRef>
              <c:f>實測電流!$B$26:$B$44</c:f>
              <c:numCache>
                <c:formatCode>General</c:formatCode>
                <c:ptCount val="19"/>
                <c:pt idx="0">
                  <c:v>65</c:v>
                </c:pt>
                <c:pt idx="1">
                  <c:v>91</c:v>
                </c:pt>
                <c:pt idx="2">
                  <c:v>99</c:v>
                </c:pt>
                <c:pt idx="3">
                  <c:v>114</c:v>
                </c:pt>
                <c:pt idx="4">
                  <c:v>129</c:v>
                </c:pt>
                <c:pt idx="5">
                  <c:v>146</c:v>
                </c:pt>
                <c:pt idx="6">
                  <c:v>162</c:v>
                </c:pt>
                <c:pt idx="7">
                  <c:v>175</c:v>
                </c:pt>
                <c:pt idx="8">
                  <c:v>188</c:v>
                </c:pt>
                <c:pt idx="9">
                  <c:v>206</c:v>
                </c:pt>
                <c:pt idx="10">
                  <c:v>222</c:v>
                </c:pt>
                <c:pt idx="11">
                  <c:v>248</c:v>
                </c:pt>
                <c:pt idx="12">
                  <c:v>301</c:v>
                </c:pt>
                <c:pt idx="13">
                  <c:v>380</c:v>
                </c:pt>
                <c:pt idx="14">
                  <c:v>462</c:v>
                </c:pt>
                <c:pt idx="15">
                  <c:v>541</c:v>
                </c:pt>
                <c:pt idx="16">
                  <c:v>694</c:v>
                </c:pt>
                <c:pt idx="17">
                  <c:v>858</c:v>
                </c:pt>
                <c:pt idx="18">
                  <c:v>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實測電流!$C$24:$C$25</c:f>
              <c:strCache>
                <c:ptCount val="1"/>
                <c:pt idx="0">
                  <c:v>CHG OP ADC ADC max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實測電流!$A$26:$A$44</c:f>
              <c:numCache>
                <c:formatCode>General</c:formatCode>
                <c:ptCount val="19"/>
                <c:pt idx="0">
                  <c:v>0</c:v>
                </c:pt>
                <c:pt idx="1">
                  <c:v>160</c:v>
                </c:pt>
                <c:pt idx="2">
                  <c:v>212</c:v>
                </c:pt>
                <c:pt idx="3">
                  <c:v>314.5</c:v>
                </c:pt>
                <c:pt idx="4">
                  <c:v>409.5</c:v>
                </c:pt>
                <c:pt idx="5">
                  <c:v>515</c:v>
                </c:pt>
                <c:pt idx="6">
                  <c:v>626</c:v>
                </c:pt>
                <c:pt idx="7">
                  <c:v>713</c:v>
                </c:pt>
                <c:pt idx="8">
                  <c:v>816</c:v>
                </c:pt>
                <c:pt idx="9">
                  <c:v>903</c:v>
                </c:pt>
                <c:pt idx="10">
                  <c:v>1021</c:v>
                </c:pt>
                <c:pt idx="11">
                  <c:v>1205</c:v>
                </c:pt>
                <c:pt idx="12">
                  <c:v>1507</c:v>
                </c:pt>
                <c:pt idx="13">
                  <c:v>2023</c:v>
                </c:pt>
                <c:pt idx="14">
                  <c:v>2534</c:v>
                </c:pt>
                <c:pt idx="15">
                  <c:v>3016</c:v>
                </c:pt>
                <c:pt idx="16">
                  <c:v>4022</c:v>
                </c:pt>
                <c:pt idx="17">
                  <c:v>5052</c:v>
                </c:pt>
                <c:pt idx="18">
                  <c:v>5300</c:v>
                </c:pt>
              </c:numCache>
            </c:numRef>
          </c:xVal>
          <c:yVal>
            <c:numRef>
              <c:f>實測電流!$C$26:$C$44</c:f>
              <c:numCache>
                <c:formatCode>General</c:formatCode>
                <c:ptCount val="19"/>
                <c:pt idx="0">
                  <c:v>67</c:v>
                </c:pt>
                <c:pt idx="1">
                  <c:v>92</c:v>
                </c:pt>
                <c:pt idx="2">
                  <c:v>102</c:v>
                </c:pt>
                <c:pt idx="3">
                  <c:v>116</c:v>
                </c:pt>
                <c:pt idx="4">
                  <c:v>134</c:v>
                </c:pt>
                <c:pt idx="5">
                  <c:v>149</c:v>
                </c:pt>
                <c:pt idx="6">
                  <c:v>169</c:v>
                </c:pt>
                <c:pt idx="7">
                  <c:v>182</c:v>
                </c:pt>
                <c:pt idx="8">
                  <c:v>198</c:v>
                </c:pt>
                <c:pt idx="9">
                  <c:v>214</c:v>
                </c:pt>
                <c:pt idx="10">
                  <c:v>235</c:v>
                </c:pt>
                <c:pt idx="11">
                  <c:v>261</c:v>
                </c:pt>
                <c:pt idx="12">
                  <c:v>309</c:v>
                </c:pt>
                <c:pt idx="13">
                  <c:v>392</c:v>
                </c:pt>
                <c:pt idx="14">
                  <c:v>475</c:v>
                </c:pt>
                <c:pt idx="15">
                  <c:v>552</c:v>
                </c:pt>
                <c:pt idx="16">
                  <c:v>710</c:v>
                </c:pt>
                <c:pt idx="17">
                  <c:v>864</c:v>
                </c:pt>
                <c:pt idx="18">
                  <c:v>910</c:v>
                </c:pt>
              </c:numCache>
            </c:numRef>
          </c:yVal>
          <c:smooth val="1"/>
        </c:ser>
        <c:axId val="91998080"/>
        <c:axId val="92934144"/>
      </c:scatterChart>
      <c:valAx>
        <c:axId val="919980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2934144"/>
        <c:crosses val="autoZero"/>
        <c:crossBetween val="midCat"/>
      </c:valAx>
      <c:valAx>
        <c:axId val="9293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998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10137547710123"/>
          <c:y val="0.40512921957436798"/>
          <c:w val="0.33445405597923517"/>
          <c:h val="0.130769558217042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902387340947575E-2"/>
          <c:y val="8.1301028172182571E-2"/>
          <c:w val="0.79229764355444865"/>
          <c:h val="0.772359767635734"/>
        </c:manualLayout>
      </c:layout>
      <c:scatterChart>
        <c:scatterStyle val="lineMarker"/>
        <c:ser>
          <c:idx val="0"/>
          <c:order val="0"/>
          <c:tx>
            <c:v>current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OP'!$X$32:$X$42</c:f>
              <c:numCache>
                <c:formatCode>General</c:formatCode>
                <c:ptCount val="11"/>
                <c:pt idx="0">
                  <c:v>110</c:v>
                </c:pt>
                <c:pt idx="1">
                  <c:v>95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yVal>
        </c:ser>
        <c:ser>
          <c:idx val="1"/>
          <c:order val="1"/>
          <c:tx>
            <c:v>OP out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OP'!$Z$32:$Z$42</c:f>
              <c:numCache>
                <c:formatCode>General</c:formatCode>
                <c:ptCount val="11"/>
                <c:pt idx="0">
                  <c:v>117.1</c:v>
                </c:pt>
                <c:pt idx="1">
                  <c:v>101.9</c:v>
                </c:pt>
                <c:pt idx="2">
                  <c:v>97.2</c:v>
                </c:pt>
                <c:pt idx="3">
                  <c:v>83.3</c:v>
                </c:pt>
                <c:pt idx="4">
                  <c:v>73.5</c:v>
                </c:pt>
                <c:pt idx="5">
                  <c:v>64.010000000000005</c:v>
                </c:pt>
                <c:pt idx="6">
                  <c:v>53.2</c:v>
                </c:pt>
                <c:pt idx="7">
                  <c:v>42</c:v>
                </c:pt>
                <c:pt idx="8">
                  <c:v>31.6</c:v>
                </c:pt>
                <c:pt idx="9">
                  <c:v>22.9</c:v>
                </c:pt>
                <c:pt idx="10">
                  <c:v>10.3</c:v>
                </c:pt>
              </c:numCache>
            </c:numRef>
          </c:yVal>
        </c:ser>
        <c:axId val="93093888"/>
        <c:axId val="93095808"/>
      </c:scatterChart>
      <c:valAx>
        <c:axId val="930938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3095808"/>
        <c:crosses val="autoZero"/>
        <c:crossBetween val="midCat"/>
      </c:valAx>
      <c:valAx>
        <c:axId val="93095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3093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08588248331888"/>
          <c:y val="0.3983750380436944"/>
          <c:w val="9.4910655217460005E-2"/>
          <c:h val="0.138211747892710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123825</xdr:rowOff>
    </xdr:from>
    <xdr:to>
      <xdr:col>16</xdr:col>
      <xdr:colOff>0</xdr:colOff>
      <xdr:row>21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24</xdr:row>
      <xdr:rowOff>0</xdr:rowOff>
    </xdr:from>
    <xdr:to>
      <xdr:col>14</xdr:col>
      <xdr:colOff>0</xdr:colOff>
      <xdr:row>41</xdr:row>
      <xdr:rowOff>152400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43</xdr:row>
      <xdr:rowOff>0</xdr:rowOff>
    </xdr:from>
    <xdr:to>
      <xdr:col>28</xdr:col>
      <xdr:colOff>514350</xdr:colOff>
      <xdr:row>59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J17"/>
  <sheetViews>
    <sheetView tabSelected="1" workbookViewId="0">
      <selection activeCell="G12" sqref="G12"/>
    </sheetView>
  </sheetViews>
  <sheetFormatPr defaultRowHeight="16.5"/>
  <cols>
    <col min="3" max="3" width="9.5" bestFit="1" customWidth="1"/>
  </cols>
  <sheetData>
    <row r="2" spans="3:10">
      <c r="C2" s="60">
        <v>41052</v>
      </c>
      <c r="E2" t="s">
        <v>135</v>
      </c>
    </row>
    <row r="4" spans="3:10">
      <c r="C4" t="s">
        <v>21</v>
      </c>
      <c r="D4" t="s">
        <v>137</v>
      </c>
      <c r="E4" s="61">
        <v>1.6962000000000001E-2</v>
      </c>
      <c r="F4" t="s">
        <v>138</v>
      </c>
    </row>
    <row r="5" spans="3:10" ht="17.25" thickBot="1"/>
    <row r="6" spans="3:10" ht="17.25" thickTop="1">
      <c r="C6" s="64" t="s">
        <v>140</v>
      </c>
      <c r="D6" s="65"/>
      <c r="E6" s="63">
        <v>36000</v>
      </c>
      <c r="F6" s="12"/>
      <c r="G6" s="13"/>
      <c r="H6" s="68" t="s">
        <v>139</v>
      </c>
      <c r="I6" s="68"/>
      <c r="J6" s="62">
        <v>814</v>
      </c>
    </row>
    <row r="7" spans="3:10">
      <c r="C7" s="66" t="s">
        <v>142</v>
      </c>
      <c r="D7" s="67"/>
      <c r="E7" s="58">
        <f>ROUND(E6*E4,0)</f>
        <v>611</v>
      </c>
      <c r="F7" s="58"/>
      <c r="G7" s="15"/>
      <c r="H7" s="68" t="s">
        <v>141</v>
      </c>
      <c r="I7" s="68"/>
      <c r="J7">
        <f>ROUND(J6/E4,0)</f>
        <v>47990</v>
      </c>
    </row>
    <row r="8" spans="3:10">
      <c r="C8" s="66" t="s">
        <v>143</v>
      </c>
      <c r="D8" s="67"/>
      <c r="E8" s="59">
        <v>597</v>
      </c>
      <c r="F8" s="58"/>
      <c r="G8" s="15"/>
    </row>
    <row r="9" spans="3:10">
      <c r="C9" s="66" t="s">
        <v>144</v>
      </c>
      <c r="D9" s="67"/>
      <c r="E9" s="58">
        <f>E8-E7</f>
        <v>-14</v>
      </c>
      <c r="F9" s="58" t="s">
        <v>145</v>
      </c>
      <c r="G9" s="15"/>
      <c r="H9" t="str">
        <f>DEC2HEX(E9)</f>
        <v>FFFFFFFFF2</v>
      </c>
    </row>
    <row r="10" spans="3:10" ht="17.25" thickBot="1">
      <c r="C10" s="45"/>
      <c r="D10" s="18"/>
      <c r="E10" s="18" t="s">
        <v>146</v>
      </c>
      <c r="F10" s="18"/>
      <c r="G10" s="19"/>
    </row>
    <row r="11" spans="3:10" ht="17.25" thickTop="1"/>
    <row r="13" spans="3:10">
      <c r="C13" t="s">
        <v>136</v>
      </c>
      <c r="D13" t="s">
        <v>13</v>
      </c>
      <c r="F13" t="s">
        <v>55</v>
      </c>
    </row>
    <row r="14" spans="3:10">
      <c r="C14">
        <v>48</v>
      </c>
      <c r="D14">
        <v>822</v>
      </c>
      <c r="F14">
        <f>D14/(C14*1000)</f>
        <v>1.7125000000000001E-2</v>
      </c>
    </row>
    <row r="15" spans="3:10">
      <c r="C15">
        <v>50</v>
      </c>
      <c r="D15">
        <v>856</v>
      </c>
      <c r="F15">
        <f t="shared" ref="F15:F17" si="0">D15/(C15*1000)</f>
        <v>1.712E-2</v>
      </c>
    </row>
    <row r="16" spans="3:10">
      <c r="C16">
        <v>45</v>
      </c>
      <c r="D16">
        <v>770</v>
      </c>
      <c r="F16">
        <f t="shared" si="0"/>
        <v>1.7111111111111112E-2</v>
      </c>
    </row>
    <row r="17" spans="3:6">
      <c r="C17">
        <v>40</v>
      </c>
      <c r="D17">
        <v>685</v>
      </c>
      <c r="F17">
        <f t="shared" si="0"/>
        <v>1.7125000000000001E-2</v>
      </c>
    </row>
  </sheetData>
  <mergeCells count="6">
    <mergeCell ref="C6:D6"/>
    <mergeCell ref="C7:D7"/>
    <mergeCell ref="C8:D8"/>
    <mergeCell ref="C9:D9"/>
    <mergeCell ref="H6:I6"/>
    <mergeCell ref="H7:I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N50"/>
  <sheetViews>
    <sheetView topLeftCell="A17" workbookViewId="0">
      <selection activeCell="C24" sqref="C24:C50"/>
    </sheetView>
  </sheetViews>
  <sheetFormatPr defaultRowHeight="16.5"/>
  <cols>
    <col min="4" max="4" width="10.625" customWidth="1"/>
    <col min="8" max="8" width="8.625" customWidth="1"/>
    <col min="9" max="14" width="7.625" customWidth="1"/>
  </cols>
  <sheetData>
    <row r="2" spans="3:14" ht="17.25" thickBot="1">
      <c r="C2" t="s">
        <v>96</v>
      </c>
    </row>
    <row r="3" spans="3:14" ht="17.25" thickTop="1">
      <c r="C3" s="39" t="s">
        <v>14</v>
      </c>
      <c r="D3" s="12"/>
      <c r="E3" s="12"/>
      <c r="F3" s="40"/>
      <c r="G3" s="13"/>
      <c r="H3" s="49" t="s">
        <v>98</v>
      </c>
      <c r="I3" s="49"/>
      <c r="J3" s="49"/>
      <c r="K3" s="50"/>
      <c r="L3" s="50"/>
      <c r="M3" s="50"/>
      <c r="N3" s="50"/>
    </row>
    <row r="4" spans="3:14" ht="17.25" thickBot="1">
      <c r="C4" s="14" t="s">
        <v>15</v>
      </c>
      <c r="D4" s="35">
        <v>10</v>
      </c>
      <c r="E4" s="10" t="s">
        <v>16</v>
      </c>
      <c r="F4" s="34">
        <f>2^D4</f>
        <v>1024</v>
      </c>
      <c r="G4" s="15"/>
      <c r="H4" s="50" t="s">
        <v>97</v>
      </c>
      <c r="I4" s="50"/>
      <c r="J4" s="50"/>
      <c r="K4" s="50"/>
      <c r="L4" s="50"/>
      <c r="M4" s="50"/>
      <c r="N4" s="50"/>
    </row>
    <row r="5" spans="3:14">
      <c r="C5" s="14" t="s">
        <v>17</v>
      </c>
      <c r="D5" s="35">
        <v>2.5</v>
      </c>
      <c r="E5" s="10" t="s">
        <v>18</v>
      </c>
      <c r="F5" s="31"/>
      <c r="G5" s="10"/>
      <c r="H5" s="54"/>
      <c r="I5" s="78" t="s">
        <v>101</v>
      </c>
      <c r="J5" s="78"/>
      <c r="K5" s="69" t="s">
        <v>105</v>
      </c>
      <c r="L5" s="69"/>
      <c r="M5" s="69" t="s">
        <v>106</v>
      </c>
      <c r="N5" s="70"/>
    </row>
    <row r="6" spans="3:14" ht="17.25" thickBot="1">
      <c r="C6" s="41" t="s">
        <v>92</v>
      </c>
      <c r="D6" s="32">
        <f>D5/F4*1000</f>
        <v>2.44140625</v>
      </c>
      <c r="E6" s="32" t="s">
        <v>19</v>
      </c>
      <c r="F6" s="33"/>
      <c r="G6" s="10"/>
      <c r="H6" s="55" t="s">
        <v>100</v>
      </c>
      <c r="I6" s="79">
        <v>3000</v>
      </c>
      <c r="J6" s="79"/>
      <c r="K6" s="71">
        <f>I6*E10+E9</f>
        <v>278.52800000000002</v>
      </c>
      <c r="L6" s="71"/>
      <c r="M6" s="71">
        <f>I6/10</f>
        <v>300</v>
      </c>
      <c r="N6" s="72"/>
    </row>
    <row r="7" spans="3:14" ht="18" thickTop="1" thickBot="1">
      <c r="C7" s="14" t="s">
        <v>0</v>
      </c>
      <c r="D7" s="35">
        <f>10/3</f>
        <v>3.3333333333333335</v>
      </c>
      <c r="E7" s="10" t="s">
        <v>8</v>
      </c>
      <c r="F7" s="10">
        <f>D7/1000</f>
        <v>3.3333333333333335E-3</v>
      </c>
      <c r="G7" s="10" t="s">
        <v>3</v>
      </c>
      <c r="H7" s="55" t="s">
        <v>102</v>
      </c>
      <c r="I7" s="80">
        <v>3000</v>
      </c>
      <c r="J7" s="80"/>
      <c r="K7" s="73">
        <f>I7*E13+E12</f>
        <v>278.52800000000002</v>
      </c>
      <c r="L7" s="73"/>
      <c r="M7" s="73">
        <f>I7/10</f>
        <v>300</v>
      </c>
      <c r="N7" s="74"/>
    </row>
    <row r="8" spans="3:14">
      <c r="C8" s="42" t="s">
        <v>12</v>
      </c>
      <c r="D8" s="27" t="s">
        <v>93</v>
      </c>
      <c r="E8" s="36">
        <v>68</v>
      </c>
      <c r="F8" s="10"/>
      <c r="G8" s="10"/>
      <c r="H8" s="56"/>
      <c r="I8" s="81" t="s">
        <v>107</v>
      </c>
      <c r="J8" s="81"/>
      <c r="K8" s="75" t="s">
        <v>105</v>
      </c>
      <c r="L8" s="75"/>
      <c r="M8" s="75" t="s">
        <v>106</v>
      </c>
      <c r="N8" s="76"/>
    </row>
    <row r="9" spans="3:14" ht="17.25" thickBot="1">
      <c r="C9" s="51"/>
      <c r="D9" s="10" t="s">
        <v>95</v>
      </c>
      <c r="E9" s="37">
        <v>0</v>
      </c>
      <c r="F9" s="10" t="s">
        <v>104</v>
      </c>
      <c r="G9" s="10"/>
      <c r="H9" s="57" t="s">
        <v>21</v>
      </c>
      <c r="I9" s="80">
        <v>20</v>
      </c>
      <c r="J9" s="80"/>
      <c r="K9" s="73">
        <f>I9/(E14+E15)*E15*1000/D6+E16</f>
        <v>339.23926380368101</v>
      </c>
      <c r="L9" s="73"/>
      <c r="M9" s="73">
        <f>I9/10</f>
        <v>2</v>
      </c>
      <c r="N9" s="77"/>
    </row>
    <row r="10" spans="3:14">
      <c r="C10" s="43" t="s">
        <v>99</v>
      </c>
      <c r="D10" s="30"/>
      <c r="E10" s="52">
        <f>F7*E8/D6</f>
        <v>9.2842666666666671E-2</v>
      </c>
      <c r="F10" s="10"/>
      <c r="G10" s="15"/>
    </row>
    <row r="11" spans="3:14">
      <c r="C11" s="42" t="s">
        <v>94</v>
      </c>
      <c r="D11" s="27" t="s">
        <v>93</v>
      </c>
      <c r="E11" s="36">
        <v>68</v>
      </c>
      <c r="F11" s="10"/>
      <c r="G11" s="15"/>
    </row>
    <row r="12" spans="3:14">
      <c r="C12" s="51"/>
      <c r="D12" s="10" t="s">
        <v>95</v>
      </c>
      <c r="E12" s="37">
        <v>0</v>
      </c>
      <c r="F12" s="10" t="s">
        <v>103</v>
      </c>
      <c r="G12" s="15"/>
    </row>
    <row r="13" spans="3:14">
      <c r="C13" s="14" t="s">
        <v>99</v>
      </c>
      <c r="D13" s="10"/>
      <c r="E13" s="53">
        <f>F7*E11/D6</f>
        <v>9.2842666666666671E-2</v>
      </c>
      <c r="F13" s="10"/>
      <c r="G13" s="15"/>
    </row>
    <row r="14" spans="3:14">
      <c r="C14" s="44" t="s">
        <v>21</v>
      </c>
      <c r="D14" s="27" t="s">
        <v>2</v>
      </c>
      <c r="E14" s="38">
        <v>1000</v>
      </c>
      <c r="F14" s="28" t="s">
        <v>5</v>
      </c>
      <c r="G14" s="15"/>
    </row>
    <row r="15" spans="3:14">
      <c r="C15" s="14"/>
      <c r="D15" s="10" t="s">
        <v>22</v>
      </c>
      <c r="E15" s="35">
        <v>43.2</v>
      </c>
      <c r="F15" s="29" t="s">
        <v>5</v>
      </c>
      <c r="G15" s="15"/>
    </row>
    <row r="16" spans="3:14" ht="17.25" thickBot="1">
      <c r="C16" s="45"/>
      <c r="D16" s="18" t="s">
        <v>95</v>
      </c>
      <c r="E16" s="46">
        <v>0</v>
      </c>
      <c r="F16" s="47" t="s">
        <v>103</v>
      </c>
      <c r="G16" s="19"/>
    </row>
    <row r="17" spans="3:4" ht="17.25" thickTop="1">
      <c r="C17" s="48"/>
      <c r="D17" s="48"/>
    </row>
    <row r="24" spans="3:4">
      <c r="C24" t="s">
        <v>108</v>
      </c>
    </row>
    <row r="25" spans="3:4">
      <c r="C25" t="s">
        <v>109</v>
      </c>
    </row>
    <row r="26" spans="3:4">
      <c r="C26" t="s">
        <v>110</v>
      </c>
    </row>
    <row r="27" spans="3:4">
      <c r="C27" t="s">
        <v>111</v>
      </c>
    </row>
    <row r="28" spans="3:4">
      <c r="C28" t="s">
        <v>112</v>
      </c>
    </row>
    <row r="29" spans="3:4">
      <c r="C29" t="s">
        <v>113</v>
      </c>
    </row>
    <row r="30" spans="3:4">
      <c r="C30" t="s">
        <v>114</v>
      </c>
    </row>
    <row r="31" spans="3:4">
      <c r="C31" t="s">
        <v>115</v>
      </c>
    </row>
    <row r="32" spans="3:4">
      <c r="C32" t="s">
        <v>116</v>
      </c>
    </row>
    <row r="33" spans="3:3">
      <c r="C33" t="s">
        <v>117</v>
      </c>
    </row>
    <row r="34" spans="3:3">
      <c r="C34" t="s">
        <v>118</v>
      </c>
    </row>
    <row r="35" spans="3:3">
      <c r="C35" t="s">
        <v>119</v>
      </c>
    </row>
    <row r="36" spans="3:3">
      <c r="C36" t="s">
        <v>120</v>
      </c>
    </row>
    <row r="37" spans="3:3">
      <c r="C37" t="s">
        <v>121</v>
      </c>
    </row>
    <row r="38" spans="3:3">
      <c r="C38" t="s">
        <v>122</v>
      </c>
    </row>
    <row r="39" spans="3:3">
      <c r="C39" t="s">
        <v>123</v>
      </c>
    </row>
    <row r="40" spans="3:3">
      <c r="C40" t="s">
        <v>124</v>
      </c>
    </row>
    <row r="41" spans="3:3">
      <c r="C41" t="s">
        <v>125</v>
      </c>
    </row>
    <row r="42" spans="3:3">
      <c r="C42" t="s">
        <v>126</v>
      </c>
    </row>
    <row r="43" spans="3:3">
      <c r="C43" t="s">
        <v>127</v>
      </c>
    </row>
    <row r="44" spans="3:3">
      <c r="C44" t="s">
        <v>128</v>
      </c>
    </row>
    <row r="45" spans="3:3">
      <c r="C45" t="s">
        <v>129</v>
      </c>
    </row>
    <row r="46" spans="3:3">
      <c r="C46" t="s">
        <v>130</v>
      </c>
    </row>
    <row r="47" spans="3:3">
      <c r="C47" t="s">
        <v>131</v>
      </c>
    </row>
    <row r="48" spans="3:3">
      <c r="C48" t="s">
        <v>132</v>
      </c>
    </row>
    <row r="49" spans="3:3">
      <c r="C49" t="s">
        <v>133</v>
      </c>
    </row>
    <row r="50" spans="3:3">
      <c r="C50" t="s">
        <v>134</v>
      </c>
    </row>
  </sheetData>
  <mergeCells count="15">
    <mergeCell ref="I5:J5"/>
    <mergeCell ref="I6:J6"/>
    <mergeCell ref="I7:J7"/>
    <mergeCell ref="I8:J8"/>
    <mergeCell ref="I9:J9"/>
    <mergeCell ref="K5:L5"/>
    <mergeCell ref="K6:L6"/>
    <mergeCell ref="K7:L7"/>
    <mergeCell ref="K8:L8"/>
    <mergeCell ref="K9:L9"/>
    <mergeCell ref="M5:N5"/>
    <mergeCell ref="M6:N6"/>
    <mergeCell ref="M7:N7"/>
    <mergeCell ref="M8:N8"/>
    <mergeCell ref="M9:N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4"/>
  <sheetViews>
    <sheetView topLeftCell="A16" workbookViewId="0"/>
  </sheetViews>
  <sheetFormatPr defaultRowHeight="16.5"/>
  <cols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11">
      <c r="A1" t="s">
        <v>42</v>
      </c>
    </row>
    <row r="2" spans="1:11">
      <c r="A2" t="s">
        <v>38</v>
      </c>
    </row>
    <row r="3" spans="1:11">
      <c r="A3" t="s">
        <v>39</v>
      </c>
    </row>
    <row r="4" spans="1:11">
      <c r="A4" t="s">
        <v>40</v>
      </c>
    </row>
    <row r="5" spans="1:11">
      <c r="A5" t="s">
        <v>40</v>
      </c>
    </row>
    <row r="6" spans="1:11">
      <c r="A6" t="s">
        <v>52</v>
      </c>
    </row>
    <row r="7" spans="1:11">
      <c r="A7" t="s">
        <v>38</v>
      </c>
      <c r="H7" s="5" t="s">
        <v>14</v>
      </c>
    </row>
    <row r="8" spans="1:11">
      <c r="A8" t="s">
        <v>41</v>
      </c>
      <c r="H8" t="s">
        <v>15</v>
      </c>
      <c r="I8" s="1">
        <v>10</v>
      </c>
      <c r="J8" t="s">
        <v>16</v>
      </c>
      <c r="K8" s="1">
        <f>2^I8</f>
        <v>1024</v>
      </c>
    </row>
    <row r="9" spans="1:11">
      <c r="A9" t="s">
        <v>46</v>
      </c>
      <c r="H9" t="s">
        <v>17</v>
      </c>
      <c r="I9" s="1">
        <v>2.5</v>
      </c>
      <c r="J9" t="s">
        <v>18</v>
      </c>
    </row>
    <row r="10" spans="1:11">
      <c r="A10" t="s">
        <v>47</v>
      </c>
      <c r="H10" t="s">
        <v>20</v>
      </c>
      <c r="I10">
        <f>I9/K8*1000</f>
        <v>2.44140625</v>
      </c>
      <c r="J10" t="s">
        <v>19</v>
      </c>
    </row>
    <row r="11" spans="1:11">
      <c r="A11" t="s">
        <v>48</v>
      </c>
    </row>
    <row r="12" spans="1:11">
      <c r="A12" t="s">
        <v>49</v>
      </c>
      <c r="H12" s="8" t="s">
        <v>56</v>
      </c>
      <c r="I12">
        <f>1/I10</f>
        <v>0.40960000000000002</v>
      </c>
    </row>
    <row r="13" spans="1:11">
      <c r="A13" t="s">
        <v>50</v>
      </c>
    </row>
    <row r="14" spans="1:11">
      <c r="A14" t="s">
        <v>51</v>
      </c>
    </row>
    <row r="16" spans="1:11">
      <c r="D16" t="s">
        <v>43</v>
      </c>
      <c r="E16">
        <v>3.3</v>
      </c>
      <c r="F16" t="s">
        <v>18</v>
      </c>
    </row>
    <row r="17" spans="4:10">
      <c r="D17" t="s">
        <v>2</v>
      </c>
      <c r="E17">
        <v>10</v>
      </c>
      <c r="F17" t="s">
        <v>5</v>
      </c>
    </row>
    <row r="20" spans="4:10">
      <c r="D20" t="s">
        <v>44</v>
      </c>
      <c r="E20" t="s">
        <v>45</v>
      </c>
      <c r="F20" t="s">
        <v>53</v>
      </c>
      <c r="G20" t="s">
        <v>54</v>
      </c>
      <c r="H20" t="s">
        <v>13</v>
      </c>
      <c r="J20" t="s">
        <v>55</v>
      </c>
    </row>
    <row r="21" spans="4:10">
      <c r="D21">
        <v>0</v>
      </c>
      <c r="E21">
        <v>27.390999999999998</v>
      </c>
      <c r="F21">
        <f>$E$16/($E$17+E21)*E21</f>
        <v>2.4174346767938806</v>
      </c>
      <c r="G21">
        <f>ROUND((F21*1000),0)</f>
        <v>2417</v>
      </c>
      <c r="H21">
        <f>ROUNDDOWN(G21/$I$10,0)</f>
        <v>990</v>
      </c>
      <c r="J21">
        <f>H21/G21</f>
        <v>0.40959867604468347</v>
      </c>
    </row>
    <row r="22" spans="4:10">
      <c r="D22">
        <v>3</v>
      </c>
      <c r="E22">
        <v>24.082999999999998</v>
      </c>
      <c r="F22">
        <f>$E$16/($E$17+E22)*E22</f>
        <v>2.3317753718862773</v>
      </c>
      <c r="G22">
        <f t="shared" ref="G22:G34" si="0">ROUND((F22*1000),0)</f>
        <v>2332</v>
      </c>
      <c r="H22">
        <f t="shared" ref="H22:H34" si="1">ROUNDDOWN(G22/$I$10,0)</f>
        <v>955</v>
      </c>
      <c r="J22">
        <f t="shared" ref="J22:J34" si="2">H22/G22</f>
        <v>0.40951972555746141</v>
      </c>
    </row>
    <row r="23" spans="4:10">
      <c r="D23">
        <v>5</v>
      </c>
      <c r="E23">
        <v>22.132000000000001</v>
      </c>
      <c r="F23">
        <f>$E$16/($E$17+E23)*E23</f>
        <v>2.2729864309722392</v>
      </c>
      <c r="G23">
        <f t="shared" si="0"/>
        <v>2273</v>
      </c>
      <c r="H23">
        <f t="shared" si="1"/>
        <v>931</v>
      </c>
      <c r="J23">
        <f t="shared" si="2"/>
        <v>0.40959084909810822</v>
      </c>
    </row>
    <row r="24" spans="4:10">
      <c r="D24">
        <v>25</v>
      </c>
      <c r="E24">
        <v>10</v>
      </c>
      <c r="F24">
        <f>$E$16/($E$17+E24)*E24</f>
        <v>1.65</v>
      </c>
      <c r="G24">
        <f t="shared" si="0"/>
        <v>1650</v>
      </c>
      <c r="H24">
        <f t="shared" si="1"/>
        <v>675</v>
      </c>
      <c r="J24">
        <f t="shared" si="2"/>
        <v>0.40909090909090912</v>
      </c>
    </row>
    <row r="25" spans="4:10">
      <c r="D25">
        <v>40</v>
      </c>
      <c r="E25">
        <v>5.8281000000000001</v>
      </c>
      <c r="F25">
        <f t="shared" ref="F25:F34" si="3">$E$16/($E$17+E25)*E25</f>
        <v>1.2151003594872412</v>
      </c>
      <c r="G25">
        <f t="shared" si="0"/>
        <v>1215</v>
      </c>
      <c r="H25">
        <f t="shared" si="1"/>
        <v>497</v>
      </c>
      <c r="J25">
        <f t="shared" si="2"/>
        <v>0.40905349794238682</v>
      </c>
    </row>
    <row r="26" spans="4:10">
      <c r="D26">
        <v>45</v>
      </c>
      <c r="E26">
        <v>4.9183000000000003</v>
      </c>
      <c r="F26">
        <f t="shared" si="3"/>
        <v>1.0879517103155185</v>
      </c>
      <c r="G26">
        <f t="shared" si="0"/>
        <v>1088</v>
      </c>
      <c r="H26">
        <f t="shared" si="1"/>
        <v>445</v>
      </c>
      <c r="J26">
        <f t="shared" si="2"/>
        <v>0.40900735294117646</v>
      </c>
    </row>
    <row r="27" spans="4:10">
      <c r="D27">
        <v>50</v>
      </c>
      <c r="E27">
        <v>4.1708999999999996</v>
      </c>
      <c r="F27">
        <f t="shared" si="3"/>
        <v>0.97128411039524643</v>
      </c>
      <c r="G27">
        <f t="shared" si="0"/>
        <v>971</v>
      </c>
      <c r="H27">
        <f t="shared" si="1"/>
        <v>397</v>
      </c>
      <c r="J27">
        <f t="shared" si="2"/>
        <v>0.40885684860968075</v>
      </c>
    </row>
    <row r="28" spans="4:10">
      <c r="D28">
        <v>55</v>
      </c>
      <c r="E28">
        <v>3.5539000000000001</v>
      </c>
      <c r="F28">
        <f t="shared" si="3"/>
        <v>0.86527641490641072</v>
      </c>
      <c r="G28">
        <f t="shared" si="0"/>
        <v>865</v>
      </c>
      <c r="H28">
        <f t="shared" si="1"/>
        <v>354</v>
      </c>
      <c r="J28">
        <f t="shared" si="2"/>
        <v>0.40924855491329482</v>
      </c>
    </row>
    <row r="29" spans="4:10">
      <c r="D29">
        <v>60</v>
      </c>
      <c r="E29">
        <v>3.0417000000000001</v>
      </c>
      <c r="F29">
        <f t="shared" si="3"/>
        <v>0.76965502963570698</v>
      </c>
      <c r="G29">
        <f t="shared" si="0"/>
        <v>770</v>
      </c>
      <c r="H29">
        <f t="shared" si="1"/>
        <v>315</v>
      </c>
      <c r="J29">
        <f t="shared" si="2"/>
        <v>0.40909090909090912</v>
      </c>
    </row>
    <row r="30" spans="4:10">
      <c r="D30">
        <v>65</v>
      </c>
      <c r="E30">
        <v>2.6143999999999998</v>
      </c>
      <c r="F30">
        <f t="shared" si="3"/>
        <v>0.68394216133942154</v>
      </c>
      <c r="G30">
        <f t="shared" si="0"/>
        <v>684</v>
      </c>
      <c r="H30">
        <f t="shared" si="1"/>
        <v>280</v>
      </c>
      <c r="J30">
        <f t="shared" si="2"/>
        <v>0.40935672514619881</v>
      </c>
    </row>
    <row r="31" spans="4:10">
      <c r="D31">
        <v>70</v>
      </c>
      <c r="E31">
        <v>2.2559</v>
      </c>
      <c r="F31">
        <f t="shared" si="3"/>
        <v>0.60741928377352949</v>
      </c>
      <c r="G31">
        <f t="shared" si="0"/>
        <v>607</v>
      </c>
      <c r="H31">
        <f t="shared" si="1"/>
        <v>248</v>
      </c>
      <c r="J31">
        <f t="shared" si="2"/>
        <v>0.40856672158154861</v>
      </c>
    </row>
    <row r="32" spans="4:10">
      <c r="D32">
        <v>75</v>
      </c>
      <c r="E32">
        <v>1.9538</v>
      </c>
      <c r="F32">
        <f t="shared" si="3"/>
        <v>0.53937158058525325</v>
      </c>
      <c r="G32">
        <f t="shared" si="0"/>
        <v>539</v>
      </c>
      <c r="H32">
        <f t="shared" si="1"/>
        <v>220</v>
      </c>
      <c r="J32">
        <f t="shared" si="2"/>
        <v>0.40816326530612246</v>
      </c>
    </row>
    <row r="33" spans="4:10">
      <c r="D33">
        <v>80</v>
      </c>
      <c r="E33">
        <v>1.698</v>
      </c>
      <c r="F33">
        <f t="shared" si="3"/>
        <v>0.47900495811249783</v>
      </c>
      <c r="G33">
        <f t="shared" si="0"/>
        <v>479</v>
      </c>
      <c r="H33">
        <f t="shared" si="1"/>
        <v>196</v>
      </c>
      <c r="J33">
        <f t="shared" si="2"/>
        <v>0.40918580375782881</v>
      </c>
    </row>
    <row r="34" spans="4:10">
      <c r="D34">
        <v>85</v>
      </c>
      <c r="E34">
        <v>1.4804999999999999</v>
      </c>
      <c r="F34">
        <f t="shared" si="3"/>
        <v>0.42556073341753403</v>
      </c>
      <c r="G34">
        <f t="shared" si="0"/>
        <v>426</v>
      </c>
      <c r="H34">
        <f t="shared" si="1"/>
        <v>174</v>
      </c>
      <c r="J34">
        <f t="shared" si="2"/>
        <v>0.40845070422535212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H72"/>
  <sheetViews>
    <sheetView zoomScale="115" workbookViewId="0">
      <selection activeCell="A3" sqref="A3:A17"/>
    </sheetView>
  </sheetViews>
  <sheetFormatPr defaultRowHeight="16.5"/>
  <cols>
    <col min="1" max="1" width="12.375" customWidth="1"/>
  </cols>
  <sheetData>
    <row r="3" spans="1:5">
      <c r="A3" t="s">
        <v>71</v>
      </c>
    </row>
    <row r="4" spans="1:5">
      <c r="A4" t="s">
        <v>72</v>
      </c>
      <c r="B4" t="s">
        <v>73</v>
      </c>
      <c r="C4" t="s">
        <v>74</v>
      </c>
      <c r="E4" t="s">
        <v>55</v>
      </c>
    </row>
    <row r="5" spans="1:5">
      <c r="A5">
        <v>0</v>
      </c>
      <c r="B5">
        <v>1</v>
      </c>
      <c r="C5">
        <v>3</v>
      </c>
      <c r="E5" t="e">
        <f>(B5+C5)/2/A5</f>
        <v>#DIV/0!</v>
      </c>
    </row>
    <row r="6" spans="1:5">
      <c r="A6">
        <v>500</v>
      </c>
      <c r="B6">
        <v>8</v>
      </c>
      <c r="C6">
        <v>10</v>
      </c>
      <c r="E6">
        <f t="shared" ref="E6:E17" si="0">(B6+C6)/2/A6</f>
        <v>1.7999999999999999E-2</v>
      </c>
    </row>
    <row r="7" spans="1:5">
      <c r="A7">
        <v>1000</v>
      </c>
      <c r="B7">
        <v>22</v>
      </c>
      <c r="C7">
        <v>24</v>
      </c>
      <c r="E7">
        <f t="shared" si="0"/>
        <v>2.3E-2</v>
      </c>
    </row>
    <row r="8" spans="1:5">
      <c r="A8">
        <v>1500</v>
      </c>
      <c r="B8">
        <v>36</v>
      </c>
      <c r="C8">
        <v>38</v>
      </c>
      <c r="E8">
        <f t="shared" si="0"/>
        <v>2.4666666666666667E-2</v>
      </c>
    </row>
    <row r="9" spans="1:5">
      <c r="A9">
        <v>2000</v>
      </c>
      <c r="B9">
        <v>50</v>
      </c>
      <c r="C9">
        <v>52</v>
      </c>
      <c r="E9">
        <f t="shared" si="0"/>
        <v>2.5499999999999998E-2</v>
      </c>
    </row>
    <row r="10" spans="1:5">
      <c r="A10">
        <v>3000</v>
      </c>
      <c r="B10">
        <v>80</v>
      </c>
      <c r="C10">
        <v>81</v>
      </c>
      <c r="E10">
        <f t="shared" si="0"/>
        <v>2.6833333333333334E-2</v>
      </c>
    </row>
    <row r="11" spans="1:5">
      <c r="A11">
        <v>4000</v>
      </c>
      <c r="B11">
        <v>108</v>
      </c>
      <c r="C11">
        <v>110</v>
      </c>
      <c r="E11">
        <f t="shared" si="0"/>
        <v>2.725E-2</v>
      </c>
    </row>
    <row r="12" spans="1:5">
      <c r="A12">
        <v>5000</v>
      </c>
      <c r="B12">
        <v>137</v>
      </c>
      <c r="C12">
        <v>140</v>
      </c>
      <c r="E12">
        <f t="shared" si="0"/>
        <v>2.7699999999999999E-2</v>
      </c>
    </row>
    <row r="13" spans="1:5">
      <c r="A13">
        <v>6000</v>
      </c>
      <c r="B13">
        <v>166</v>
      </c>
      <c r="C13">
        <v>167</v>
      </c>
      <c r="E13">
        <f t="shared" si="0"/>
        <v>2.775E-2</v>
      </c>
    </row>
    <row r="14" spans="1:5">
      <c r="A14">
        <v>7000</v>
      </c>
      <c r="B14">
        <v>194</v>
      </c>
      <c r="C14">
        <v>196</v>
      </c>
      <c r="E14">
        <f t="shared" si="0"/>
        <v>2.7857142857142858E-2</v>
      </c>
    </row>
    <row r="15" spans="1:5">
      <c r="A15">
        <v>8000</v>
      </c>
      <c r="B15">
        <v>223</v>
      </c>
      <c r="C15">
        <v>224</v>
      </c>
      <c r="E15">
        <f t="shared" si="0"/>
        <v>2.7937500000000001E-2</v>
      </c>
    </row>
    <row r="16" spans="1:5">
      <c r="A16">
        <v>9000</v>
      </c>
      <c r="B16">
        <v>251</v>
      </c>
      <c r="C16">
        <v>252</v>
      </c>
      <c r="E16">
        <f t="shared" si="0"/>
        <v>2.7944444444444445E-2</v>
      </c>
    </row>
    <row r="17" spans="1:5">
      <c r="A17">
        <v>10000</v>
      </c>
      <c r="B17">
        <v>281</v>
      </c>
      <c r="C17">
        <v>282</v>
      </c>
      <c r="E17">
        <f t="shared" si="0"/>
        <v>2.8150000000000001E-2</v>
      </c>
    </row>
    <row r="19" spans="1:5">
      <c r="E19">
        <f>SUM(E6:E17)/COUNT(E6:E17)</f>
        <v>2.6049090608465608E-2</v>
      </c>
    </row>
    <row r="24" spans="1:5">
      <c r="A24" t="s">
        <v>75</v>
      </c>
    </row>
    <row r="25" spans="1:5">
      <c r="A25" t="s">
        <v>72</v>
      </c>
      <c r="B25" t="s">
        <v>73</v>
      </c>
      <c r="C25" t="s">
        <v>74</v>
      </c>
      <c r="E25" t="s">
        <v>55</v>
      </c>
    </row>
    <row r="26" spans="1:5">
      <c r="A26">
        <v>0</v>
      </c>
      <c r="B26">
        <v>65</v>
      </c>
      <c r="C26">
        <v>67</v>
      </c>
      <c r="E26" t="e">
        <f>(B26+C26)/2/A26</f>
        <v>#DIV/0!</v>
      </c>
    </row>
    <row r="27" spans="1:5">
      <c r="A27">
        <v>160</v>
      </c>
      <c r="B27">
        <v>91</v>
      </c>
      <c r="C27">
        <v>92</v>
      </c>
      <c r="E27">
        <f t="shared" ref="E27:E44" si="1">(B27+C27)/2/A27</f>
        <v>0.57187500000000002</v>
      </c>
    </row>
    <row r="28" spans="1:5">
      <c r="A28">
        <v>212</v>
      </c>
      <c r="B28">
        <v>99</v>
      </c>
      <c r="C28">
        <v>102</v>
      </c>
      <c r="E28">
        <f t="shared" si="1"/>
        <v>0.47405660377358488</v>
      </c>
    </row>
    <row r="29" spans="1:5">
      <c r="A29">
        <v>314.5</v>
      </c>
      <c r="B29">
        <v>114</v>
      </c>
      <c r="C29">
        <v>116</v>
      </c>
      <c r="E29">
        <f t="shared" si="1"/>
        <v>0.3656597774244833</v>
      </c>
    </row>
    <row r="30" spans="1:5">
      <c r="A30">
        <v>409.5</v>
      </c>
      <c r="B30">
        <v>129</v>
      </c>
      <c r="C30">
        <v>134</v>
      </c>
      <c r="E30">
        <f t="shared" si="1"/>
        <v>0.32112332112332115</v>
      </c>
    </row>
    <row r="31" spans="1:5">
      <c r="A31">
        <v>515</v>
      </c>
      <c r="B31">
        <v>146</v>
      </c>
      <c r="C31">
        <v>149</v>
      </c>
      <c r="E31">
        <f t="shared" si="1"/>
        <v>0.28640776699029125</v>
      </c>
    </row>
    <row r="32" spans="1:5">
      <c r="A32">
        <v>626</v>
      </c>
      <c r="B32">
        <v>162</v>
      </c>
      <c r="C32">
        <v>169</v>
      </c>
      <c r="E32">
        <f t="shared" si="1"/>
        <v>0.26437699680511184</v>
      </c>
    </row>
    <row r="33" spans="1:5">
      <c r="A33">
        <v>713</v>
      </c>
      <c r="B33">
        <v>175</v>
      </c>
      <c r="C33">
        <v>182</v>
      </c>
      <c r="E33">
        <f t="shared" si="1"/>
        <v>0.25035063113604489</v>
      </c>
    </row>
    <row r="34" spans="1:5">
      <c r="A34">
        <v>816</v>
      </c>
      <c r="B34">
        <v>188</v>
      </c>
      <c r="C34">
        <v>198</v>
      </c>
      <c r="E34">
        <f t="shared" si="1"/>
        <v>0.23651960784313725</v>
      </c>
    </row>
    <row r="35" spans="1:5">
      <c r="A35">
        <v>903</v>
      </c>
      <c r="B35">
        <v>206</v>
      </c>
      <c r="C35">
        <v>214</v>
      </c>
      <c r="E35">
        <f t="shared" si="1"/>
        <v>0.23255813953488372</v>
      </c>
    </row>
    <row r="36" spans="1:5">
      <c r="A36">
        <v>1021</v>
      </c>
      <c r="B36">
        <v>222</v>
      </c>
      <c r="C36">
        <v>235</v>
      </c>
      <c r="E36">
        <f t="shared" si="1"/>
        <v>0.22380019588638589</v>
      </c>
    </row>
    <row r="37" spans="1:5">
      <c r="A37">
        <v>1205</v>
      </c>
      <c r="B37">
        <v>248</v>
      </c>
      <c r="C37">
        <v>261</v>
      </c>
      <c r="E37">
        <f t="shared" si="1"/>
        <v>0.21120331950207469</v>
      </c>
    </row>
    <row r="38" spans="1:5">
      <c r="A38">
        <v>1507</v>
      </c>
      <c r="B38">
        <v>301</v>
      </c>
      <c r="C38">
        <v>309</v>
      </c>
      <c r="E38">
        <f t="shared" si="1"/>
        <v>0.20238885202388851</v>
      </c>
    </row>
    <row r="39" spans="1:5">
      <c r="A39">
        <v>2023</v>
      </c>
      <c r="B39">
        <v>380</v>
      </c>
      <c r="C39">
        <v>392</v>
      </c>
      <c r="E39">
        <f t="shared" si="1"/>
        <v>0.19080573405832921</v>
      </c>
    </row>
    <row r="40" spans="1:5">
      <c r="A40">
        <v>2534</v>
      </c>
      <c r="B40">
        <v>462</v>
      </c>
      <c r="C40">
        <v>475</v>
      </c>
      <c r="E40">
        <f t="shared" si="1"/>
        <v>0.18488555643251775</v>
      </c>
    </row>
    <row r="41" spans="1:5">
      <c r="A41">
        <v>3016</v>
      </c>
      <c r="B41">
        <v>541</v>
      </c>
      <c r="C41">
        <v>552</v>
      </c>
      <c r="E41">
        <f t="shared" si="1"/>
        <v>0.1812002652519894</v>
      </c>
    </row>
    <row r="42" spans="1:5">
      <c r="A42">
        <v>4022</v>
      </c>
      <c r="B42">
        <v>694</v>
      </c>
      <c r="C42">
        <v>710</v>
      </c>
      <c r="E42">
        <f t="shared" si="1"/>
        <v>0.17454002983590253</v>
      </c>
    </row>
    <row r="43" spans="1:5">
      <c r="A43">
        <v>5052</v>
      </c>
      <c r="B43">
        <v>858</v>
      </c>
      <c r="C43">
        <v>864</v>
      </c>
      <c r="E43">
        <f t="shared" si="1"/>
        <v>0.17042755344418054</v>
      </c>
    </row>
    <row r="44" spans="1:5">
      <c r="A44">
        <v>5300</v>
      </c>
      <c r="B44">
        <v>897</v>
      </c>
      <c r="C44">
        <v>910</v>
      </c>
      <c r="E44">
        <f t="shared" si="1"/>
        <v>0.17047169811320756</v>
      </c>
    </row>
    <row r="49" spans="1:8">
      <c r="A49" t="s">
        <v>21</v>
      </c>
    </row>
    <row r="50" spans="1:8">
      <c r="A50" t="s">
        <v>76</v>
      </c>
      <c r="B50" t="s">
        <v>73</v>
      </c>
      <c r="C50" t="s">
        <v>74</v>
      </c>
      <c r="E50" t="s">
        <v>55</v>
      </c>
    </row>
    <row r="51" spans="1:8">
      <c r="A51">
        <v>36</v>
      </c>
      <c r="B51">
        <v>595</v>
      </c>
      <c r="C51">
        <v>596</v>
      </c>
      <c r="E51">
        <f>(B51+C51)/2/A51</f>
        <v>16.541666666666668</v>
      </c>
      <c r="F51">
        <v>16.8</v>
      </c>
      <c r="G51">
        <f>A51*F51</f>
        <v>604.80000000000007</v>
      </c>
      <c r="H51">
        <f>G51-C51</f>
        <v>8.8000000000000682</v>
      </c>
    </row>
    <row r="52" spans="1:8">
      <c r="A52">
        <v>37</v>
      </c>
      <c r="B52">
        <v>611</v>
      </c>
      <c r="C52">
        <v>612</v>
      </c>
      <c r="E52">
        <f t="shared" ref="E52:E72" si="2">(B52+C52)/2/A52</f>
        <v>16.527027027027028</v>
      </c>
      <c r="F52">
        <v>16.8</v>
      </c>
      <c r="G52">
        <f t="shared" ref="G52:G72" si="3">A52*F52</f>
        <v>621.6</v>
      </c>
      <c r="H52">
        <f t="shared" ref="H52:H72" si="4">G52-C52</f>
        <v>9.6000000000000227</v>
      </c>
    </row>
    <row r="53" spans="1:8">
      <c r="A53">
        <v>38</v>
      </c>
      <c r="B53">
        <v>628</v>
      </c>
      <c r="C53">
        <v>630</v>
      </c>
      <c r="E53">
        <f t="shared" si="2"/>
        <v>16.55263157894737</v>
      </c>
      <c r="F53">
        <v>16.8</v>
      </c>
      <c r="G53">
        <f t="shared" si="3"/>
        <v>638.4</v>
      </c>
      <c r="H53">
        <f t="shared" si="4"/>
        <v>8.3999999999999773</v>
      </c>
    </row>
    <row r="54" spans="1:8">
      <c r="A54">
        <v>39</v>
      </c>
      <c r="B54">
        <v>644</v>
      </c>
      <c r="C54">
        <v>645</v>
      </c>
      <c r="E54">
        <f t="shared" si="2"/>
        <v>16.525641025641026</v>
      </c>
      <c r="F54">
        <v>16.8</v>
      </c>
      <c r="G54">
        <f t="shared" si="3"/>
        <v>655.20000000000005</v>
      </c>
      <c r="H54">
        <f t="shared" si="4"/>
        <v>10.200000000000045</v>
      </c>
    </row>
    <row r="55" spans="1:8">
      <c r="A55">
        <v>40</v>
      </c>
      <c r="B55">
        <v>660</v>
      </c>
      <c r="C55">
        <v>661</v>
      </c>
      <c r="E55">
        <f t="shared" si="2"/>
        <v>16.512499999999999</v>
      </c>
      <c r="F55">
        <v>16.8</v>
      </c>
      <c r="G55">
        <f t="shared" si="3"/>
        <v>672</v>
      </c>
      <c r="H55">
        <f t="shared" si="4"/>
        <v>11</v>
      </c>
    </row>
    <row r="56" spans="1:8">
      <c r="A56">
        <v>41</v>
      </c>
      <c r="B56">
        <v>676</v>
      </c>
      <c r="C56">
        <v>678</v>
      </c>
      <c r="E56">
        <f t="shared" si="2"/>
        <v>16.512195121951219</v>
      </c>
      <c r="F56">
        <v>16.8</v>
      </c>
      <c r="G56">
        <f t="shared" si="3"/>
        <v>688.80000000000007</v>
      </c>
      <c r="H56">
        <f t="shared" si="4"/>
        <v>10.800000000000068</v>
      </c>
    </row>
    <row r="57" spans="1:8">
      <c r="A57">
        <v>42</v>
      </c>
      <c r="B57">
        <v>692</v>
      </c>
      <c r="C57">
        <v>693</v>
      </c>
      <c r="E57">
        <f t="shared" si="2"/>
        <v>16.488095238095237</v>
      </c>
      <c r="F57">
        <v>16.8</v>
      </c>
      <c r="G57">
        <f t="shared" si="3"/>
        <v>705.6</v>
      </c>
      <c r="H57">
        <f t="shared" si="4"/>
        <v>12.600000000000023</v>
      </c>
    </row>
    <row r="58" spans="1:8">
      <c r="A58">
        <v>43</v>
      </c>
      <c r="B58">
        <v>709</v>
      </c>
      <c r="C58">
        <v>710</v>
      </c>
      <c r="E58">
        <f t="shared" si="2"/>
        <v>16.5</v>
      </c>
      <c r="F58">
        <v>16.8</v>
      </c>
      <c r="G58">
        <f t="shared" si="3"/>
        <v>722.4</v>
      </c>
      <c r="H58">
        <f t="shared" si="4"/>
        <v>12.399999999999977</v>
      </c>
    </row>
    <row r="59" spans="1:8">
      <c r="A59">
        <v>44</v>
      </c>
      <c r="B59">
        <v>724</v>
      </c>
      <c r="C59">
        <v>725</v>
      </c>
      <c r="E59">
        <f t="shared" si="2"/>
        <v>16.46590909090909</v>
      </c>
      <c r="F59">
        <v>16.8</v>
      </c>
      <c r="G59">
        <f t="shared" si="3"/>
        <v>739.2</v>
      </c>
      <c r="H59">
        <f t="shared" si="4"/>
        <v>14.200000000000045</v>
      </c>
    </row>
    <row r="60" spans="1:8">
      <c r="A60">
        <v>45</v>
      </c>
      <c r="B60">
        <v>740</v>
      </c>
      <c r="C60">
        <v>741</v>
      </c>
      <c r="E60">
        <f t="shared" si="2"/>
        <v>16.455555555555556</v>
      </c>
      <c r="F60">
        <v>16.8</v>
      </c>
      <c r="G60">
        <f t="shared" si="3"/>
        <v>756</v>
      </c>
      <c r="H60">
        <f t="shared" si="4"/>
        <v>15</v>
      </c>
    </row>
    <row r="61" spans="1:8">
      <c r="A61">
        <v>46</v>
      </c>
      <c r="B61">
        <v>757</v>
      </c>
      <c r="C61">
        <v>758</v>
      </c>
      <c r="E61">
        <f t="shared" si="2"/>
        <v>16.467391304347824</v>
      </c>
      <c r="F61">
        <v>16.8</v>
      </c>
      <c r="G61">
        <f t="shared" si="3"/>
        <v>772.80000000000007</v>
      </c>
      <c r="H61">
        <f t="shared" si="4"/>
        <v>14.800000000000068</v>
      </c>
    </row>
    <row r="62" spans="1:8">
      <c r="A62">
        <v>47</v>
      </c>
      <c r="B62">
        <v>773</v>
      </c>
      <c r="C62">
        <v>774</v>
      </c>
      <c r="E62">
        <f t="shared" si="2"/>
        <v>16.457446808510639</v>
      </c>
      <c r="F62">
        <v>16.8</v>
      </c>
      <c r="G62">
        <f t="shared" si="3"/>
        <v>789.6</v>
      </c>
      <c r="H62">
        <f t="shared" si="4"/>
        <v>15.600000000000023</v>
      </c>
    </row>
    <row r="63" spans="1:8">
      <c r="A63">
        <v>48</v>
      </c>
      <c r="B63">
        <v>788</v>
      </c>
      <c r="C63">
        <v>789</v>
      </c>
      <c r="E63">
        <f t="shared" si="2"/>
        <v>16.427083333333332</v>
      </c>
      <c r="F63">
        <v>16.8</v>
      </c>
      <c r="G63">
        <f t="shared" si="3"/>
        <v>806.40000000000009</v>
      </c>
      <c r="H63">
        <f t="shared" si="4"/>
        <v>17.400000000000091</v>
      </c>
    </row>
    <row r="64" spans="1:8">
      <c r="A64">
        <v>49</v>
      </c>
      <c r="B64">
        <v>805</v>
      </c>
      <c r="C64">
        <v>806</v>
      </c>
      <c r="E64">
        <f t="shared" si="2"/>
        <v>16.438775510204081</v>
      </c>
      <c r="F64">
        <v>16.8</v>
      </c>
      <c r="G64">
        <f t="shared" si="3"/>
        <v>823.2</v>
      </c>
      <c r="H64">
        <f t="shared" si="4"/>
        <v>17.200000000000045</v>
      </c>
    </row>
    <row r="65" spans="1:8">
      <c r="A65">
        <v>50</v>
      </c>
      <c r="B65">
        <v>822</v>
      </c>
      <c r="C65">
        <v>824</v>
      </c>
      <c r="E65">
        <f t="shared" si="2"/>
        <v>16.46</v>
      </c>
      <c r="F65">
        <v>16.8</v>
      </c>
      <c r="G65">
        <f t="shared" si="3"/>
        <v>840</v>
      </c>
      <c r="H65">
        <f t="shared" si="4"/>
        <v>16</v>
      </c>
    </row>
    <row r="66" spans="1:8">
      <c r="A66">
        <v>51</v>
      </c>
      <c r="B66">
        <v>837</v>
      </c>
      <c r="C66">
        <v>838</v>
      </c>
      <c r="E66">
        <f t="shared" si="2"/>
        <v>16.421568627450981</v>
      </c>
      <c r="F66">
        <v>16.8</v>
      </c>
      <c r="G66">
        <f t="shared" si="3"/>
        <v>856.80000000000007</v>
      </c>
      <c r="H66">
        <f t="shared" si="4"/>
        <v>18.800000000000068</v>
      </c>
    </row>
    <row r="67" spans="1:8">
      <c r="A67">
        <v>52</v>
      </c>
      <c r="B67">
        <v>853</v>
      </c>
      <c r="C67">
        <v>854</v>
      </c>
      <c r="E67">
        <f t="shared" si="2"/>
        <v>16.41346153846154</v>
      </c>
      <c r="F67">
        <v>16.8</v>
      </c>
      <c r="G67">
        <f t="shared" si="3"/>
        <v>873.6</v>
      </c>
      <c r="H67">
        <f t="shared" si="4"/>
        <v>19.600000000000023</v>
      </c>
    </row>
    <row r="68" spans="1:8">
      <c r="A68">
        <v>53</v>
      </c>
      <c r="B68">
        <v>869</v>
      </c>
      <c r="C68">
        <v>870</v>
      </c>
      <c r="E68">
        <f t="shared" si="2"/>
        <v>16.40566037735849</v>
      </c>
      <c r="F68">
        <v>16.8</v>
      </c>
      <c r="G68">
        <f t="shared" si="3"/>
        <v>890.40000000000009</v>
      </c>
      <c r="H68">
        <f t="shared" si="4"/>
        <v>20.400000000000091</v>
      </c>
    </row>
    <row r="69" spans="1:8">
      <c r="A69">
        <v>54</v>
      </c>
      <c r="B69">
        <v>885</v>
      </c>
      <c r="C69">
        <v>886</v>
      </c>
      <c r="E69">
        <f t="shared" si="2"/>
        <v>16.398148148148149</v>
      </c>
      <c r="F69">
        <v>16.8</v>
      </c>
      <c r="G69">
        <f t="shared" si="3"/>
        <v>907.2</v>
      </c>
      <c r="H69">
        <f t="shared" si="4"/>
        <v>21.200000000000045</v>
      </c>
    </row>
    <row r="70" spans="1:8">
      <c r="A70">
        <v>55</v>
      </c>
      <c r="B70">
        <v>902</v>
      </c>
      <c r="C70">
        <v>902</v>
      </c>
      <c r="E70">
        <f t="shared" si="2"/>
        <v>16.399999999999999</v>
      </c>
      <c r="F70">
        <v>16.8</v>
      </c>
      <c r="G70">
        <f t="shared" si="3"/>
        <v>924</v>
      </c>
      <c r="H70">
        <f t="shared" si="4"/>
        <v>22</v>
      </c>
    </row>
    <row r="71" spans="1:8">
      <c r="A71">
        <v>56</v>
      </c>
      <c r="B71">
        <v>917</v>
      </c>
      <c r="C71">
        <v>918</v>
      </c>
      <c r="E71">
        <f t="shared" si="2"/>
        <v>16.383928571428573</v>
      </c>
      <c r="F71">
        <v>16.8</v>
      </c>
      <c r="G71">
        <f t="shared" si="3"/>
        <v>940.80000000000007</v>
      </c>
      <c r="H71">
        <f t="shared" si="4"/>
        <v>22.800000000000068</v>
      </c>
    </row>
    <row r="72" spans="1:8">
      <c r="A72">
        <v>57</v>
      </c>
      <c r="B72">
        <v>934</v>
      </c>
      <c r="C72">
        <v>935</v>
      </c>
      <c r="E72">
        <f t="shared" si="2"/>
        <v>16.394736842105264</v>
      </c>
      <c r="F72">
        <v>16.8</v>
      </c>
      <c r="G72">
        <f t="shared" si="3"/>
        <v>957.6</v>
      </c>
      <c r="H72">
        <f t="shared" si="4"/>
        <v>22.600000000000023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AB53"/>
  <sheetViews>
    <sheetView topLeftCell="B13" workbookViewId="0">
      <selection activeCell="F28" sqref="F28"/>
    </sheetView>
  </sheetViews>
  <sheetFormatPr defaultRowHeight="16.5"/>
  <cols>
    <col min="3" max="3" width="11.5" customWidth="1"/>
    <col min="4" max="4" width="12.75" customWidth="1"/>
    <col min="5" max="5" width="13" customWidth="1"/>
    <col min="8" max="8" width="14.375" customWidth="1"/>
    <col min="9" max="9" width="15.5" customWidth="1"/>
    <col min="12" max="12" width="9" style="7"/>
    <col min="13" max="13" width="12.25" customWidth="1"/>
    <col min="14" max="14" width="12.375" customWidth="1"/>
    <col min="15" max="15" width="13" customWidth="1"/>
    <col min="25" max="25" width="13.625" customWidth="1"/>
  </cols>
  <sheetData>
    <row r="3" spans="3:21">
      <c r="C3" s="3" t="s">
        <v>12</v>
      </c>
      <c r="M3" s="3" t="s">
        <v>35</v>
      </c>
    </row>
    <row r="5" spans="3:21">
      <c r="C5" t="s">
        <v>0</v>
      </c>
      <c r="D5" s="1">
        <f>10/3</f>
        <v>3.3333333333333335</v>
      </c>
      <c r="E5" t="s">
        <v>8</v>
      </c>
      <c r="F5">
        <f>D5/1000</f>
        <v>3.3333333333333335E-3</v>
      </c>
      <c r="G5" t="s">
        <v>3</v>
      </c>
      <c r="M5" t="s">
        <v>0</v>
      </c>
      <c r="N5" s="1">
        <f>10/3</f>
        <v>3.3333333333333335</v>
      </c>
      <c r="O5" t="s">
        <v>8</v>
      </c>
      <c r="P5">
        <f>N5/1000</f>
        <v>3.3333333333333335E-3</v>
      </c>
      <c r="Q5" t="s">
        <v>3</v>
      </c>
    </row>
    <row r="6" spans="3:21">
      <c r="C6" t="s">
        <v>1</v>
      </c>
      <c r="M6" t="s">
        <v>1</v>
      </c>
    </row>
    <row r="7" spans="3:21">
      <c r="C7" t="s">
        <v>2</v>
      </c>
      <c r="D7" s="1">
        <v>68</v>
      </c>
      <c r="E7" t="s">
        <v>5</v>
      </c>
      <c r="M7" t="s">
        <v>2</v>
      </c>
      <c r="N7" s="1">
        <v>80.599999999999994</v>
      </c>
      <c r="O7" t="s">
        <v>5</v>
      </c>
    </row>
    <row r="8" spans="3:21">
      <c r="C8" t="s">
        <v>4</v>
      </c>
      <c r="D8" s="1">
        <v>1</v>
      </c>
      <c r="E8" t="s">
        <v>5</v>
      </c>
      <c r="M8" t="s">
        <v>4</v>
      </c>
      <c r="N8" s="1">
        <v>4.12</v>
      </c>
      <c r="O8" t="s">
        <v>5</v>
      </c>
    </row>
    <row r="9" spans="3:21">
      <c r="C9" t="s">
        <v>6</v>
      </c>
      <c r="D9" t="s">
        <v>7</v>
      </c>
      <c r="E9" s="1">
        <f>D7/D8</f>
        <v>68</v>
      </c>
      <c r="M9" t="s">
        <v>6</v>
      </c>
      <c r="N9" t="s">
        <v>7</v>
      </c>
      <c r="O9" s="1">
        <v>23.3</v>
      </c>
      <c r="P9" s="1">
        <f>N7/N8</f>
        <v>19.563106796116504</v>
      </c>
    </row>
    <row r="10" spans="3:21">
      <c r="C10" s="5" t="s">
        <v>14</v>
      </c>
      <c r="M10" s="5" t="s">
        <v>14</v>
      </c>
    </row>
    <row r="11" spans="3:21">
      <c r="C11" t="s">
        <v>15</v>
      </c>
      <c r="D11" s="1">
        <v>10</v>
      </c>
      <c r="E11" t="s">
        <v>16</v>
      </c>
      <c r="F11" s="1">
        <f>2^D11</f>
        <v>1024</v>
      </c>
      <c r="M11" t="s">
        <v>15</v>
      </c>
      <c r="N11" s="1">
        <v>10</v>
      </c>
      <c r="O11" t="s">
        <v>16</v>
      </c>
      <c r="P11" s="1">
        <f>2^N11</f>
        <v>1024</v>
      </c>
      <c r="R11" t="s">
        <v>31</v>
      </c>
    </row>
    <row r="12" spans="3:21">
      <c r="C12" t="s">
        <v>17</v>
      </c>
      <c r="D12" s="1">
        <v>2.5</v>
      </c>
      <c r="E12" t="s">
        <v>18</v>
      </c>
      <c r="G12" t="s">
        <v>31</v>
      </c>
      <c r="M12" t="s">
        <v>17</v>
      </c>
      <c r="N12" s="1">
        <v>2.5</v>
      </c>
      <c r="O12" t="s">
        <v>18</v>
      </c>
      <c r="R12" s="6" t="s">
        <v>36</v>
      </c>
      <c r="S12" s="2"/>
      <c r="T12" s="2"/>
      <c r="U12" s="2"/>
    </row>
    <row r="13" spans="3:21">
      <c r="C13" t="s">
        <v>20</v>
      </c>
      <c r="D13">
        <f>D12/F11*1000</f>
        <v>2.44140625</v>
      </c>
      <c r="E13" t="s">
        <v>19</v>
      </c>
      <c r="G13" s="6" t="s">
        <v>36</v>
      </c>
      <c r="H13" s="2"/>
      <c r="I13" s="2"/>
      <c r="J13" s="2"/>
      <c r="K13" s="2"/>
      <c r="M13" t="s">
        <v>20</v>
      </c>
      <c r="N13">
        <f>N12/P11*1000</f>
        <v>2.44140625</v>
      </c>
      <c r="O13" t="s">
        <v>19</v>
      </c>
    </row>
    <row r="14" spans="3:21">
      <c r="C14" t="s">
        <v>67</v>
      </c>
      <c r="M14" t="s">
        <v>67</v>
      </c>
      <c r="N14" s="1">
        <v>5</v>
      </c>
    </row>
    <row r="16" spans="3:21">
      <c r="C16" t="s">
        <v>9</v>
      </c>
      <c r="D16" t="s">
        <v>10</v>
      </c>
      <c r="E16" t="s">
        <v>11</v>
      </c>
      <c r="F16" t="s">
        <v>13</v>
      </c>
      <c r="H16" t="s">
        <v>31</v>
      </c>
      <c r="I16" t="s">
        <v>37</v>
      </c>
      <c r="M16" t="s">
        <v>9</v>
      </c>
      <c r="N16" t="s">
        <v>10</v>
      </c>
      <c r="O16" t="s">
        <v>11</v>
      </c>
      <c r="P16" t="s">
        <v>13</v>
      </c>
      <c r="R16" t="s">
        <v>31</v>
      </c>
    </row>
    <row r="17" spans="3:28">
      <c r="C17">
        <v>50</v>
      </c>
      <c r="D17">
        <f>ROUND(C17*$F$5,3)</f>
        <v>0.16700000000000001</v>
      </c>
      <c r="E17">
        <f>D17*$E$9</f>
        <v>11.356</v>
      </c>
      <c r="F17">
        <f>ROUNDDOWN(E17/$D$13,0)</f>
        <v>4</v>
      </c>
      <c r="H17">
        <f>F17/C17</f>
        <v>0.08</v>
      </c>
      <c r="I17">
        <f>F17/(C17/10)</f>
        <v>0.8</v>
      </c>
      <c r="M17">
        <v>50</v>
      </c>
      <c r="N17">
        <f>ROUND(M17*$P$5,3)</f>
        <v>0.16700000000000001</v>
      </c>
      <c r="O17">
        <f>N17*$O$9</f>
        <v>3.8911000000000002</v>
      </c>
      <c r="P17">
        <f>ROUNDDOWN(O17/$N$13,0)</f>
        <v>1</v>
      </c>
      <c r="R17">
        <f>P17/M17</f>
        <v>0.02</v>
      </c>
    </row>
    <row r="18" spans="3:28">
      <c r="C18">
        <v>100</v>
      </c>
      <c r="D18">
        <f t="shared" ref="D18:D53" si="0">ROUND(C18*$F$5,3)</f>
        <v>0.33300000000000002</v>
      </c>
      <c r="E18">
        <f t="shared" ref="E18:E53" si="1">D18*$E$9</f>
        <v>22.644000000000002</v>
      </c>
      <c r="F18">
        <f t="shared" ref="F18:F53" si="2">ROUNDDOWN(E18/$D$13,0)</f>
        <v>9</v>
      </c>
      <c r="H18">
        <f t="shared" ref="H18:H53" si="3">F18/C18</f>
        <v>0.09</v>
      </c>
      <c r="I18">
        <f t="shared" ref="I18:I53" si="4">F18/(C18/10)</f>
        <v>0.9</v>
      </c>
      <c r="M18">
        <v>100</v>
      </c>
      <c r="N18">
        <f t="shared" ref="N18:N53" si="5">ROUND(M18*$P$5,3)</f>
        <v>0.33300000000000002</v>
      </c>
      <c r="O18">
        <f t="shared" ref="O18:O53" si="6">N18*$O$9</f>
        <v>7.7589000000000006</v>
      </c>
      <c r="P18">
        <f t="shared" ref="P18:P53" si="7">ROUNDDOWN(O18/$N$13,0)</f>
        <v>3</v>
      </c>
      <c r="R18">
        <f t="shared" ref="R18:R53" si="8">P18/M18</f>
        <v>0.03</v>
      </c>
    </row>
    <row r="19" spans="3:28">
      <c r="C19">
        <v>150</v>
      </c>
      <c r="D19">
        <f t="shared" si="0"/>
        <v>0.5</v>
      </c>
      <c r="E19">
        <f t="shared" si="1"/>
        <v>34</v>
      </c>
      <c r="F19">
        <f t="shared" si="2"/>
        <v>13</v>
      </c>
      <c r="H19">
        <f t="shared" si="3"/>
        <v>8.666666666666667E-2</v>
      </c>
      <c r="I19">
        <f t="shared" si="4"/>
        <v>0.8666666666666667</v>
      </c>
      <c r="M19">
        <v>500</v>
      </c>
      <c r="N19">
        <f t="shared" si="5"/>
        <v>1.667</v>
      </c>
      <c r="O19">
        <f t="shared" si="6"/>
        <v>38.841100000000004</v>
      </c>
      <c r="P19">
        <f t="shared" si="7"/>
        <v>15</v>
      </c>
      <c r="R19">
        <f t="shared" si="8"/>
        <v>0.03</v>
      </c>
    </row>
    <row r="20" spans="3:28">
      <c r="C20">
        <v>200</v>
      </c>
      <c r="D20">
        <f t="shared" si="0"/>
        <v>0.66700000000000004</v>
      </c>
      <c r="E20">
        <f t="shared" si="1"/>
        <v>45.356000000000002</v>
      </c>
      <c r="F20">
        <f t="shared" si="2"/>
        <v>18</v>
      </c>
      <c r="H20">
        <f t="shared" si="3"/>
        <v>0.09</v>
      </c>
      <c r="I20">
        <f t="shared" si="4"/>
        <v>0.9</v>
      </c>
      <c r="M20">
        <v>1000</v>
      </c>
      <c r="N20">
        <f t="shared" si="5"/>
        <v>3.3330000000000002</v>
      </c>
      <c r="O20">
        <f t="shared" si="6"/>
        <v>77.658900000000003</v>
      </c>
      <c r="P20">
        <f t="shared" si="7"/>
        <v>31</v>
      </c>
      <c r="R20">
        <f t="shared" si="8"/>
        <v>3.1E-2</v>
      </c>
    </row>
    <row r="21" spans="3:28">
      <c r="C21">
        <v>250</v>
      </c>
      <c r="D21">
        <f t="shared" si="0"/>
        <v>0.83299999999999996</v>
      </c>
      <c r="E21">
        <f t="shared" si="1"/>
        <v>56.643999999999998</v>
      </c>
      <c r="F21">
        <f t="shared" si="2"/>
        <v>23</v>
      </c>
      <c r="H21">
        <f t="shared" si="3"/>
        <v>9.1999999999999998E-2</v>
      </c>
      <c r="I21">
        <f t="shared" si="4"/>
        <v>0.92</v>
      </c>
      <c r="M21">
        <v>1500</v>
      </c>
      <c r="N21">
        <f t="shared" si="5"/>
        <v>5</v>
      </c>
      <c r="O21">
        <f t="shared" si="6"/>
        <v>116.5</v>
      </c>
      <c r="P21">
        <f t="shared" si="7"/>
        <v>47</v>
      </c>
      <c r="R21">
        <f t="shared" si="8"/>
        <v>3.1333333333333331E-2</v>
      </c>
    </row>
    <row r="22" spans="3:28">
      <c r="C22">
        <v>300</v>
      </c>
      <c r="D22">
        <f t="shared" si="0"/>
        <v>1</v>
      </c>
      <c r="E22">
        <f t="shared" si="1"/>
        <v>68</v>
      </c>
      <c r="F22">
        <f t="shared" si="2"/>
        <v>27</v>
      </c>
      <c r="H22">
        <f t="shared" si="3"/>
        <v>0.09</v>
      </c>
      <c r="I22">
        <f t="shared" si="4"/>
        <v>0.9</v>
      </c>
      <c r="M22">
        <v>2000</v>
      </c>
      <c r="N22">
        <f t="shared" si="5"/>
        <v>6.6669999999999998</v>
      </c>
      <c r="O22">
        <f t="shared" si="6"/>
        <v>155.34110000000001</v>
      </c>
      <c r="P22">
        <f t="shared" si="7"/>
        <v>63</v>
      </c>
      <c r="R22">
        <f t="shared" si="8"/>
        <v>3.15E-2</v>
      </c>
    </row>
    <row r="23" spans="3:28">
      <c r="C23">
        <v>350</v>
      </c>
      <c r="D23">
        <f t="shared" si="0"/>
        <v>1.167</v>
      </c>
      <c r="E23">
        <f t="shared" si="1"/>
        <v>79.356000000000009</v>
      </c>
      <c r="F23">
        <f t="shared" si="2"/>
        <v>32</v>
      </c>
      <c r="H23">
        <f t="shared" si="3"/>
        <v>9.1428571428571428E-2</v>
      </c>
      <c r="I23">
        <f t="shared" si="4"/>
        <v>0.91428571428571426</v>
      </c>
      <c r="M23">
        <v>2500</v>
      </c>
      <c r="N23">
        <f t="shared" si="5"/>
        <v>8.3330000000000002</v>
      </c>
      <c r="O23">
        <f t="shared" si="6"/>
        <v>194.15890000000002</v>
      </c>
      <c r="P23">
        <f t="shared" si="7"/>
        <v>79</v>
      </c>
      <c r="R23">
        <f t="shared" si="8"/>
        <v>3.1600000000000003E-2</v>
      </c>
    </row>
    <row r="24" spans="3:28">
      <c r="C24">
        <v>400</v>
      </c>
      <c r="D24">
        <f t="shared" si="0"/>
        <v>1.333</v>
      </c>
      <c r="E24">
        <f t="shared" si="1"/>
        <v>90.643999999999991</v>
      </c>
      <c r="F24">
        <f t="shared" si="2"/>
        <v>37</v>
      </c>
      <c r="H24">
        <f t="shared" si="3"/>
        <v>9.2499999999999999E-2</v>
      </c>
      <c r="I24">
        <f t="shared" si="4"/>
        <v>0.92500000000000004</v>
      </c>
      <c r="M24">
        <v>3000</v>
      </c>
      <c r="N24">
        <f t="shared" si="5"/>
        <v>10</v>
      </c>
      <c r="O24">
        <f t="shared" si="6"/>
        <v>233</v>
      </c>
      <c r="P24">
        <f t="shared" si="7"/>
        <v>95</v>
      </c>
      <c r="R24">
        <f t="shared" si="8"/>
        <v>3.1666666666666669E-2</v>
      </c>
    </row>
    <row r="25" spans="3:28">
      <c r="C25">
        <v>500</v>
      </c>
      <c r="D25">
        <f t="shared" si="0"/>
        <v>1.667</v>
      </c>
      <c r="E25">
        <f t="shared" si="1"/>
        <v>113.35600000000001</v>
      </c>
      <c r="F25">
        <f t="shared" si="2"/>
        <v>46</v>
      </c>
      <c r="H25">
        <f t="shared" si="3"/>
        <v>9.1999999999999998E-2</v>
      </c>
      <c r="I25">
        <f t="shared" si="4"/>
        <v>0.92</v>
      </c>
      <c r="M25">
        <v>3500</v>
      </c>
      <c r="N25">
        <f t="shared" si="5"/>
        <v>11.667</v>
      </c>
      <c r="O25">
        <f t="shared" si="6"/>
        <v>271.84109999999998</v>
      </c>
      <c r="P25">
        <f t="shared" si="7"/>
        <v>111</v>
      </c>
      <c r="R25">
        <f t="shared" si="8"/>
        <v>3.1714285714285716E-2</v>
      </c>
    </row>
    <row r="26" spans="3:28">
      <c r="C26">
        <v>1000</v>
      </c>
      <c r="D26">
        <f t="shared" si="0"/>
        <v>3.3330000000000002</v>
      </c>
      <c r="E26">
        <f t="shared" si="1"/>
        <v>226.64400000000001</v>
      </c>
      <c r="F26">
        <f t="shared" si="2"/>
        <v>92</v>
      </c>
      <c r="H26">
        <f t="shared" si="3"/>
        <v>9.1999999999999998E-2</v>
      </c>
      <c r="I26">
        <f t="shared" si="4"/>
        <v>0.92</v>
      </c>
      <c r="M26">
        <v>4000</v>
      </c>
      <c r="N26">
        <f t="shared" si="5"/>
        <v>13.333</v>
      </c>
      <c r="O26">
        <f t="shared" si="6"/>
        <v>310.65890000000002</v>
      </c>
      <c r="P26">
        <f t="shared" si="7"/>
        <v>127</v>
      </c>
      <c r="R26">
        <f t="shared" si="8"/>
        <v>3.175E-2</v>
      </c>
    </row>
    <row r="27" spans="3:28">
      <c r="C27">
        <v>2000</v>
      </c>
      <c r="D27">
        <f t="shared" si="0"/>
        <v>6.6669999999999998</v>
      </c>
      <c r="E27">
        <f t="shared" si="1"/>
        <v>453.35599999999999</v>
      </c>
      <c r="F27">
        <f t="shared" si="2"/>
        <v>185</v>
      </c>
      <c r="H27">
        <f t="shared" si="3"/>
        <v>9.2499999999999999E-2</v>
      </c>
      <c r="I27">
        <f t="shared" si="4"/>
        <v>0.92500000000000004</v>
      </c>
      <c r="M27">
        <v>4500</v>
      </c>
      <c r="N27">
        <f t="shared" si="5"/>
        <v>15</v>
      </c>
      <c r="O27">
        <f t="shared" si="6"/>
        <v>349.5</v>
      </c>
      <c r="P27">
        <f t="shared" si="7"/>
        <v>143</v>
      </c>
      <c r="R27">
        <f t="shared" si="8"/>
        <v>3.177777777777778E-2</v>
      </c>
    </row>
    <row r="28" spans="3:28">
      <c r="C28">
        <v>3000</v>
      </c>
      <c r="D28">
        <f t="shared" si="0"/>
        <v>10</v>
      </c>
      <c r="E28">
        <f t="shared" si="1"/>
        <v>680</v>
      </c>
      <c r="F28">
        <f t="shared" si="2"/>
        <v>278</v>
      </c>
      <c r="H28">
        <f t="shared" si="3"/>
        <v>9.2666666666666661E-2</v>
      </c>
      <c r="I28">
        <f t="shared" si="4"/>
        <v>0.92666666666666664</v>
      </c>
      <c r="M28">
        <v>5000</v>
      </c>
      <c r="N28">
        <f t="shared" si="5"/>
        <v>16.667000000000002</v>
      </c>
      <c r="O28">
        <f t="shared" si="6"/>
        <v>388.34110000000004</v>
      </c>
      <c r="P28">
        <f t="shared" si="7"/>
        <v>159</v>
      </c>
      <c r="R28">
        <f t="shared" si="8"/>
        <v>3.1800000000000002E-2</v>
      </c>
    </row>
    <row r="29" spans="3:28">
      <c r="C29">
        <v>4000</v>
      </c>
      <c r="D29">
        <f t="shared" si="0"/>
        <v>13.333</v>
      </c>
      <c r="E29">
        <f t="shared" si="1"/>
        <v>906.64400000000001</v>
      </c>
      <c r="F29">
        <f t="shared" si="2"/>
        <v>371</v>
      </c>
      <c r="H29">
        <f t="shared" si="3"/>
        <v>9.2749999999999999E-2</v>
      </c>
      <c r="I29">
        <f t="shared" si="4"/>
        <v>0.92749999999999999</v>
      </c>
      <c r="M29">
        <v>5500</v>
      </c>
      <c r="N29">
        <f t="shared" si="5"/>
        <v>18.332999999999998</v>
      </c>
      <c r="O29">
        <f t="shared" si="6"/>
        <v>427.15889999999996</v>
      </c>
      <c r="P29">
        <f t="shared" si="7"/>
        <v>174</v>
      </c>
      <c r="R29">
        <f t="shared" si="8"/>
        <v>3.1636363636363636E-2</v>
      </c>
    </row>
    <row r="30" spans="3:28">
      <c r="C30">
        <v>5000</v>
      </c>
      <c r="D30">
        <f t="shared" si="0"/>
        <v>16.667000000000002</v>
      </c>
      <c r="E30">
        <f t="shared" si="1"/>
        <v>1133.3560000000002</v>
      </c>
      <c r="F30">
        <f t="shared" si="2"/>
        <v>464</v>
      </c>
      <c r="H30">
        <f t="shared" si="3"/>
        <v>9.2799999999999994E-2</v>
      </c>
      <c r="I30">
        <f t="shared" si="4"/>
        <v>0.92800000000000005</v>
      </c>
      <c r="M30">
        <v>6000</v>
      </c>
      <c r="N30">
        <f t="shared" si="5"/>
        <v>20</v>
      </c>
      <c r="O30">
        <f t="shared" si="6"/>
        <v>466</v>
      </c>
      <c r="P30">
        <f t="shared" si="7"/>
        <v>190</v>
      </c>
      <c r="R30">
        <f t="shared" si="8"/>
        <v>3.1666666666666669E-2</v>
      </c>
      <c r="Y30">
        <v>3.3333300000000001</v>
      </c>
    </row>
    <row r="31" spans="3:28">
      <c r="C31">
        <v>6000</v>
      </c>
      <c r="D31">
        <f t="shared" si="0"/>
        <v>20</v>
      </c>
      <c r="E31">
        <f t="shared" si="1"/>
        <v>1360</v>
      </c>
      <c r="F31">
        <f t="shared" si="2"/>
        <v>557</v>
      </c>
      <c r="H31">
        <f t="shared" si="3"/>
        <v>9.2833333333333337E-2</v>
      </c>
      <c r="I31">
        <f t="shared" si="4"/>
        <v>0.92833333333333334</v>
      </c>
      <c r="M31">
        <v>6500</v>
      </c>
      <c r="N31">
        <f t="shared" si="5"/>
        <v>21.667000000000002</v>
      </c>
      <c r="O31">
        <f t="shared" si="6"/>
        <v>504.84110000000004</v>
      </c>
      <c r="P31">
        <f t="shared" si="7"/>
        <v>206</v>
      </c>
      <c r="R31">
        <f t="shared" si="8"/>
        <v>3.1692307692307693E-2</v>
      </c>
      <c r="W31" t="s">
        <v>69</v>
      </c>
      <c r="Y31" t="s">
        <v>70</v>
      </c>
      <c r="Z31" t="s">
        <v>68</v>
      </c>
    </row>
    <row r="32" spans="3:28">
      <c r="C32" s="9">
        <v>6500</v>
      </c>
      <c r="D32" s="9">
        <f t="shared" si="0"/>
        <v>21.667000000000002</v>
      </c>
      <c r="E32" s="9">
        <f t="shared" si="1"/>
        <v>1473.3560000000002</v>
      </c>
      <c r="F32" s="9">
        <f t="shared" si="2"/>
        <v>603</v>
      </c>
      <c r="G32" s="9"/>
      <c r="H32" s="9">
        <f t="shared" si="3"/>
        <v>9.276923076923077E-2</v>
      </c>
      <c r="I32" s="9">
        <f t="shared" si="4"/>
        <v>0.9276923076923077</v>
      </c>
      <c r="M32">
        <v>7000</v>
      </c>
      <c r="N32">
        <f t="shared" si="5"/>
        <v>23.332999999999998</v>
      </c>
      <c r="O32">
        <f t="shared" si="6"/>
        <v>543.65890000000002</v>
      </c>
      <c r="P32">
        <f t="shared" si="7"/>
        <v>222</v>
      </c>
      <c r="R32">
        <f t="shared" si="8"/>
        <v>3.1714285714285716E-2</v>
      </c>
      <c r="W32">
        <v>11</v>
      </c>
      <c r="X32">
        <f>W32*10</f>
        <v>110</v>
      </c>
      <c r="Y32">
        <f>W32*$Y$30</f>
        <v>36.666629999999998</v>
      </c>
      <c r="Z32">
        <v>117.1</v>
      </c>
      <c r="AB32">
        <f>Z32/Y32</f>
        <v>3.1936395572759211</v>
      </c>
    </row>
    <row r="33" spans="3:28">
      <c r="C33">
        <v>8000</v>
      </c>
      <c r="D33">
        <f t="shared" si="0"/>
        <v>26.667000000000002</v>
      </c>
      <c r="E33">
        <f t="shared" si="1"/>
        <v>1813.3560000000002</v>
      </c>
      <c r="F33">
        <f t="shared" si="2"/>
        <v>742</v>
      </c>
      <c r="H33">
        <f t="shared" si="3"/>
        <v>9.2749999999999999E-2</v>
      </c>
      <c r="I33">
        <f t="shared" si="4"/>
        <v>0.92749999999999999</v>
      </c>
      <c r="M33">
        <v>7500</v>
      </c>
      <c r="N33">
        <f t="shared" si="5"/>
        <v>25</v>
      </c>
      <c r="O33">
        <f t="shared" si="6"/>
        <v>582.5</v>
      </c>
      <c r="P33">
        <f t="shared" si="7"/>
        <v>238</v>
      </c>
      <c r="R33">
        <f t="shared" si="8"/>
        <v>3.1733333333333336E-2</v>
      </c>
      <c r="W33">
        <v>9.5</v>
      </c>
      <c r="X33">
        <f>W33*10</f>
        <v>95</v>
      </c>
      <c r="Y33">
        <f>W33*$Y$30</f>
        <v>31.666634999999999</v>
      </c>
      <c r="Z33">
        <v>101.9</v>
      </c>
      <c r="AB33">
        <f>Z33/Y33</f>
        <v>3.2178979547400601</v>
      </c>
    </row>
    <row r="34" spans="3:28">
      <c r="C34">
        <v>9000</v>
      </c>
      <c r="D34">
        <f t="shared" si="0"/>
        <v>30</v>
      </c>
      <c r="E34">
        <f t="shared" si="1"/>
        <v>2040</v>
      </c>
      <c r="F34">
        <f t="shared" si="2"/>
        <v>835</v>
      </c>
      <c r="H34">
        <f t="shared" si="3"/>
        <v>9.2777777777777778E-2</v>
      </c>
      <c r="I34">
        <f t="shared" si="4"/>
        <v>0.92777777777777781</v>
      </c>
      <c r="M34">
        <v>8000</v>
      </c>
      <c r="N34">
        <f t="shared" si="5"/>
        <v>26.667000000000002</v>
      </c>
      <c r="O34">
        <f t="shared" si="6"/>
        <v>621.3411000000001</v>
      </c>
      <c r="P34">
        <f t="shared" si="7"/>
        <v>254</v>
      </c>
      <c r="R34">
        <f t="shared" si="8"/>
        <v>3.175E-2</v>
      </c>
      <c r="W34">
        <v>9</v>
      </c>
      <c r="X34">
        <f t="shared" ref="X34:X42" si="9">W34*10</f>
        <v>90</v>
      </c>
      <c r="Y34">
        <f t="shared" ref="Y34:Y42" si="10">W34*$Y$30</f>
        <v>29.999970000000001</v>
      </c>
      <c r="Z34">
        <v>97.2</v>
      </c>
      <c r="AB34">
        <f t="shared" ref="AB34:AB42" si="11">Z34/Y34</f>
        <v>3.2400032400032401</v>
      </c>
    </row>
    <row r="35" spans="3:28">
      <c r="C35">
        <v>10000</v>
      </c>
      <c r="D35">
        <f t="shared" si="0"/>
        <v>33.332999999999998</v>
      </c>
      <c r="E35">
        <f t="shared" si="1"/>
        <v>2266.6439999999998</v>
      </c>
      <c r="F35">
        <f t="shared" si="2"/>
        <v>928</v>
      </c>
      <c r="H35">
        <f t="shared" si="3"/>
        <v>9.2799999999999994E-2</v>
      </c>
      <c r="I35">
        <f t="shared" si="4"/>
        <v>0.92800000000000005</v>
      </c>
      <c r="M35">
        <v>8500</v>
      </c>
      <c r="N35">
        <f t="shared" si="5"/>
        <v>28.332999999999998</v>
      </c>
      <c r="O35">
        <f t="shared" si="6"/>
        <v>660.15890000000002</v>
      </c>
      <c r="P35">
        <f t="shared" si="7"/>
        <v>270</v>
      </c>
      <c r="R35">
        <f t="shared" si="8"/>
        <v>3.1764705882352938E-2</v>
      </c>
      <c r="W35">
        <v>8</v>
      </c>
      <c r="X35">
        <f t="shared" si="9"/>
        <v>80</v>
      </c>
      <c r="Y35">
        <f t="shared" si="10"/>
        <v>26.666640000000001</v>
      </c>
      <c r="Z35">
        <v>83.3</v>
      </c>
      <c r="AB35">
        <f t="shared" si="11"/>
        <v>3.1237531237531235</v>
      </c>
    </row>
    <row r="36" spans="3:28">
      <c r="C36">
        <v>11000</v>
      </c>
      <c r="D36">
        <f t="shared" si="0"/>
        <v>36.667000000000002</v>
      </c>
      <c r="E36">
        <f t="shared" si="1"/>
        <v>2493.3560000000002</v>
      </c>
      <c r="F36">
        <f t="shared" si="2"/>
        <v>1021</v>
      </c>
      <c r="H36">
        <f t="shared" si="3"/>
        <v>9.2818181818181814E-2</v>
      </c>
      <c r="I36">
        <f t="shared" si="4"/>
        <v>0.92818181818181822</v>
      </c>
      <c r="M36">
        <v>9000</v>
      </c>
      <c r="N36">
        <f t="shared" si="5"/>
        <v>30</v>
      </c>
      <c r="O36">
        <f t="shared" si="6"/>
        <v>699</v>
      </c>
      <c r="P36">
        <f t="shared" si="7"/>
        <v>286</v>
      </c>
      <c r="R36">
        <f t="shared" si="8"/>
        <v>3.177777777777778E-2</v>
      </c>
      <c r="W36">
        <v>7</v>
      </c>
      <c r="X36">
        <f t="shared" si="9"/>
        <v>70</v>
      </c>
      <c r="Y36">
        <f t="shared" si="10"/>
        <v>23.333310000000001</v>
      </c>
      <c r="Z36">
        <v>73.5</v>
      </c>
      <c r="AB36">
        <f t="shared" si="11"/>
        <v>3.1500031500031498</v>
      </c>
    </row>
    <row r="37" spans="3:28">
      <c r="C37">
        <v>12000</v>
      </c>
      <c r="D37">
        <f t="shared" si="0"/>
        <v>40</v>
      </c>
      <c r="E37">
        <f t="shared" si="1"/>
        <v>2720</v>
      </c>
      <c r="F37">
        <f t="shared" si="2"/>
        <v>1114</v>
      </c>
      <c r="H37">
        <f t="shared" si="3"/>
        <v>9.2833333333333337E-2</v>
      </c>
      <c r="I37">
        <f t="shared" si="4"/>
        <v>0.92833333333333334</v>
      </c>
      <c r="M37">
        <v>9500</v>
      </c>
      <c r="N37">
        <f t="shared" si="5"/>
        <v>31.667000000000002</v>
      </c>
      <c r="O37">
        <f t="shared" si="6"/>
        <v>737.8411000000001</v>
      </c>
      <c r="P37">
        <f t="shared" si="7"/>
        <v>302</v>
      </c>
      <c r="R37">
        <f t="shared" si="8"/>
        <v>3.1789473684210527E-2</v>
      </c>
      <c r="W37">
        <v>6</v>
      </c>
      <c r="X37">
        <f t="shared" si="9"/>
        <v>60</v>
      </c>
      <c r="Y37">
        <f t="shared" si="10"/>
        <v>19.999980000000001</v>
      </c>
      <c r="Z37">
        <v>64.010000000000005</v>
      </c>
      <c r="AB37">
        <f t="shared" si="11"/>
        <v>3.2005032005032006</v>
      </c>
    </row>
    <row r="38" spans="3:28">
      <c r="C38">
        <v>13000</v>
      </c>
      <c r="D38">
        <f t="shared" si="0"/>
        <v>43.332999999999998</v>
      </c>
      <c r="E38">
        <f t="shared" si="1"/>
        <v>2946.6439999999998</v>
      </c>
      <c r="F38">
        <f t="shared" si="2"/>
        <v>1206</v>
      </c>
      <c r="H38">
        <f t="shared" si="3"/>
        <v>9.276923076923077E-2</v>
      </c>
      <c r="I38">
        <f t="shared" si="4"/>
        <v>0.9276923076923077</v>
      </c>
      <c r="M38">
        <v>10000</v>
      </c>
      <c r="N38">
        <f t="shared" si="5"/>
        <v>33.332999999999998</v>
      </c>
      <c r="O38">
        <f t="shared" si="6"/>
        <v>776.65890000000002</v>
      </c>
      <c r="P38">
        <f t="shared" si="7"/>
        <v>318</v>
      </c>
      <c r="R38">
        <f t="shared" si="8"/>
        <v>3.1800000000000002E-2</v>
      </c>
      <c r="W38">
        <v>5</v>
      </c>
      <c r="X38">
        <f t="shared" si="9"/>
        <v>50</v>
      </c>
      <c r="Y38">
        <f t="shared" si="10"/>
        <v>16.666650000000001</v>
      </c>
      <c r="Z38">
        <v>53.2</v>
      </c>
      <c r="AB38">
        <f t="shared" si="11"/>
        <v>3.1920031920031922</v>
      </c>
    </row>
    <row r="39" spans="3:28">
      <c r="C39">
        <v>14000</v>
      </c>
      <c r="D39">
        <f t="shared" si="0"/>
        <v>46.667000000000002</v>
      </c>
      <c r="E39">
        <f t="shared" si="1"/>
        <v>3173.3560000000002</v>
      </c>
      <c r="F39">
        <f t="shared" si="2"/>
        <v>1299</v>
      </c>
      <c r="H39">
        <f t="shared" si="3"/>
        <v>9.2785714285714291E-2</v>
      </c>
      <c r="I39">
        <f t="shared" si="4"/>
        <v>0.92785714285714282</v>
      </c>
      <c r="M39">
        <v>20000</v>
      </c>
      <c r="N39">
        <f t="shared" si="5"/>
        <v>66.667000000000002</v>
      </c>
      <c r="O39">
        <f t="shared" si="6"/>
        <v>1553.3411000000001</v>
      </c>
      <c r="P39">
        <f t="shared" si="7"/>
        <v>636</v>
      </c>
      <c r="R39">
        <f t="shared" si="8"/>
        <v>3.1800000000000002E-2</v>
      </c>
      <c r="W39">
        <v>4</v>
      </c>
      <c r="X39">
        <f t="shared" si="9"/>
        <v>40</v>
      </c>
      <c r="Y39">
        <f t="shared" si="10"/>
        <v>13.333320000000001</v>
      </c>
      <c r="Z39">
        <v>42</v>
      </c>
      <c r="AB39">
        <f t="shared" si="11"/>
        <v>3.1500031500031498</v>
      </c>
    </row>
    <row r="40" spans="3:28">
      <c r="C40">
        <v>15000</v>
      </c>
      <c r="D40">
        <f t="shared" si="0"/>
        <v>50</v>
      </c>
      <c r="E40">
        <f t="shared" si="1"/>
        <v>3400</v>
      </c>
      <c r="F40">
        <f t="shared" si="2"/>
        <v>1392</v>
      </c>
      <c r="H40">
        <f t="shared" si="3"/>
        <v>9.2799999999999994E-2</v>
      </c>
      <c r="I40">
        <f t="shared" si="4"/>
        <v>0.92800000000000005</v>
      </c>
      <c r="M40">
        <v>30000</v>
      </c>
      <c r="N40">
        <f t="shared" si="5"/>
        <v>100</v>
      </c>
      <c r="O40">
        <f t="shared" si="6"/>
        <v>2330</v>
      </c>
      <c r="P40">
        <f t="shared" si="7"/>
        <v>954</v>
      </c>
      <c r="R40">
        <f t="shared" si="8"/>
        <v>3.1800000000000002E-2</v>
      </c>
      <c r="W40">
        <v>3</v>
      </c>
      <c r="X40">
        <f t="shared" si="9"/>
        <v>30</v>
      </c>
      <c r="Y40">
        <f t="shared" si="10"/>
        <v>9.9999900000000004</v>
      </c>
      <c r="Z40">
        <v>31.6</v>
      </c>
      <c r="AB40">
        <f t="shared" si="11"/>
        <v>3.1600031600031602</v>
      </c>
    </row>
    <row r="41" spans="3:28">
      <c r="C41">
        <v>16000</v>
      </c>
      <c r="D41">
        <f t="shared" si="0"/>
        <v>53.332999999999998</v>
      </c>
      <c r="E41">
        <f t="shared" si="1"/>
        <v>3626.6439999999998</v>
      </c>
      <c r="F41">
        <f t="shared" si="2"/>
        <v>1485</v>
      </c>
      <c r="H41">
        <f t="shared" si="3"/>
        <v>9.2812500000000006E-2</v>
      </c>
      <c r="I41">
        <f t="shared" si="4"/>
        <v>0.92812499999999998</v>
      </c>
      <c r="M41" s="9">
        <v>32000</v>
      </c>
      <c r="N41" s="9">
        <f t="shared" si="5"/>
        <v>106.667</v>
      </c>
      <c r="O41" s="9">
        <f t="shared" si="6"/>
        <v>2485.3411000000001</v>
      </c>
      <c r="P41" s="9">
        <f t="shared" si="7"/>
        <v>1017</v>
      </c>
      <c r="R41">
        <f t="shared" si="8"/>
        <v>3.1781249999999997E-2</v>
      </c>
      <c r="W41">
        <v>2</v>
      </c>
      <c r="X41">
        <f t="shared" si="9"/>
        <v>20</v>
      </c>
      <c r="Y41">
        <f t="shared" si="10"/>
        <v>6.6666600000000003</v>
      </c>
      <c r="Z41">
        <v>22.9</v>
      </c>
      <c r="AB41">
        <f t="shared" si="11"/>
        <v>3.4350034350034346</v>
      </c>
    </row>
    <row r="42" spans="3:28">
      <c r="C42">
        <v>17000</v>
      </c>
      <c r="D42">
        <f t="shared" si="0"/>
        <v>56.667000000000002</v>
      </c>
      <c r="E42">
        <f t="shared" si="1"/>
        <v>3853.3560000000002</v>
      </c>
      <c r="F42">
        <f t="shared" si="2"/>
        <v>1578</v>
      </c>
      <c r="H42">
        <f t="shared" si="3"/>
        <v>9.2823529411764708E-2</v>
      </c>
      <c r="I42">
        <f t="shared" si="4"/>
        <v>0.92823529411764705</v>
      </c>
      <c r="M42">
        <v>50000</v>
      </c>
      <c r="N42">
        <f t="shared" si="5"/>
        <v>166.667</v>
      </c>
      <c r="O42">
        <f t="shared" si="6"/>
        <v>3883.3411000000001</v>
      </c>
      <c r="P42">
        <f t="shared" si="7"/>
        <v>1590</v>
      </c>
      <c r="R42">
        <f t="shared" si="8"/>
        <v>3.1800000000000002E-2</v>
      </c>
      <c r="W42">
        <v>1</v>
      </c>
      <c r="X42">
        <f t="shared" si="9"/>
        <v>10</v>
      </c>
      <c r="Y42">
        <f t="shared" si="10"/>
        <v>3.3333300000000001</v>
      </c>
      <c r="Z42">
        <v>10.3</v>
      </c>
      <c r="AB42">
        <f t="shared" si="11"/>
        <v>3.0900030900030901</v>
      </c>
    </row>
    <row r="43" spans="3:28">
      <c r="C43">
        <v>18000</v>
      </c>
      <c r="D43">
        <f t="shared" si="0"/>
        <v>60</v>
      </c>
      <c r="E43">
        <f t="shared" si="1"/>
        <v>4080</v>
      </c>
      <c r="F43">
        <f t="shared" si="2"/>
        <v>1671</v>
      </c>
      <c r="H43">
        <f t="shared" si="3"/>
        <v>9.2833333333333337E-2</v>
      </c>
      <c r="I43">
        <f t="shared" si="4"/>
        <v>0.92833333333333334</v>
      </c>
      <c r="M43">
        <v>60000</v>
      </c>
      <c r="N43">
        <f t="shared" si="5"/>
        <v>200</v>
      </c>
      <c r="O43">
        <f t="shared" si="6"/>
        <v>4660</v>
      </c>
      <c r="P43">
        <f t="shared" si="7"/>
        <v>1908</v>
      </c>
      <c r="R43">
        <f t="shared" si="8"/>
        <v>3.1800000000000002E-2</v>
      </c>
    </row>
    <row r="44" spans="3:28">
      <c r="C44">
        <v>19000</v>
      </c>
      <c r="D44">
        <f t="shared" si="0"/>
        <v>63.332999999999998</v>
      </c>
      <c r="E44">
        <f t="shared" si="1"/>
        <v>4306.6440000000002</v>
      </c>
      <c r="F44">
        <f t="shared" si="2"/>
        <v>1764</v>
      </c>
      <c r="H44">
        <f t="shared" si="3"/>
        <v>9.2842105263157892E-2</v>
      </c>
      <c r="I44">
        <f t="shared" si="4"/>
        <v>0.92842105263157892</v>
      </c>
      <c r="M44">
        <v>70000</v>
      </c>
      <c r="N44">
        <f t="shared" si="5"/>
        <v>233.333</v>
      </c>
      <c r="O44">
        <f t="shared" si="6"/>
        <v>5436.6589000000004</v>
      </c>
      <c r="P44">
        <f t="shared" si="7"/>
        <v>2226</v>
      </c>
      <c r="R44">
        <f t="shared" si="8"/>
        <v>3.1800000000000002E-2</v>
      </c>
    </row>
    <row r="45" spans="3:28">
      <c r="C45">
        <v>20000</v>
      </c>
      <c r="D45">
        <f t="shared" si="0"/>
        <v>66.667000000000002</v>
      </c>
      <c r="E45">
        <f t="shared" si="1"/>
        <v>4533.3559999999998</v>
      </c>
      <c r="F45">
        <f t="shared" si="2"/>
        <v>1856</v>
      </c>
      <c r="H45">
        <f t="shared" si="3"/>
        <v>9.2799999999999994E-2</v>
      </c>
      <c r="I45">
        <f t="shared" si="4"/>
        <v>0.92800000000000005</v>
      </c>
      <c r="M45">
        <v>80000</v>
      </c>
      <c r="N45">
        <f t="shared" si="5"/>
        <v>266.66699999999997</v>
      </c>
      <c r="O45">
        <f t="shared" si="6"/>
        <v>6213.3410999999996</v>
      </c>
      <c r="P45">
        <f t="shared" si="7"/>
        <v>2544</v>
      </c>
      <c r="R45">
        <f t="shared" si="8"/>
        <v>3.1800000000000002E-2</v>
      </c>
    </row>
    <row r="46" spans="3:28">
      <c r="C46">
        <v>21000</v>
      </c>
      <c r="D46">
        <f t="shared" si="0"/>
        <v>70</v>
      </c>
      <c r="E46">
        <f t="shared" si="1"/>
        <v>4760</v>
      </c>
      <c r="F46">
        <f t="shared" si="2"/>
        <v>1949</v>
      </c>
      <c r="H46">
        <f t="shared" si="3"/>
        <v>9.2809523809523814E-2</v>
      </c>
      <c r="I46">
        <f t="shared" si="4"/>
        <v>0.92809523809523808</v>
      </c>
      <c r="M46">
        <v>90000</v>
      </c>
      <c r="N46">
        <f t="shared" si="5"/>
        <v>300</v>
      </c>
      <c r="O46">
        <f t="shared" si="6"/>
        <v>6990</v>
      </c>
      <c r="P46">
        <f t="shared" si="7"/>
        <v>2863</v>
      </c>
      <c r="R46">
        <f t="shared" si="8"/>
        <v>3.1811111111111109E-2</v>
      </c>
    </row>
    <row r="47" spans="3:28">
      <c r="C47">
        <v>22000</v>
      </c>
      <c r="D47">
        <f t="shared" si="0"/>
        <v>73.332999999999998</v>
      </c>
      <c r="E47">
        <f t="shared" si="1"/>
        <v>4986.6440000000002</v>
      </c>
      <c r="F47">
        <f t="shared" si="2"/>
        <v>2042</v>
      </c>
      <c r="H47">
        <f t="shared" si="3"/>
        <v>9.2818181818181814E-2</v>
      </c>
      <c r="I47">
        <f t="shared" si="4"/>
        <v>0.92818181818181822</v>
      </c>
      <c r="M47">
        <v>100000</v>
      </c>
      <c r="N47">
        <f t="shared" si="5"/>
        <v>333.33300000000003</v>
      </c>
      <c r="O47">
        <f t="shared" si="6"/>
        <v>7766.6589000000013</v>
      </c>
      <c r="P47">
        <f t="shared" si="7"/>
        <v>3181</v>
      </c>
      <c r="R47">
        <f t="shared" si="8"/>
        <v>3.1809999999999998E-2</v>
      </c>
    </row>
    <row r="48" spans="3:28">
      <c r="C48">
        <v>23000</v>
      </c>
      <c r="D48">
        <f t="shared" si="0"/>
        <v>76.667000000000002</v>
      </c>
      <c r="E48">
        <f t="shared" si="1"/>
        <v>5213.3559999999998</v>
      </c>
      <c r="F48">
        <f t="shared" si="2"/>
        <v>2135</v>
      </c>
      <c r="H48">
        <f t="shared" si="3"/>
        <v>9.2826086956521739E-2</v>
      </c>
      <c r="I48">
        <f t="shared" si="4"/>
        <v>0.92826086956521736</v>
      </c>
      <c r="M48" s="21">
        <v>110000</v>
      </c>
      <c r="N48" s="21">
        <f t="shared" si="5"/>
        <v>366.66699999999997</v>
      </c>
      <c r="O48" s="21">
        <f t="shared" si="6"/>
        <v>8543.3410999999996</v>
      </c>
      <c r="P48" s="21">
        <f t="shared" si="7"/>
        <v>3499</v>
      </c>
      <c r="R48">
        <f t="shared" si="8"/>
        <v>3.1809090909090912E-2</v>
      </c>
    </row>
    <row r="49" spans="3:18">
      <c r="C49">
        <v>24000</v>
      </c>
      <c r="D49">
        <f t="shared" si="0"/>
        <v>80</v>
      </c>
      <c r="E49">
        <f t="shared" si="1"/>
        <v>5440</v>
      </c>
      <c r="F49">
        <f t="shared" si="2"/>
        <v>2228</v>
      </c>
      <c r="H49">
        <f t="shared" si="3"/>
        <v>9.2833333333333337E-2</v>
      </c>
      <c r="I49">
        <f t="shared" si="4"/>
        <v>0.92833333333333334</v>
      </c>
      <c r="M49">
        <v>120000</v>
      </c>
      <c r="N49">
        <f t="shared" si="5"/>
        <v>400</v>
      </c>
      <c r="O49">
        <f t="shared" si="6"/>
        <v>9320</v>
      </c>
      <c r="P49">
        <f t="shared" si="7"/>
        <v>3817</v>
      </c>
      <c r="R49">
        <f t="shared" si="8"/>
        <v>3.1808333333333334E-2</v>
      </c>
    </row>
    <row r="50" spans="3:18">
      <c r="C50" s="2">
        <v>25000</v>
      </c>
      <c r="D50" s="2">
        <f t="shared" si="0"/>
        <v>83.332999999999998</v>
      </c>
      <c r="E50" s="2">
        <f t="shared" si="1"/>
        <v>5666.6440000000002</v>
      </c>
      <c r="F50">
        <f t="shared" si="2"/>
        <v>2321</v>
      </c>
      <c r="H50">
        <f t="shared" si="3"/>
        <v>9.2840000000000006E-2</v>
      </c>
      <c r="I50">
        <f t="shared" si="4"/>
        <v>0.9284</v>
      </c>
      <c r="M50">
        <v>130000</v>
      </c>
      <c r="N50">
        <f t="shared" si="5"/>
        <v>433.33300000000003</v>
      </c>
      <c r="O50">
        <f t="shared" si="6"/>
        <v>10096.6589</v>
      </c>
      <c r="P50">
        <f t="shared" si="7"/>
        <v>4135</v>
      </c>
      <c r="R50">
        <f t="shared" si="8"/>
        <v>3.1807692307692308E-2</v>
      </c>
    </row>
    <row r="51" spans="3:18">
      <c r="C51">
        <v>26000</v>
      </c>
      <c r="D51">
        <f t="shared" si="0"/>
        <v>86.667000000000002</v>
      </c>
      <c r="E51">
        <f t="shared" si="1"/>
        <v>5893.3559999999998</v>
      </c>
      <c r="F51">
        <f t="shared" si="2"/>
        <v>2413</v>
      </c>
      <c r="H51">
        <f t="shared" si="3"/>
        <v>9.2807692307692313E-2</v>
      </c>
      <c r="I51">
        <f t="shared" si="4"/>
        <v>0.92807692307692302</v>
      </c>
      <c r="M51">
        <v>140000</v>
      </c>
      <c r="N51">
        <f t="shared" si="5"/>
        <v>466.66699999999997</v>
      </c>
      <c r="O51">
        <f t="shared" si="6"/>
        <v>10873.3411</v>
      </c>
      <c r="P51">
        <f t="shared" si="7"/>
        <v>4453</v>
      </c>
      <c r="R51">
        <f t="shared" si="8"/>
        <v>3.180714285714286E-2</v>
      </c>
    </row>
    <row r="52" spans="3:18">
      <c r="C52">
        <v>27000</v>
      </c>
      <c r="D52">
        <f t="shared" si="0"/>
        <v>90</v>
      </c>
      <c r="E52">
        <f t="shared" si="1"/>
        <v>6120</v>
      </c>
      <c r="F52">
        <f t="shared" si="2"/>
        <v>2506</v>
      </c>
      <c r="H52">
        <f t="shared" si="3"/>
        <v>9.2814814814814808E-2</v>
      </c>
      <c r="I52">
        <f t="shared" si="4"/>
        <v>0.92814814814814817</v>
      </c>
      <c r="M52">
        <v>150000</v>
      </c>
      <c r="N52">
        <f t="shared" si="5"/>
        <v>500</v>
      </c>
      <c r="O52">
        <f t="shared" si="6"/>
        <v>11650</v>
      </c>
      <c r="P52">
        <f t="shared" si="7"/>
        <v>4771</v>
      </c>
      <c r="R52">
        <f t="shared" si="8"/>
        <v>3.1806666666666664E-2</v>
      </c>
    </row>
    <row r="53" spans="3:18">
      <c r="C53">
        <v>28000</v>
      </c>
      <c r="D53">
        <f t="shared" si="0"/>
        <v>93.332999999999998</v>
      </c>
      <c r="E53">
        <f t="shared" si="1"/>
        <v>6346.6440000000002</v>
      </c>
      <c r="F53">
        <f t="shared" si="2"/>
        <v>2599</v>
      </c>
      <c r="H53">
        <f t="shared" si="3"/>
        <v>9.2821428571428569E-2</v>
      </c>
      <c r="I53">
        <f t="shared" si="4"/>
        <v>0.92821428571428577</v>
      </c>
      <c r="M53">
        <v>160000</v>
      </c>
      <c r="N53">
        <f t="shared" si="5"/>
        <v>533.33299999999997</v>
      </c>
      <c r="O53">
        <f t="shared" si="6"/>
        <v>12426.6589</v>
      </c>
      <c r="P53">
        <f t="shared" si="7"/>
        <v>5089</v>
      </c>
      <c r="R53">
        <f t="shared" si="8"/>
        <v>3.1806250000000001E-2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J82"/>
  <sheetViews>
    <sheetView topLeftCell="A28" workbookViewId="0">
      <selection activeCell="B4" sqref="B4:D5"/>
    </sheetView>
  </sheetViews>
  <sheetFormatPr defaultRowHeight="16.5"/>
  <cols>
    <col min="2" max="2" width="11.875" customWidth="1"/>
    <col min="4" max="4" width="13.125" customWidth="1"/>
    <col min="5" max="5" width="15" customWidth="1"/>
    <col min="7" max="7" width="13.125" customWidth="1"/>
    <col min="8" max="8" width="9.875" customWidth="1"/>
    <col min="10" max="10" width="12.875" bestFit="1" customWidth="1"/>
  </cols>
  <sheetData>
    <row r="2" spans="2:10">
      <c r="B2" s="5" t="s">
        <v>21</v>
      </c>
    </row>
    <row r="4" spans="2:10" ht="17.25" thickBot="1">
      <c r="B4" t="s">
        <v>2</v>
      </c>
      <c r="C4" s="1">
        <v>1000</v>
      </c>
      <c r="D4" t="s">
        <v>5</v>
      </c>
    </row>
    <row r="5" spans="2:10" ht="17.25" thickTop="1">
      <c r="B5" t="s">
        <v>22</v>
      </c>
      <c r="C5" s="1">
        <v>43.2</v>
      </c>
      <c r="D5" t="s">
        <v>5</v>
      </c>
      <c r="G5" s="11" t="s">
        <v>64</v>
      </c>
      <c r="H5" s="12"/>
      <c r="I5" s="12"/>
      <c r="J5" s="13"/>
    </row>
    <row r="6" spans="2:10">
      <c r="G6" s="14"/>
      <c r="H6" s="10"/>
      <c r="I6" s="10"/>
      <c r="J6" s="15"/>
    </row>
    <row r="7" spans="2:10">
      <c r="B7" t="s">
        <v>24</v>
      </c>
      <c r="C7" s="1">
        <v>4.3</v>
      </c>
      <c r="D7" t="s">
        <v>18</v>
      </c>
      <c r="G7" s="14" t="s">
        <v>60</v>
      </c>
      <c r="H7" s="10" t="s">
        <v>66</v>
      </c>
      <c r="I7" s="20" t="s">
        <v>13</v>
      </c>
      <c r="J7" s="15" t="s">
        <v>65</v>
      </c>
    </row>
    <row r="8" spans="2:10">
      <c r="B8" t="s">
        <v>23</v>
      </c>
      <c r="C8" s="1">
        <v>2.7</v>
      </c>
      <c r="D8" t="s">
        <v>18</v>
      </c>
      <c r="G8" s="16">
        <v>50</v>
      </c>
      <c r="H8" s="10">
        <f>G8/(C4+C5)*C5</f>
        <v>2.0705521472392641</v>
      </c>
      <c r="I8" s="10">
        <f>ROUND(H8*1000/C16,0)</f>
        <v>848</v>
      </c>
      <c r="J8" s="15">
        <f>I8+C17</f>
        <v>843</v>
      </c>
    </row>
    <row r="9" spans="2:10">
      <c r="B9" s="4" t="s">
        <v>27</v>
      </c>
      <c r="C9" s="1">
        <v>13</v>
      </c>
      <c r="G9" s="14"/>
      <c r="H9" s="10"/>
      <c r="I9" s="10"/>
      <c r="J9" s="15"/>
    </row>
    <row r="10" spans="2:10">
      <c r="B10" t="s">
        <v>25</v>
      </c>
      <c r="C10" s="1">
        <f>C7*C9</f>
        <v>55.9</v>
      </c>
      <c r="D10" t="s">
        <v>18</v>
      </c>
      <c r="G10" s="14" t="s">
        <v>57</v>
      </c>
      <c r="H10" s="10" t="s">
        <v>65</v>
      </c>
      <c r="I10" s="10" t="s">
        <v>58</v>
      </c>
      <c r="J10" s="15" t="s">
        <v>59</v>
      </c>
    </row>
    <row r="11" spans="2:10" ht="17.25" thickBot="1">
      <c r="B11" t="s">
        <v>26</v>
      </c>
      <c r="C11" s="1">
        <f>C8*C9</f>
        <v>35.1</v>
      </c>
      <c r="D11" t="s">
        <v>18</v>
      </c>
      <c r="G11" s="17">
        <v>758</v>
      </c>
      <c r="H11" s="18">
        <f>G11-C17</f>
        <v>763</v>
      </c>
      <c r="I11" s="18">
        <f>H11*C16</f>
        <v>1862.79296875</v>
      </c>
      <c r="J11" s="19">
        <f>I11/C5*(C4+C5)/1000</f>
        <v>44.983000578703702</v>
      </c>
    </row>
    <row r="12" spans="2:10" ht="17.25" thickTop="1"/>
    <row r="13" spans="2:10">
      <c r="B13" s="5" t="s">
        <v>14</v>
      </c>
    </row>
    <row r="14" spans="2:10">
      <c r="B14" t="s">
        <v>15</v>
      </c>
      <c r="C14" s="1">
        <v>10</v>
      </c>
      <c r="D14" t="s">
        <v>16</v>
      </c>
      <c r="E14" s="1">
        <f>2^C14</f>
        <v>1024</v>
      </c>
      <c r="H14" t="s">
        <v>32</v>
      </c>
    </row>
    <row r="15" spans="2:10">
      <c r="B15" t="s">
        <v>17</v>
      </c>
      <c r="C15" s="1">
        <v>2.5</v>
      </c>
      <c r="D15" t="s">
        <v>18</v>
      </c>
      <c r="H15" s="2" t="s">
        <v>34</v>
      </c>
      <c r="I15" s="2"/>
      <c r="J15" s="2"/>
    </row>
    <row r="16" spans="2:10">
      <c r="B16" t="s">
        <v>20</v>
      </c>
      <c r="C16">
        <f>C15/E14*1000</f>
        <v>2.44140625</v>
      </c>
      <c r="D16" t="s">
        <v>19</v>
      </c>
    </row>
    <row r="17" spans="2:10">
      <c r="B17" t="s">
        <v>61</v>
      </c>
      <c r="C17" s="1">
        <v>-5</v>
      </c>
      <c r="D17" t="s">
        <v>62</v>
      </c>
    </row>
    <row r="19" spans="2:10">
      <c r="C19" t="s">
        <v>28</v>
      </c>
      <c r="D19" t="s">
        <v>30</v>
      </c>
      <c r="E19" t="s">
        <v>29</v>
      </c>
      <c r="F19" t="s">
        <v>13</v>
      </c>
      <c r="G19" t="s">
        <v>63</v>
      </c>
      <c r="H19" t="s">
        <v>32</v>
      </c>
      <c r="J19" t="s">
        <v>33</v>
      </c>
    </row>
    <row r="20" spans="2:10">
      <c r="C20">
        <v>0</v>
      </c>
      <c r="D20">
        <f>C20/($C$4+$C$5)*$C$5</f>
        <v>0</v>
      </c>
      <c r="E20">
        <f>D20*1000</f>
        <v>0</v>
      </c>
      <c r="F20">
        <f>ROUNDDOWN(E20/$C$16,0)</f>
        <v>0</v>
      </c>
      <c r="G20">
        <f>F20+$C$17</f>
        <v>-5</v>
      </c>
      <c r="H20" t="e">
        <f>F20/(C20*1000)</f>
        <v>#DIV/0!</v>
      </c>
      <c r="J20" t="e">
        <f>F20/(C20*100)</f>
        <v>#DIV/0!</v>
      </c>
    </row>
    <row r="21" spans="2:10">
      <c r="C21">
        <v>1</v>
      </c>
      <c r="D21">
        <f t="shared" ref="D21:D82" si="0">C21/($C$4+$C$5)*$C$5</f>
        <v>4.141104294478528E-2</v>
      </c>
      <c r="E21">
        <f t="shared" ref="E21:E82" si="1">D21*1000</f>
        <v>41.411042944785279</v>
      </c>
      <c r="F21">
        <f t="shared" ref="F21:F82" si="2">ROUNDDOWN(E21/$C$16,0)</f>
        <v>16</v>
      </c>
      <c r="G21">
        <f>F21+$C$17</f>
        <v>11</v>
      </c>
      <c r="H21">
        <f t="shared" ref="H21:H36" si="3">F21/(C21*1000)</f>
        <v>1.6E-2</v>
      </c>
      <c r="I21">
        <f>G21/(C21*1000)</f>
        <v>1.0999999999999999E-2</v>
      </c>
      <c r="J21">
        <f t="shared" ref="J21:J36" si="4">F21/(C21*100)</f>
        <v>0.16</v>
      </c>
    </row>
    <row r="22" spans="2:10">
      <c r="C22">
        <v>2</v>
      </c>
      <c r="D22">
        <f t="shared" si="0"/>
        <v>8.282208588957056E-2</v>
      </c>
      <c r="E22">
        <f t="shared" si="1"/>
        <v>82.822085889570559</v>
      </c>
      <c r="F22">
        <f t="shared" si="2"/>
        <v>33</v>
      </c>
      <c r="G22">
        <f t="shared" ref="G22:G82" si="5">F22+$C$17</f>
        <v>28</v>
      </c>
      <c r="H22">
        <f t="shared" si="3"/>
        <v>1.6500000000000001E-2</v>
      </c>
      <c r="I22">
        <f t="shared" ref="I22:I82" si="6">G22/(C22*1000)</f>
        <v>1.4E-2</v>
      </c>
      <c r="J22">
        <f t="shared" si="4"/>
        <v>0.16500000000000001</v>
      </c>
    </row>
    <row r="23" spans="2:10">
      <c r="C23">
        <v>3</v>
      </c>
      <c r="D23">
        <f t="shared" si="0"/>
        <v>0.12423312883435583</v>
      </c>
      <c r="E23">
        <f t="shared" si="1"/>
        <v>124.23312883435584</v>
      </c>
      <c r="F23">
        <f t="shared" si="2"/>
        <v>50</v>
      </c>
      <c r="G23">
        <f t="shared" si="5"/>
        <v>45</v>
      </c>
      <c r="H23">
        <f t="shared" si="3"/>
        <v>1.6666666666666666E-2</v>
      </c>
      <c r="I23">
        <f t="shared" si="6"/>
        <v>1.4999999999999999E-2</v>
      </c>
      <c r="J23">
        <f t="shared" si="4"/>
        <v>0.16666666666666666</v>
      </c>
    </row>
    <row r="24" spans="2:10">
      <c r="C24">
        <v>4</v>
      </c>
      <c r="D24">
        <f t="shared" si="0"/>
        <v>0.16564417177914112</v>
      </c>
      <c r="E24">
        <f t="shared" si="1"/>
        <v>165.64417177914112</v>
      </c>
      <c r="F24">
        <f t="shared" si="2"/>
        <v>67</v>
      </c>
      <c r="G24">
        <f t="shared" si="5"/>
        <v>62</v>
      </c>
      <c r="H24">
        <f t="shared" si="3"/>
        <v>1.6750000000000001E-2</v>
      </c>
      <c r="I24">
        <f t="shared" si="6"/>
        <v>1.55E-2</v>
      </c>
      <c r="J24">
        <f t="shared" si="4"/>
        <v>0.16750000000000001</v>
      </c>
    </row>
    <row r="25" spans="2:10">
      <c r="C25">
        <v>5</v>
      </c>
      <c r="D25">
        <f t="shared" si="0"/>
        <v>0.20705521472392641</v>
      </c>
      <c r="E25">
        <f t="shared" si="1"/>
        <v>207.05521472392641</v>
      </c>
      <c r="F25">
        <f t="shared" si="2"/>
        <v>84</v>
      </c>
      <c r="G25">
        <f t="shared" si="5"/>
        <v>79</v>
      </c>
      <c r="H25">
        <f t="shared" si="3"/>
        <v>1.6799999999999999E-2</v>
      </c>
      <c r="I25">
        <f t="shared" si="6"/>
        <v>1.5800000000000002E-2</v>
      </c>
      <c r="J25">
        <f t="shared" si="4"/>
        <v>0.16800000000000001</v>
      </c>
    </row>
    <row r="26" spans="2:10">
      <c r="C26">
        <v>6</v>
      </c>
      <c r="D26">
        <f t="shared" si="0"/>
        <v>0.24846625766871167</v>
      </c>
      <c r="E26">
        <f t="shared" si="1"/>
        <v>248.46625766871168</v>
      </c>
      <c r="F26">
        <f t="shared" si="2"/>
        <v>101</v>
      </c>
      <c r="G26">
        <f t="shared" si="5"/>
        <v>96</v>
      </c>
      <c r="H26">
        <f t="shared" si="3"/>
        <v>1.6833333333333332E-2</v>
      </c>
      <c r="I26">
        <f t="shared" si="6"/>
        <v>1.6E-2</v>
      </c>
      <c r="J26">
        <f t="shared" si="4"/>
        <v>0.16833333333333333</v>
      </c>
    </row>
    <row r="27" spans="2:10">
      <c r="C27">
        <v>7</v>
      </c>
      <c r="D27">
        <f t="shared" si="0"/>
        <v>0.28987730061349692</v>
      </c>
      <c r="E27">
        <f t="shared" si="1"/>
        <v>289.87730061349691</v>
      </c>
      <c r="F27">
        <f t="shared" si="2"/>
        <v>118</v>
      </c>
      <c r="G27">
        <f t="shared" si="5"/>
        <v>113</v>
      </c>
      <c r="H27">
        <f t="shared" si="3"/>
        <v>1.6857142857142859E-2</v>
      </c>
      <c r="I27">
        <f t="shared" si="6"/>
        <v>1.6142857142857143E-2</v>
      </c>
      <c r="J27">
        <f t="shared" si="4"/>
        <v>0.16857142857142857</v>
      </c>
    </row>
    <row r="28" spans="2:10">
      <c r="C28">
        <v>8</v>
      </c>
      <c r="D28">
        <f t="shared" si="0"/>
        <v>0.33128834355828224</v>
      </c>
      <c r="E28">
        <f t="shared" si="1"/>
        <v>331.28834355828224</v>
      </c>
      <c r="F28">
        <f t="shared" si="2"/>
        <v>135</v>
      </c>
      <c r="G28">
        <f t="shared" si="5"/>
        <v>130</v>
      </c>
      <c r="H28">
        <f t="shared" si="3"/>
        <v>1.6875000000000001E-2</v>
      </c>
      <c r="I28">
        <f t="shared" si="6"/>
        <v>1.6250000000000001E-2</v>
      </c>
      <c r="J28">
        <f t="shared" si="4"/>
        <v>0.16875000000000001</v>
      </c>
    </row>
    <row r="29" spans="2:10">
      <c r="C29">
        <v>9</v>
      </c>
      <c r="D29">
        <f t="shared" si="0"/>
        <v>0.37269938650306744</v>
      </c>
      <c r="E29">
        <f t="shared" si="1"/>
        <v>372.69938650306744</v>
      </c>
      <c r="F29">
        <f t="shared" si="2"/>
        <v>152</v>
      </c>
      <c r="G29">
        <f t="shared" si="5"/>
        <v>147</v>
      </c>
      <c r="H29">
        <f t="shared" si="3"/>
        <v>1.6888888888888887E-2</v>
      </c>
      <c r="I29">
        <f t="shared" si="6"/>
        <v>1.6333333333333332E-2</v>
      </c>
      <c r="J29">
        <f t="shared" si="4"/>
        <v>0.16888888888888889</v>
      </c>
    </row>
    <row r="30" spans="2:10">
      <c r="C30">
        <v>10</v>
      </c>
      <c r="D30">
        <f t="shared" si="0"/>
        <v>0.41411042944785281</v>
      </c>
      <c r="E30">
        <f t="shared" si="1"/>
        <v>414.11042944785282</v>
      </c>
      <c r="F30">
        <f t="shared" si="2"/>
        <v>169</v>
      </c>
      <c r="G30">
        <f t="shared" si="5"/>
        <v>164</v>
      </c>
      <c r="H30">
        <f t="shared" si="3"/>
        <v>1.6899999999999998E-2</v>
      </c>
      <c r="I30">
        <f t="shared" si="6"/>
        <v>1.6400000000000001E-2</v>
      </c>
      <c r="J30">
        <f t="shared" si="4"/>
        <v>0.16900000000000001</v>
      </c>
    </row>
    <row r="31" spans="2:10">
      <c r="C31">
        <v>11</v>
      </c>
      <c r="D31">
        <f t="shared" si="0"/>
        <v>0.45552147239263807</v>
      </c>
      <c r="E31">
        <f t="shared" si="1"/>
        <v>455.52147239263809</v>
      </c>
      <c r="F31">
        <f t="shared" si="2"/>
        <v>186</v>
      </c>
      <c r="G31">
        <f t="shared" si="5"/>
        <v>181</v>
      </c>
      <c r="H31">
        <f t="shared" si="3"/>
        <v>1.6909090909090908E-2</v>
      </c>
      <c r="I31">
        <f t="shared" si="6"/>
        <v>1.6454545454545454E-2</v>
      </c>
      <c r="J31">
        <f t="shared" si="4"/>
        <v>0.1690909090909091</v>
      </c>
    </row>
    <row r="32" spans="2:10">
      <c r="C32">
        <v>12</v>
      </c>
      <c r="D32">
        <f t="shared" si="0"/>
        <v>0.49693251533742333</v>
      </c>
      <c r="E32">
        <f t="shared" si="1"/>
        <v>496.93251533742335</v>
      </c>
      <c r="F32">
        <f t="shared" si="2"/>
        <v>203</v>
      </c>
      <c r="G32">
        <f t="shared" si="5"/>
        <v>198</v>
      </c>
      <c r="H32">
        <f t="shared" si="3"/>
        <v>1.6916666666666667E-2</v>
      </c>
      <c r="I32">
        <f t="shared" si="6"/>
        <v>1.6500000000000001E-2</v>
      </c>
      <c r="J32">
        <f t="shared" si="4"/>
        <v>0.16916666666666666</v>
      </c>
    </row>
    <row r="33" spans="3:10">
      <c r="C33">
        <v>13</v>
      </c>
      <c r="D33">
        <f t="shared" si="0"/>
        <v>0.53834355828220859</v>
      </c>
      <c r="E33">
        <f t="shared" si="1"/>
        <v>538.34355828220862</v>
      </c>
      <c r="F33">
        <f t="shared" si="2"/>
        <v>220</v>
      </c>
      <c r="G33">
        <f t="shared" si="5"/>
        <v>215</v>
      </c>
      <c r="H33">
        <f t="shared" si="3"/>
        <v>1.6923076923076923E-2</v>
      </c>
      <c r="I33">
        <f t="shared" si="6"/>
        <v>1.653846153846154E-2</v>
      </c>
      <c r="J33">
        <f t="shared" si="4"/>
        <v>0.16923076923076924</v>
      </c>
    </row>
    <row r="34" spans="3:10">
      <c r="C34">
        <v>14</v>
      </c>
      <c r="D34">
        <f t="shared" si="0"/>
        <v>0.57975460122699385</v>
      </c>
      <c r="E34">
        <f t="shared" si="1"/>
        <v>579.75460122699383</v>
      </c>
      <c r="F34">
        <f t="shared" si="2"/>
        <v>237</v>
      </c>
      <c r="G34">
        <f t="shared" si="5"/>
        <v>232</v>
      </c>
      <c r="H34">
        <f t="shared" si="3"/>
        <v>1.6928571428571428E-2</v>
      </c>
      <c r="I34">
        <f t="shared" si="6"/>
        <v>1.657142857142857E-2</v>
      </c>
      <c r="J34">
        <f t="shared" si="4"/>
        <v>0.16928571428571429</v>
      </c>
    </row>
    <row r="35" spans="3:10">
      <c r="C35">
        <v>15</v>
      </c>
      <c r="D35" s="2">
        <f t="shared" si="0"/>
        <v>0.62116564417177911</v>
      </c>
      <c r="E35">
        <f t="shared" si="1"/>
        <v>621.16564417177915</v>
      </c>
      <c r="F35">
        <f t="shared" si="2"/>
        <v>254</v>
      </c>
      <c r="G35">
        <f t="shared" si="5"/>
        <v>249</v>
      </c>
      <c r="H35">
        <f t="shared" si="3"/>
        <v>1.6933333333333335E-2</v>
      </c>
      <c r="I35">
        <f t="shared" si="6"/>
        <v>1.66E-2</v>
      </c>
      <c r="J35">
        <f t="shared" si="4"/>
        <v>0.16933333333333334</v>
      </c>
    </row>
    <row r="36" spans="3:10">
      <c r="C36">
        <v>16</v>
      </c>
      <c r="D36">
        <f t="shared" si="0"/>
        <v>0.66257668711656448</v>
      </c>
      <c r="E36">
        <f t="shared" si="1"/>
        <v>662.57668711656447</v>
      </c>
      <c r="F36">
        <f t="shared" si="2"/>
        <v>271</v>
      </c>
      <c r="G36">
        <f t="shared" si="5"/>
        <v>266</v>
      </c>
      <c r="H36">
        <f t="shared" si="3"/>
        <v>1.6937500000000001E-2</v>
      </c>
      <c r="I36">
        <f t="shared" si="6"/>
        <v>1.6625000000000001E-2</v>
      </c>
      <c r="J36">
        <f t="shared" si="4"/>
        <v>0.169375</v>
      </c>
    </row>
    <row r="37" spans="3:10">
      <c r="C37">
        <v>17</v>
      </c>
      <c r="D37">
        <f t="shared" si="0"/>
        <v>0.70398773006134974</v>
      </c>
      <c r="E37">
        <f t="shared" si="1"/>
        <v>703.98773006134979</v>
      </c>
      <c r="F37">
        <f t="shared" si="2"/>
        <v>288</v>
      </c>
      <c r="G37">
        <f t="shared" si="5"/>
        <v>283</v>
      </c>
      <c r="H37">
        <f t="shared" ref="H37:H82" si="7">F37/(C37*1000)</f>
        <v>1.6941176470588234E-2</v>
      </c>
      <c r="I37">
        <f t="shared" si="6"/>
        <v>1.6647058823529411E-2</v>
      </c>
      <c r="J37">
        <f t="shared" ref="J37:J82" si="8">F37/(C37*100)</f>
        <v>0.16941176470588235</v>
      </c>
    </row>
    <row r="38" spans="3:10">
      <c r="C38">
        <v>18</v>
      </c>
      <c r="D38">
        <f t="shared" si="0"/>
        <v>0.74539877300613488</v>
      </c>
      <c r="E38">
        <f t="shared" si="1"/>
        <v>745.39877300613489</v>
      </c>
      <c r="F38">
        <f t="shared" si="2"/>
        <v>305</v>
      </c>
      <c r="G38">
        <f t="shared" si="5"/>
        <v>300</v>
      </c>
      <c r="H38">
        <f t="shared" si="7"/>
        <v>1.6944444444444446E-2</v>
      </c>
      <c r="I38">
        <f t="shared" si="6"/>
        <v>1.6666666666666666E-2</v>
      </c>
      <c r="J38">
        <f t="shared" si="8"/>
        <v>0.16944444444444445</v>
      </c>
    </row>
    <row r="39" spans="3:10">
      <c r="C39">
        <v>19</v>
      </c>
      <c r="D39">
        <f t="shared" si="0"/>
        <v>0.78680981595092025</v>
      </c>
      <c r="E39">
        <f t="shared" si="1"/>
        <v>786.80981595092021</v>
      </c>
      <c r="F39">
        <f t="shared" si="2"/>
        <v>322</v>
      </c>
      <c r="G39">
        <f t="shared" si="5"/>
        <v>317</v>
      </c>
      <c r="H39">
        <f t="shared" si="7"/>
        <v>1.6947368421052631E-2</v>
      </c>
      <c r="I39">
        <f t="shared" si="6"/>
        <v>1.6684210526315791E-2</v>
      </c>
      <c r="J39">
        <f t="shared" si="8"/>
        <v>0.1694736842105263</v>
      </c>
    </row>
    <row r="40" spans="3:10">
      <c r="C40">
        <v>20</v>
      </c>
      <c r="D40">
        <f t="shared" si="0"/>
        <v>0.82822085889570563</v>
      </c>
      <c r="E40">
        <f t="shared" si="1"/>
        <v>828.22085889570565</v>
      </c>
      <c r="F40">
        <f t="shared" si="2"/>
        <v>339</v>
      </c>
      <c r="G40">
        <f t="shared" si="5"/>
        <v>334</v>
      </c>
      <c r="H40">
        <f t="shared" si="7"/>
        <v>1.695E-2</v>
      </c>
      <c r="I40">
        <f t="shared" si="6"/>
        <v>1.67E-2</v>
      </c>
      <c r="J40">
        <f t="shared" si="8"/>
        <v>0.16950000000000001</v>
      </c>
    </row>
    <row r="41" spans="3:10">
      <c r="C41">
        <v>21</v>
      </c>
      <c r="D41">
        <f t="shared" si="0"/>
        <v>0.86963190184049077</v>
      </c>
      <c r="E41">
        <f t="shared" si="1"/>
        <v>869.63190184049074</v>
      </c>
      <c r="F41">
        <f t="shared" si="2"/>
        <v>356</v>
      </c>
      <c r="G41">
        <f t="shared" si="5"/>
        <v>351</v>
      </c>
      <c r="H41">
        <f t="shared" si="7"/>
        <v>1.6952380952380951E-2</v>
      </c>
      <c r="I41">
        <f t="shared" si="6"/>
        <v>1.6714285714285713E-2</v>
      </c>
      <c r="J41">
        <f t="shared" si="8"/>
        <v>0.16952380952380952</v>
      </c>
    </row>
    <row r="42" spans="3:10">
      <c r="C42">
        <v>22</v>
      </c>
      <c r="D42">
        <f t="shared" si="0"/>
        <v>0.91104294478527614</v>
      </c>
      <c r="E42">
        <f t="shared" si="1"/>
        <v>911.04294478527618</v>
      </c>
      <c r="F42">
        <f t="shared" si="2"/>
        <v>373</v>
      </c>
      <c r="G42">
        <f t="shared" si="5"/>
        <v>368</v>
      </c>
      <c r="H42">
        <f t="shared" si="7"/>
        <v>1.6954545454545455E-2</v>
      </c>
      <c r="I42">
        <f t="shared" si="6"/>
        <v>1.6727272727272726E-2</v>
      </c>
      <c r="J42">
        <f t="shared" si="8"/>
        <v>0.16954545454545455</v>
      </c>
    </row>
    <row r="43" spans="3:10">
      <c r="C43">
        <v>23</v>
      </c>
      <c r="D43">
        <f t="shared" si="0"/>
        <v>0.95245398773006129</v>
      </c>
      <c r="E43">
        <f t="shared" si="1"/>
        <v>952.45398773006127</v>
      </c>
      <c r="F43">
        <f t="shared" si="2"/>
        <v>390</v>
      </c>
      <c r="G43">
        <f t="shared" si="5"/>
        <v>385</v>
      </c>
      <c r="H43">
        <f t="shared" si="7"/>
        <v>1.6956521739130436E-2</v>
      </c>
      <c r="I43">
        <f t="shared" si="6"/>
        <v>1.6739130434782607E-2</v>
      </c>
      <c r="J43">
        <f t="shared" si="8"/>
        <v>0.16956521739130434</v>
      </c>
    </row>
    <row r="44" spans="3:10">
      <c r="C44">
        <v>24</v>
      </c>
      <c r="D44">
        <f t="shared" si="0"/>
        <v>0.99386503067484666</v>
      </c>
      <c r="E44">
        <f t="shared" si="1"/>
        <v>993.86503067484671</v>
      </c>
      <c r="F44">
        <f t="shared" si="2"/>
        <v>407</v>
      </c>
      <c r="G44">
        <f t="shared" si="5"/>
        <v>402</v>
      </c>
      <c r="H44">
        <f t="shared" si="7"/>
        <v>1.6958333333333332E-2</v>
      </c>
      <c r="I44">
        <f t="shared" si="6"/>
        <v>1.6750000000000001E-2</v>
      </c>
      <c r="J44">
        <f t="shared" si="8"/>
        <v>0.16958333333333334</v>
      </c>
    </row>
    <row r="45" spans="3:10">
      <c r="C45">
        <v>25</v>
      </c>
      <c r="D45">
        <f t="shared" si="0"/>
        <v>1.035276073619632</v>
      </c>
      <c r="E45">
        <f t="shared" si="1"/>
        <v>1035.2760736196321</v>
      </c>
      <c r="F45">
        <f t="shared" si="2"/>
        <v>424</v>
      </c>
      <c r="G45">
        <f t="shared" si="5"/>
        <v>419</v>
      </c>
      <c r="H45">
        <f t="shared" si="7"/>
        <v>1.6959999999999999E-2</v>
      </c>
      <c r="I45">
        <f t="shared" si="6"/>
        <v>1.6760000000000001E-2</v>
      </c>
      <c r="J45">
        <f t="shared" si="8"/>
        <v>0.1696</v>
      </c>
    </row>
    <row r="46" spans="3:10">
      <c r="C46">
        <v>26</v>
      </c>
      <c r="D46">
        <f t="shared" si="0"/>
        <v>1.0766871165644172</v>
      </c>
      <c r="E46">
        <f t="shared" si="1"/>
        <v>1076.6871165644172</v>
      </c>
      <c r="F46">
        <f t="shared" si="2"/>
        <v>441</v>
      </c>
      <c r="G46">
        <f t="shared" si="5"/>
        <v>436</v>
      </c>
      <c r="H46">
        <f t="shared" si="7"/>
        <v>1.6961538461538462E-2</v>
      </c>
      <c r="I46">
        <f t="shared" si="6"/>
        <v>1.6769230769230769E-2</v>
      </c>
      <c r="J46">
        <f t="shared" si="8"/>
        <v>0.16961538461538461</v>
      </c>
    </row>
    <row r="47" spans="3:10">
      <c r="C47">
        <v>27</v>
      </c>
      <c r="D47">
        <f t="shared" si="0"/>
        <v>1.1180981595092025</v>
      </c>
      <c r="E47">
        <f t="shared" si="1"/>
        <v>1118.0981595092026</v>
      </c>
      <c r="F47">
        <f t="shared" si="2"/>
        <v>457</v>
      </c>
      <c r="G47">
        <f t="shared" si="5"/>
        <v>452</v>
      </c>
      <c r="H47">
        <f t="shared" si="7"/>
        <v>1.6925925925925928E-2</v>
      </c>
      <c r="I47">
        <f t="shared" si="6"/>
        <v>1.674074074074074E-2</v>
      </c>
      <c r="J47">
        <f t="shared" si="8"/>
        <v>0.16925925925925925</v>
      </c>
    </row>
    <row r="48" spans="3:10">
      <c r="C48">
        <v>28</v>
      </c>
      <c r="D48">
        <f t="shared" si="0"/>
        <v>1.1595092024539877</v>
      </c>
      <c r="E48">
        <f t="shared" si="1"/>
        <v>1159.5092024539877</v>
      </c>
      <c r="F48">
        <f t="shared" si="2"/>
        <v>474</v>
      </c>
      <c r="G48">
        <f t="shared" si="5"/>
        <v>469</v>
      </c>
      <c r="H48">
        <f t="shared" si="7"/>
        <v>1.6928571428571428E-2</v>
      </c>
      <c r="I48">
        <f t="shared" si="6"/>
        <v>1.6750000000000001E-2</v>
      </c>
      <c r="J48">
        <f t="shared" si="8"/>
        <v>0.16928571428571429</v>
      </c>
    </row>
    <row r="49" spans="3:10">
      <c r="C49">
        <v>29</v>
      </c>
      <c r="D49">
        <f t="shared" si="0"/>
        <v>1.2009202453987731</v>
      </c>
      <c r="E49">
        <f t="shared" si="1"/>
        <v>1200.920245398773</v>
      </c>
      <c r="F49">
        <f t="shared" si="2"/>
        <v>491</v>
      </c>
      <c r="G49">
        <f t="shared" si="5"/>
        <v>486</v>
      </c>
      <c r="H49">
        <f t="shared" si="7"/>
        <v>1.6931034482758622E-2</v>
      </c>
      <c r="I49">
        <f t="shared" si="6"/>
        <v>1.6758620689655172E-2</v>
      </c>
      <c r="J49">
        <f t="shared" si="8"/>
        <v>0.1693103448275862</v>
      </c>
    </row>
    <row r="50" spans="3:10">
      <c r="C50">
        <v>30</v>
      </c>
      <c r="D50">
        <f t="shared" si="0"/>
        <v>1.2423312883435582</v>
      </c>
      <c r="E50">
        <f t="shared" si="1"/>
        <v>1242.3312883435583</v>
      </c>
      <c r="F50">
        <f t="shared" si="2"/>
        <v>508</v>
      </c>
      <c r="G50">
        <f t="shared" si="5"/>
        <v>503</v>
      </c>
      <c r="H50">
        <f t="shared" si="7"/>
        <v>1.6933333333333335E-2</v>
      </c>
      <c r="I50">
        <f t="shared" si="6"/>
        <v>1.6766666666666666E-2</v>
      </c>
      <c r="J50">
        <f t="shared" si="8"/>
        <v>0.16933333333333334</v>
      </c>
    </row>
    <row r="51" spans="3:10">
      <c r="C51">
        <v>31</v>
      </c>
      <c r="D51">
        <f t="shared" si="0"/>
        <v>1.2837423312883436</v>
      </c>
      <c r="E51">
        <f t="shared" si="1"/>
        <v>1283.7423312883436</v>
      </c>
      <c r="F51">
        <f t="shared" si="2"/>
        <v>525</v>
      </c>
      <c r="G51">
        <f t="shared" si="5"/>
        <v>520</v>
      </c>
      <c r="H51">
        <f t="shared" si="7"/>
        <v>1.6935483870967744E-2</v>
      </c>
      <c r="I51">
        <f t="shared" si="6"/>
        <v>1.6774193548387096E-2</v>
      </c>
      <c r="J51">
        <f t="shared" si="8"/>
        <v>0.16935483870967741</v>
      </c>
    </row>
    <row r="52" spans="3:10">
      <c r="C52">
        <v>32</v>
      </c>
      <c r="D52">
        <f t="shared" si="0"/>
        <v>1.325153374233129</v>
      </c>
      <c r="E52">
        <f t="shared" si="1"/>
        <v>1325.1533742331289</v>
      </c>
      <c r="F52">
        <f t="shared" si="2"/>
        <v>542</v>
      </c>
      <c r="G52">
        <f t="shared" si="5"/>
        <v>537</v>
      </c>
      <c r="H52">
        <f t="shared" si="7"/>
        <v>1.6937500000000001E-2</v>
      </c>
      <c r="I52">
        <f t="shared" si="6"/>
        <v>1.6781250000000001E-2</v>
      </c>
      <c r="J52">
        <f t="shared" si="8"/>
        <v>0.169375</v>
      </c>
    </row>
    <row r="53" spans="3:10">
      <c r="C53">
        <v>33</v>
      </c>
      <c r="D53">
        <f t="shared" si="0"/>
        <v>1.3665644171779141</v>
      </c>
      <c r="E53">
        <f t="shared" si="1"/>
        <v>1366.564417177914</v>
      </c>
      <c r="F53">
        <f t="shared" si="2"/>
        <v>559</v>
      </c>
      <c r="G53">
        <f t="shared" si="5"/>
        <v>554</v>
      </c>
      <c r="H53">
        <f t="shared" si="7"/>
        <v>1.6939393939393938E-2</v>
      </c>
      <c r="I53">
        <f t="shared" si="6"/>
        <v>1.6787878787878789E-2</v>
      </c>
      <c r="J53">
        <f t="shared" si="8"/>
        <v>0.1693939393939394</v>
      </c>
    </row>
    <row r="54" spans="3:10">
      <c r="C54">
        <v>34</v>
      </c>
      <c r="D54">
        <f t="shared" si="0"/>
        <v>1.4079754601226995</v>
      </c>
      <c r="E54">
        <f t="shared" si="1"/>
        <v>1407.9754601226996</v>
      </c>
      <c r="F54">
        <f t="shared" si="2"/>
        <v>576</v>
      </c>
      <c r="G54">
        <f t="shared" si="5"/>
        <v>571</v>
      </c>
      <c r="H54">
        <f t="shared" si="7"/>
        <v>1.6941176470588234E-2</v>
      </c>
      <c r="I54">
        <f t="shared" si="6"/>
        <v>1.6794117647058824E-2</v>
      </c>
      <c r="J54">
        <f t="shared" si="8"/>
        <v>0.16941176470588235</v>
      </c>
    </row>
    <row r="55" spans="3:10">
      <c r="C55">
        <v>35</v>
      </c>
      <c r="D55">
        <f t="shared" si="0"/>
        <v>1.4493865030674848</v>
      </c>
      <c r="E55">
        <f t="shared" si="1"/>
        <v>1449.3865030674849</v>
      </c>
      <c r="F55">
        <f t="shared" si="2"/>
        <v>593</v>
      </c>
      <c r="G55">
        <f t="shared" si="5"/>
        <v>588</v>
      </c>
      <c r="H55">
        <f t="shared" si="7"/>
        <v>1.6942857142857141E-2</v>
      </c>
      <c r="I55">
        <f t="shared" si="6"/>
        <v>1.6799999999999999E-2</v>
      </c>
      <c r="J55">
        <f t="shared" si="8"/>
        <v>0.16942857142857143</v>
      </c>
    </row>
    <row r="56" spans="3:10">
      <c r="C56">
        <v>36</v>
      </c>
      <c r="D56">
        <f t="shared" si="0"/>
        <v>1.4907975460122698</v>
      </c>
      <c r="E56">
        <f t="shared" si="1"/>
        <v>1490.7975460122698</v>
      </c>
      <c r="F56">
        <f t="shared" si="2"/>
        <v>610</v>
      </c>
      <c r="G56">
        <f t="shared" si="5"/>
        <v>605</v>
      </c>
      <c r="H56">
        <f t="shared" si="7"/>
        <v>1.6944444444444446E-2</v>
      </c>
      <c r="I56">
        <f t="shared" si="6"/>
        <v>1.6805555555555556E-2</v>
      </c>
      <c r="J56">
        <f t="shared" si="8"/>
        <v>0.16944444444444445</v>
      </c>
    </row>
    <row r="57" spans="3:10">
      <c r="C57">
        <v>37</v>
      </c>
      <c r="D57">
        <f t="shared" si="0"/>
        <v>1.5322085889570551</v>
      </c>
      <c r="E57">
        <f t="shared" si="1"/>
        <v>1532.2085889570551</v>
      </c>
      <c r="F57">
        <f t="shared" si="2"/>
        <v>627</v>
      </c>
      <c r="G57">
        <f t="shared" si="5"/>
        <v>622</v>
      </c>
      <c r="H57">
        <f t="shared" si="7"/>
        <v>1.6945945945945947E-2</v>
      </c>
      <c r="I57">
        <f t="shared" si="6"/>
        <v>1.681081081081081E-2</v>
      </c>
      <c r="J57">
        <f t="shared" si="8"/>
        <v>0.16945945945945945</v>
      </c>
    </row>
    <row r="58" spans="3:10">
      <c r="C58">
        <v>38</v>
      </c>
      <c r="D58">
        <f t="shared" si="0"/>
        <v>1.5736196319018405</v>
      </c>
      <c r="E58">
        <f t="shared" si="1"/>
        <v>1573.6196319018404</v>
      </c>
      <c r="F58">
        <f t="shared" si="2"/>
        <v>644</v>
      </c>
      <c r="G58">
        <f t="shared" si="5"/>
        <v>639</v>
      </c>
      <c r="H58">
        <f t="shared" si="7"/>
        <v>1.6947368421052631E-2</v>
      </c>
      <c r="I58">
        <f t="shared" si="6"/>
        <v>1.6815789473684211E-2</v>
      </c>
      <c r="J58">
        <f t="shared" si="8"/>
        <v>0.1694736842105263</v>
      </c>
    </row>
    <row r="59" spans="3:10">
      <c r="C59">
        <v>39</v>
      </c>
      <c r="D59">
        <f t="shared" si="0"/>
        <v>1.6150306748466259</v>
      </c>
      <c r="E59">
        <f t="shared" si="1"/>
        <v>1615.030674846626</v>
      </c>
      <c r="F59">
        <f t="shared" si="2"/>
        <v>661</v>
      </c>
      <c r="G59">
        <f t="shared" si="5"/>
        <v>656</v>
      </c>
      <c r="H59">
        <f t="shared" si="7"/>
        <v>1.694871794871795E-2</v>
      </c>
      <c r="I59">
        <f t="shared" si="6"/>
        <v>1.682051282051282E-2</v>
      </c>
      <c r="J59">
        <f t="shared" si="8"/>
        <v>0.16948717948717948</v>
      </c>
    </row>
    <row r="60" spans="3:10">
      <c r="C60">
        <v>40</v>
      </c>
      <c r="D60">
        <f t="shared" si="0"/>
        <v>1.6564417177914113</v>
      </c>
      <c r="E60">
        <f t="shared" si="1"/>
        <v>1656.4417177914113</v>
      </c>
      <c r="F60">
        <f t="shared" si="2"/>
        <v>678</v>
      </c>
      <c r="G60">
        <f t="shared" si="5"/>
        <v>673</v>
      </c>
      <c r="H60">
        <f t="shared" si="7"/>
        <v>1.695E-2</v>
      </c>
      <c r="I60">
        <f t="shared" si="6"/>
        <v>1.6825E-2</v>
      </c>
      <c r="J60">
        <f t="shared" si="8"/>
        <v>0.16950000000000001</v>
      </c>
    </row>
    <row r="61" spans="3:10">
      <c r="C61">
        <v>41</v>
      </c>
      <c r="D61">
        <f t="shared" si="0"/>
        <v>1.6978527607361962</v>
      </c>
      <c r="E61">
        <f t="shared" si="1"/>
        <v>1697.8527607361962</v>
      </c>
      <c r="F61">
        <f t="shared" si="2"/>
        <v>695</v>
      </c>
      <c r="G61">
        <f t="shared" si="5"/>
        <v>690</v>
      </c>
      <c r="H61">
        <f t="shared" si="7"/>
        <v>1.6951219512195123E-2</v>
      </c>
      <c r="I61">
        <f t="shared" si="6"/>
        <v>1.6829268292682928E-2</v>
      </c>
      <c r="J61">
        <f t="shared" si="8"/>
        <v>0.16951219512195123</v>
      </c>
    </row>
    <row r="62" spans="3:10">
      <c r="C62">
        <v>42</v>
      </c>
      <c r="D62">
        <f t="shared" si="0"/>
        <v>1.7392638036809815</v>
      </c>
      <c r="E62">
        <f t="shared" si="1"/>
        <v>1739.2638036809815</v>
      </c>
      <c r="F62">
        <f t="shared" si="2"/>
        <v>712</v>
      </c>
      <c r="G62">
        <f t="shared" si="5"/>
        <v>707</v>
      </c>
      <c r="H62">
        <f t="shared" si="7"/>
        <v>1.6952380952380951E-2</v>
      </c>
      <c r="I62">
        <f t="shared" si="6"/>
        <v>1.6833333333333332E-2</v>
      </c>
      <c r="J62">
        <f t="shared" si="8"/>
        <v>0.16952380952380952</v>
      </c>
    </row>
    <row r="63" spans="3:10">
      <c r="C63">
        <v>43</v>
      </c>
      <c r="D63">
        <f t="shared" si="0"/>
        <v>1.7806748466257669</v>
      </c>
      <c r="E63">
        <f t="shared" si="1"/>
        <v>1780.6748466257668</v>
      </c>
      <c r="F63">
        <f t="shared" si="2"/>
        <v>729</v>
      </c>
      <c r="G63">
        <f t="shared" si="5"/>
        <v>724</v>
      </c>
      <c r="H63">
        <f t="shared" si="7"/>
        <v>1.6953488372093022E-2</v>
      </c>
      <c r="I63">
        <f t="shared" si="6"/>
        <v>1.683720930232558E-2</v>
      </c>
      <c r="J63">
        <f t="shared" si="8"/>
        <v>0.16953488372093023</v>
      </c>
    </row>
    <row r="64" spans="3:10">
      <c r="C64">
        <v>44</v>
      </c>
      <c r="D64">
        <f t="shared" si="0"/>
        <v>1.8220858895705523</v>
      </c>
      <c r="E64">
        <f t="shared" si="1"/>
        <v>1822.0858895705524</v>
      </c>
      <c r="F64">
        <f t="shared" si="2"/>
        <v>746</v>
      </c>
      <c r="G64">
        <f t="shared" si="5"/>
        <v>741</v>
      </c>
      <c r="H64">
        <f t="shared" si="7"/>
        <v>1.6954545454545455E-2</v>
      </c>
      <c r="I64">
        <f t="shared" si="6"/>
        <v>1.684090909090909E-2</v>
      </c>
      <c r="J64">
        <f t="shared" si="8"/>
        <v>0.16954545454545455</v>
      </c>
    </row>
    <row r="65" spans="3:10">
      <c r="C65">
        <v>45</v>
      </c>
      <c r="D65">
        <f t="shared" si="0"/>
        <v>1.8634969325153377</v>
      </c>
      <c r="E65">
        <f t="shared" si="1"/>
        <v>1863.4969325153377</v>
      </c>
      <c r="F65">
        <f t="shared" si="2"/>
        <v>763</v>
      </c>
      <c r="G65">
        <f t="shared" si="5"/>
        <v>758</v>
      </c>
      <c r="H65">
        <f t="shared" si="7"/>
        <v>1.6955555555555557E-2</v>
      </c>
      <c r="I65">
        <f t="shared" si="6"/>
        <v>1.6844444444444443E-2</v>
      </c>
      <c r="J65">
        <f t="shared" si="8"/>
        <v>0.16955555555555554</v>
      </c>
    </row>
    <row r="66" spans="3:10">
      <c r="C66">
        <v>46</v>
      </c>
      <c r="D66">
        <f t="shared" si="0"/>
        <v>1.9049079754601226</v>
      </c>
      <c r="E66">
        <f t="shared" si="1"/>
        <v>1904.9079754601225</v>
      </c>
      <c r="F66">
        <f t="shared" si="2"/>
        <v>780</v>
      </c>
      <c r="G66">
        <f t="shared" si="5"/>
        <v>775</v>
      </c>
      <c r="H66">
        <f t="shared" si="7"/>
        <v>1.6956521739130436E-2</v>
      </c>
      <c r="I66">
        <f t="shared" si="6"/>
        <v>1.6847826086956522E-2</v>
      </c>
      <c r="J66">
        <f t="shared" si="8"/>
        <v>0.16956521739130434</v>
      </c>
    </row>
    <row r="67" spans="3:10">
      <c r="C67">
        <v>47</v>
      </c>
      <c r="D67">
        <f t="shared" si="0"/>
        <v>1.946319018404908</v>
      </c>
      <c r="E67">
        <f t="shared" si="1"/>
        <v>1946.3190184049079</v>
      </c>
      <c r="F67">
        <f t="shared" si="2"/>
        <v>797</v>
      </c>
      <c r="G67">
        <f t="shared" si="5"/>
        <v>792</v>
      </c>
      <c r="H67">
        <f t="shared" si="7"/>
        <v>1.6957446808510638E-2</v>
      </c>
      <c r="I67">
        <f t="shared" si="6"/>
        <v>1.6851063829787235E-2</v>
      </c>
      <c r="J67">
        <f t="shared" si="8"/>
        <v>0.16957446808510637</v>
      </c>
    </row>
    <row r="68" spans="3:10">
      <c r="C68">
        <v>48</v>
      </c>
      <c r="D68">
        <f t="shared" si="0"/>
        <v>1.9877300613496933</v>
      </c>
      <c r="E68">
        <f t="shared" si="1"/>
        <v>1987.7300613496934</v>
      </c>
      <c r="F68">
        <f t="shared" si="2"/>
        <v>814</v>
      </c>
      <c r="G68">
        <f t="shared" si="5"/>
        <v>809</v>
      </c>
      <c r="H68">
        <f t="shared" si="7"/>
        <v>1.6958333333333332E-2</v>
      </c>
      <c r="I68">
        <f t="shared" si="6"/>
        <v>1.6854166666666667E-2</v>
      </c>
      <c r="J68">
        <f t="shared" si="8"/>
        <v>0.16958333333333334</v>
      </c>
    </row>
    <row r="69" spans="3:10">
      <c r="C69">
        <v>49</v>
      </c>
      <c r="D69">
        <f t="shared" si="0"/>
        <v>2.0291411042944785</v>
      </c>
      <c r="E69">
        <f t="shared" si="1"/>
        <v>2029.1411042944785</v>
      </c>
      <c r="F69">
        <f t="shared" si="2"/>
        <v>831</v>
      </c>
      <c r="G69">
        <f t="shared" si="5"/>
        <v>826</v>
      </c>
      <c r="H69">
        <f t="shared" si="7"/>
        <v>1.6959183673469387E-2</v>
      </c>
      <c r="I69">
        <f t="shared" si="6"/>
        <v>1.6857142857142859E-2</v>
      </c>
      <c r="J69">
        <f t="shared" si="8"/>
        <v>0.16959183673469388</v>
      </c>
    </row>
    <row r="70" spans="3:10">
      <c r="C70">
        <v>50</v>
      </c>
      <c r="D70">
        <f t="shared" si="0"/>
        <v>2.0705521472392641</v>
      </c>
      <c r="E70">
        <f t="shared" si="1"/>
        <v>2070.5521472392643</v>
      </c>
      <c r="F70">
        <f t="shared" si="2"/>
        <v>848</v>
      </c>
      <c r="G70">
        <f t="shared" si="5"/>
        <v>843</v>
      </c>
      <c r="H70">
        <f t="shared" si="7"/>
        <v>1.6959999999999999E-2</v>
      </c>
      <c r="I70">
        <f t="shared" si="6"/>
        <v>1.686E-2</v>
      </c>
      <c r="J70">
        <f t="shared" si="8"/>
        <v>0.1696</v>
      </c>
    </row>
    <row r="71" spans="3:10">
      <c r="C71">
        <v>51</v>
      </c>
      <c r="D71">
        <f t="shared" si="0"/>
        <v>2.1119631901840492</v>
      </c>
      <c r="E71">
        <f t="shared" si="1"/>
        <v>2111.9631901840494</v>
      </c>
      <c r="F71">
        <f t="shared" si="2"/>
        <v>865</v>
      </c>
      <c r="G71">
        <f t="shared" si="5"/>
        <v>860</v>
      </c>
      <c r="H71">
        <f t="shared" si="7"/>
        <v>1.696078431372549E-2</v>
      </c>
      <c r="I71">
        <f t="shared" si="6"/>
        <v>1.6862745098039214E-2</v>
      </c>
      <c r="J71">
        <f t="shared" si="8"/>
        <v>0.16960784313725491</v>
      </c>
    </row>
    <row r="72" spans="3:10">
      <c r="C72">
        <v>52</v>
      </c>
      <c r="D72">
        <f t="shared" si="0"/>
        <v>2.1533742331288344</v>
      </c>
      <c r="E72">
        <f t="shared" si="1"/>
        <v>2153.3742331288345</v>
      </c>
      <c r="F72">
        <f t="shared" si="2"/>
        <v>882</v>
      </c>
      <c r="G72">
        <f t="shared" si="5"/>
        <v>877</v>
      </c>
      <c r="H72">
        <f t="shared" si="7"/>
        <v>1.6961538461538462E-2</v>
      </c>
      <c r="I72">
        <f t="shared" si="6"/>
        <v>1.6865384615384615E-2</v>
      </c>
      <c r="J72">
        <f t="shared" si="8"/>
        <v>0.16961538461538461</v>
      </c>
    </row>
    <row r="73" spans="3:10">
      <c r="C73">
        <v>53</v>
      </c>
      <c r="D73">
        <f t="shared" si="0"/>
        <v>2.1947852760736195</v>
      </c>
      <c r="E73">
        <f t="shared" si="1"/>
        <v>2194.7852760736196</v>
      </c>
      <c r="F73">
        <f t="shared" si="2"/>
        <v>898</v>
      </c>
      <c r="G73">
        <f t="shared" si="5"/>
        <v>893</v>
      </c>
      <c r="H73">
        <f t="shared" si="7"/>
        <v>1.6943396226415094E-2</v>
      </c>
      <c r="I73">
        <f t="shared" si="6"/>
        <v>1.6849056603773584E-2</v>
      </c>
      <c r="J73">
        <f t="shared" si="8"/>
        <v>0.16943396226415094</v>
      </c>
    </row>
    <row r="74" spans="3:10">
      <c r="C74">
        <v>54</v>
      </c>
      <c r="D74">
        <f t="shared" si="0"/>
        <v>2.2361963190184051</v>
      </c>
      <c r="E74">
        <f t="shared" si="1"/>
        <v>2236.1963190184051</v>
      </c>
      <c r="F74">
        <f t="shared" si="2"/>
        <v>915</v>
      </c>
      <c r="G74">
        <f t="shared" si="5"/>
        <v>910</v>
      </c>
      <c r="H74">
        <f t="shared" si="7"/>
        <v>1.6944444444444446E-2</v>
      </c>
      <c r="I74">
        <f t="shared" si="6"/>
        <v>1.6851851851851851E-2</v>
      </c>
      <c r="J74">
        <f t="shared" si="8"/>
        <v>0.16944444444444445</v>
      </c>
    </row>
    <row r="75" spans="3:10">
      <c r="C75">
        <v>55</v>
      </c>
      <c r="D75">
        <f t="shared" si="0"/>
        <v>2.2776073619631902</v>
      </c>
      <c r="E75">
        <f t="shared" si="1"/>
        <v>2277.6073619631902</v>
      </c>
      <c r="F75">
        <f t="shared" si="2"/>
        <v>932</v>
      </c>
      <c r="G75">
        <f t="shared" si="5"/>
        <v>927</v>
      </c>
      <c r="H75">
        <f t="shared" si="7"/>
        <v>1.6945454545454545E-2</v>
      </c>
      <c r="I75">
        <f t="shared" si="6"/>
        <v>1.6854545454545455E-2</v>
      </c>
      <c r="J75">
        <f t="shared" si="8"/>
        <v>0.16945454545454544</v>
      </c>
    </row>
    <row r="76" spans="3:10">
      <c r="C76">
        <v>56</v>
      </c>
      <c r="D76">
        <f t="shared" si="0"/>
        <v>2.3190184049079754</v>
      </c>
      <c r="E76">
        <f t="shared" si="1"/>
        <v>2319.0184049079753</v>
      </c>
      <c r="F76">
        <f t="shared" si="2"/>
        <v>949</v>
      </c>
      <c r="G76">
        <f t="shared" si="5"/>
        <v>944</v>
      </c>
      <c r="H76">
        <f t="shared" si="7"/>
        <v>1.6946428571428571E-2</v>
      </c>
      <c r="I76">
        <f t="shared" si="6"/>
        <v>1.6857142857142859E-2</v>
      </c>
      <c r="J76">
        <f t="shared" si="8"/>
        <v>0.16946428571428571</v>
      </c>
    </row>
    <row r="77" spans="3:10">
      <c r="C77">
        <v>57</v>
      </c>
      <c r="D77">
        <f t="shared" si="0"/>
        <v>2.3604294478527605</v>
      </c>
      <c r="E77">
        <f t="shared" si="1"/>
        <v>2360.4294478527604</v>
      </c>
      <c r="F77">
        <f t="shared" si="2"/>
        <v>966</v>
      </c>
      <c r="G77">
        <f t="shared" si="5"/>
        <v>961</v>
      </c>
      <c r="H77">
        <f t="shared" si="7"/>
        <v>1.6947368421052631E-2</v>
      </c>
      <c r="I77">
        <f t="shared" si="6"/>
        <v>1.6859649122807019E-2</v>
      </c>
      <c r="J77">
        <f t="shared" si="8"/>
        <v>0.1694736842105263</v>
      </c>
    </row>
    <row r="78" spans="3:10">
      <c r="C78">
        <v>58</v>
      </c>
      <c r="D78">
        <f t="shared" si="0"/>
        <v>2.4018404907975461</v>
      </c>
      <c r="E78">
        <f t="shared" si="1"/>
        <v>2401.840490797546</v>
      </c>
      <c r="F78">
        <f t="shared" si="2"/>
        <v>983</v>
      </c>
      <c r="G78">
        <f t="shared" si="5"/>
        <v>978</v>
      </c>
      <c r="H78">
        <f t="shared" si="7"/>
        <v>1.6948275862068967E-2</v>
      </c>
      <c r="I78">
        <f t="shared" si="6"/>
        <v>1.686206896551724E-2</v>
      </c>
      <c r="J78">
        <f t="shared" si="8"/>
        <v>0.16948275862068965</v>
      </c>
    </row>
    <row r="79" spans="3:10">
      <c r="C79">
        <v>59</v>
      </c>
      <c r="D79">
        <f t="shared" si="0"/>
        <v>2.4432515337423313</v>
      </c>
      <c r="E79">
        <f t="shared" si="1"/>
        <v>2443.2515337423315</v>
      </c>
      <c r="F79">
        <f t="shared" si="2"/>
        <v>1000</v>
      </c>
      <c r="G79">
        <f t="shared" si="5"/>
        <v>995</v>
      </c>
      <c r="H79">
        <f t="shared" si="7"/>
        <v>1.6949152542372881E-2</v>
      </c>
      <c r="I79">
        <f t="shared" si="6"/>
        <v>1.6864406779661018E-2</v>
      </c>
      <c r="J79">
        <f t="shared" si="8"/>
        <v>0.16949152542372881</v>
      </c>
    </row>
    <row r="80" spans="3:10">
      <c r="C80">
        <v>60</v>
      </c>
      <c r="D80">
        <f t="shared" si="0"/>
        <v>2.4846625766871164</v>
      </c>
      <c r="E80">
        <f t="shared" si="1"/>
        <v>2484.6625766871166</v>
      </c>
      <c r="F80">
        <f t="shared" si="2"/>
        <v>1017</v>
      </c>
      <c r="G80" s="2">
        <f t="shared" si="5"/>
        <v>1012</v>
      </c>
      <c r="H80">
        <f t="shared" si="7"/>
        <v>1.695E-2</v>
      </c>
      <c r="I80">
        <f t="shared" si="6"/>
        <v>1.6866666666666665E-2</v>
      </c>
      <c r="J80">
        <f t="shared" si="8"/>
        <v>0.16950000000000001</v>
      </c>
    </row>
    <row r="81" spans="3:10">
      <c r="C81">
        <v>61</v>
      </c>
      <c r="D81">
        <f t="shared" si="0"/>
        <v>2.526073619631902</v>
      </c>
      <c r="E81">
        <f t="shared" si="1"/>
        <v>2526.0736196319021</v>
      </c>
      <c r="F81">
        <f t="shared" si="2"/>
        <v>1034</v>
      </c>
      <c r="G81">
        <f t="shared" si="5"/>
        <v>1029</v>
      </c>
      <c r="H81">
        <f t="shared" si="7"/>
        <v>1.6950819672131148E-2</v>
      </c>
      <c r="I81">
        <f t="shared" si="6"/>
        <v>1.6868852459016394E-2</v>
      </c>
      <c r="J81">
        <f t="shared" si="8"/>
        <v>0.16950819672131148</v>
      </c>
    </row>
    <row r="82" spans="3:10">
      <c r="C82">
        <v>62</v>
      </c>
      <c r="D82">
        <f t="shared" si="0"/>
        <v>2.5674846625766872</v>
      </c>
      <c r="E82">
        <f t="shared" si="1"/>
        <v>2567.4846625766872</v>
      </c>
      <c r="F82">
        <f t="shared" si="2"/>
        <v>1051</v>
      </c>
      <c r="G82">
        <f t="shared" si="5"/>
        <v>1046</v>
      </c>
      <c r="H82">
        <f t="shared" si="7"/>
        <v>1.6951612903225808E-2</v>
      </c>
      <c r="I82">
        <f t="shared" si="6"/>
        <v>1.6870967741935482E-2</v>
      </c>
      <c r="J82">
        <f t="shared" si="8"/>
        <v>0.16951612903225807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C2:M43"/>
  <sheetViews>
    <sheetView topLeftCell="A25" workbookViewId="0">
      <selection activeCell="G41" sqref="G41"/>
    </sheetView>
  </sheetViews>
  <sheetFormatPr defaultRowHeight="16.5"/>
  <cols>
    <col min="6" max="7" width="12.375" customWidth="1"/>
    <col min="8" max="8" width="11.25" customWidth="1"/>
  </cols>
  <sheetData>
    <row r="2" spans="4:6">
      <c r="D2">
        <v>68</v>
      </c>
      <c r="F2" t="s">
        <v>77</v>
      </c>
    </row>
    <row r="4" spans="4:6">
      <c r="D4" t="s">
        <v>71</v>
      </c>
    </row>
    <row r="5" spans="4:6">
      <c r="D5" t="s">
        <v>9</v>
      </c>
    </row>
    <row r="6" spans="4:6">
      <c r="D6">
        <v>0</v>
      </c>
    </row>
    <row r="7" spans="4:6">
      <c r="D7">
        <v>500</v>
      </c>
    </row>
    <row r="8" spans="4:6">
      <c r="D8">
        <v>1000</v>
      </c>
    </row>
    <row r="9" spans="4:6">
      <c r="D9">
        <v>1500</v>
      </c>
    </row>
    <row r="10" spans="4:6">
      <c r="D10">
        <v>2000</v>
      </c>
    </row>
    <row r="11" spans="4:6">
      <c r="D11">
        <v>3000</v>
      </c>
    </row>
    <row r="12" spans="4:6">
      <c r="D12">
        <v>4000</v>
      </c>
    </row>
    <row r="13" spans="4:6">
      <c r="D13">
        <v>5000</v>
      </c>
    </row>
    <row r="14" spans="4:6">
      <c r="D14">
        <v>6000</v>
      </c>
    </row>
    <row r="15" spans="4:6">
      <c r="D15">
        <v>7000</v>
      </c>
    </row>
    <row r="16" spans="4:6">
      <c r="D16">
        <v>8000</v>
      </c>
    </row>
    <row r="17" spans="4:13">
      <c r="D17">
        <v>9000</v>
      </c>
      <c r="I17" t="s">
        <v>82</v>
      </c>
      <c r="J17">
        <v>1024</v>
      </c>
    </row>
    <row r="18" spans="4:13">
      <c r="D18">
        <v>10000</v>
      </c>
      <c r="I18" t="s">
        <v>83</v>
      </c>
      <c r="J18">
        <v>2500</v>
      </c>
      <c r="K18" t="s">
        <v>84</v>
      </c>
    </row>
    <row r="19" spans="4:13">
      <c r="I19" t="s">
        <v>85</v>
      </c>
      <c r="J19">
        <f>J18/J17</f>
        <v>2.44140625</v>
      </c>
      <c r="K19" t="s">
        <v>19</v>
      </c>
    </row>
    <row r="21" spans="4:13">
      <c r="D21" t="s">
        <v>0</v>
      </c>
      <c r="E21">
        <v>3.3330000000000002</v>
      </c>
      <c r="F21" t="s">
        <v>88</v>
      </c>
    </row>
    <row r="23" spans="4:13" ht="17.25" thickBot="1">
      <c r="D23" t="s">
        <v>78</v>
      </c>
      <c r="E23" t="s">
        <v>87</v>
      </c>
      <c r="F23" t="s">
        <v>79</v>
      </c>
      <c r="G23" t="s">
        <v>89</v>
      </c>
      <c r="H23" t="s">
        <v>80</v>
      </c>
      <c r="I23" t="s">
        <v>81</v>
      </c>
      <c r="J23" t="s">
        <v>81</v>
      </c>
      <c r="L23" t="s">
        <v>86</v>
      </c>
      <c r="M23" t="s">
        <v>90</v>
      </c>
    </row>
    <row r="24" spans="4:13" ht="18" thickTop="1" thickBot="1">
      <c r="D24" s="22">
        <v>0</v>
      </c>
      <c r="E24" s="22">
        <f>$E$21*D24</f>
        <v>0</v>
      </c>
      <c r="F24" s="22">
        <v>0</v>
      </c>
      <c r="G24" s="22" t="e">
        <f>(F24-E24)/E24*100</f>
        <v>#DIV/0!</v>
      </c>
      <c r="H24" s="22">
        <v>0.3</v>
      </c>
      <c r="I24" s="23"/>
      <c r="L24">
        <f t="shared" ref="L24:L33" si="0">ROUND(H24/$J$19,0)</f>
        <v>0</v>
      </c>
      <c r="M24" t="e">
        <f>F24/D24</f>
        <v>#DIV/0!</v>
      </c>
    </row>
    <row r="25" spans="4:13" ht="18" thickTop="1" thickBot="1">
      <c r="D25" s="24">
        <v>0.06</v>
      </c>
      <c r="E25" s="22">
        <f t="shared" ref="E25:E33" si="1">$E$21*D25</f>
        <v>0.19997999999999999</v>
      </c>
      <c r="F25" s="24">
        <v>0.16900000000000001</v>
      </c>
      <c r="G25" s="22">
        <f t="shared" ref="G25:G33" si="2">(F25-E25)/E25*100</f>
        <v>-15.491549154915482</v>
      </c>
      <c r="H25" s="24">
        <v>11.4</v>
      </c>
      <c r="I25" s="24">
        <v>67.456000000000003</v>
      </c>
      <c r="J25">
        <f>H25/F25</f>
        <v>67.455621301775139</v>
      </c>
      <c r="L25">
        <f t="shared" si="0"/>
        <v>5</v>
      </c>
      <c r="M25">
        <f t="shared" ref="M25:M33" si="3">F25/D25</f>
        <v>2.8166666666666669</v>
      </c>
    </row>
    <row r="26" spans="4:13" ht="18" thickTop="1" thickBot="1">
      <c r="D26" s="25">
        <v>1</v>
      </c>
      <c r="E26" s="22">
        <f t="shared" si="1"/>
        <v>3.3330000000000002</v>
      </c>
      <c r="F26" s="25">
        <v>3.3180000000000001</v>
      </c>
      <c r="G26" s="22">
        <f t="shared" si="2"/>
        <v>-0.45004500450045382</v>
      </c>
      <c r="H26" s="25">
        <v>219</v>
      </c>
      <c r="I26" s="25">
        <v>66.004000000000005</v>
      </c>
      <c r="J26">
        <f t="shared" ref="J26:J33" si="4">H26/F26</f>
        <v>66.003616636528022</v>
      </c>
      <c r="L26">
        <f t="shared" si="0"/>
        <v>90</v>
      </c>
      <c r="M26">
        <f t="shared" si="3"/>
        <v>3.3180000000000001</v>
      </c>
    </row>
    <row r="27" spans="4:13" ht="18" thickTop="1" thickBot="1">
      <c r="D27" s="24">
        <v>2</v>
      </c>
      <c r="E27" s="22">
        <f t="shared" si="1"/>
        <v>6.6660000000000004</v>
      </c>
      <c r="F27" s="24">
        <v>6.6689999999999996</v>
      </c>
      <c r="G27" s="22">
        <f t="shared" si="2"/>
        <v>4.5004500450033388E-2</v>
      </c>
      <c r="H27" s="24">
        <v>440</v>
      </c>
      <c r="I27" s="24">
        <v>65.977000000000004</v>
      </c>
      <c r="J27">
        <f t="shared" si="4"/>
        <v>65.976908082171249</v>
      </c>
      <c r="L27">
        <f t="shared" si="0"/>
        <v>180</v>
      </c>
      <c r="M27">
        <f t="shared" si="3"/>
        <v>3.3344999999999998</v>
      </c>
    </row>
    <row r="28" spans="4:13" ht="18" thickTop="1" thickBot="1">
      <c r="D28" s="25">
        <v>3</v>
      </c>
      <c r="E28" s="22">
        <f t="shared" si="1"/>
        <v>9.9990000000000006</v>
      </c>
      <c r="F28" s="25">
        <v>10.022</v>
      </c>
      <c r="G28" s="22">
        <f t="shared" si="2"/>
        <v>0.23002300230022688</v>
      </c>
      <c r="H28" s="25">
        <v>661</v>
      </c>
      <c r="I28" s="25">
        <v>65.954999999999998</v>
      </c>
      <c r="J28">
        <f t="shared" si="4"/>
        <v>65.954899221712225</v>
      </c>
      <c r="L28">
        <f t="shared" si="0"/>
        <v>271</v>
      </c>
      <c r="M28">
        <f t="shared" si="3"/>
        <v>3.3406666666666669</v>
      </c>
    </row>
    <row r="29" spans="4:13" ht="18" thickTop="1" thickBot="1">
      <c r="D29" s="24">
        <v>4</v>
      </c>
      <c r="E29" s="22">
        <f t="shared" si="1"/>
        <v>13.332000000000001</v>
      </c>
      <c r="F29" s="24">
        <v>13.384</v>
      </c>
      <c r="G29" s="22">
        <f t="shared" si="2"/>
        <v>0.39003900390038704</v>
      </c>
      <c r="H29" s="24">
        <v>882</v>
      </c>
      <c r="I29" s="24">
        <v>65.900000000000006</v>
      </c>
      <c r="J29">
        <f t="shared" si="4"/>
        <v>65.89958158995816</v>
      </c>
      <c r="L29">
        <f t="shared" si="0"/>
        <v>361</v>
      </c>
      <c r="M29">
        <f t="shared" si="3"/>
        <v>3.3460000000000001</v>
      </c>
    </row>
    <row r="30" spans="4:13" ht="18" thickTop="1" thickBot="1">
      <c r="D30" s="25">
        <v>5</v>
      </c>
      <c r="E30" s="22">
        <f t="shared" si="1"/>
        <v>16.664999999999999</v>
      </c>
      <c r="F30" s="25">
        <v>16.736999999999998</v>
      </c>
      <c r="G30" s="22">
        <f t="shared" si="2"/>
        <v>0.43204320432042709</v>
      </c>
      <c r="H30" s="25">
        <v>1103</v>
      </c>
      <c r="I30" s="25">
        <v>65.902000000000001</v>
      </c>
      <c r="J30">
        <f t="shared" si="4"/>
        <v>65.901894007289243</v>
      </c>
      <c r="L30">
        <f t="shared" si="0"/>
        <v>452</v>
      </c>
      <c r="M30">
        <f t="shared" si="3"/>
        <v>3.3473999999999995</v>
      </c>
    </row>
    <row r="31" spans="4:13" ht="18" thickTop="1" thickBot="1">
      <c r="D31" s="24">
        <v>6</v>
      </c>
      <c r="E31" s="22">
        <f t="shared" si="1"/>
        <v>19.998000000000001</v>
      </c>
      <c r="F31" s="24">
        <v>20.088999999999999</v>
      </c>
      <c r="G31" s="22">
        <f t="shared" si="2"/>
        <v>0.45504550455044268</v>
      </c>
      <c r="H31" s="24">
        <v>1324</v>
      </c>
      <c r="I31" s="24">
        <v>65.906999999999996</v>
      </c>
      <c r="J31">
        <f t="shared" si="4"/>
        <v>65.906715117726122</v>
      </c>
      <c r="L31">
        <f t="shared" si="0"/>
        <v>542</v>
      </c>
      <c r="M31">
        <f t="shared" si="3"/>
        <v>3.3481666666666663</v>
      </c>
    </row>
    <row r="32" spans="4:13" ht="18" thickTop="1" thickBot="1">
      <c r="D32" s="25">
        <v>7</v>
      </c>
      <c r="E32" s="22">
        <f t="shared" si="1"/>
        <v>23.331000000000003</v>
      </c>
      <c r="F32" s="25">
        <v>23.443000000000001</v>
      </c>
      <c r="G32" s="22">
        <f t="shared" si="2"/>
        <v>0.48004800480047283</v>
      </c>
      <c r="H32" s="25">
        <v>1545</v>
      </c>
      <c r="I32" s="25">
        <v>65.905000000000001</v>
      </c>
      <c r="J32">
        <f t="shared" si="4"/>
        <v>65.904534402593526</v>
      </c>
      <c r="L32">
        <f t="shared" si="0"/>
        <v>633</v>
      </c>
      <c r="M32">
        <f t="shared" si="3"/>
        <v>3.3490000000000002</v>
      </c>
    </row>
    <row r="33" spans="3:13" ht="18" thickTop="1" thickBot="1">
      <c r="D33" s="24">
        <v>8</v>
      </c>
      <c r="E33" s="22">
        <f t="shared" si="1"/>
        <v>26.664000000000001</v>
      </c>
      <c r="F33" s="24">
        <v>26.808</v>
      </c>
      <c r="G33" s="22">
        <f t="shared" si="2"/>
        <v>0.54005400540053383</v>
      </c>
      <c r="H33" s="24">
        <v>1767</v>
      </c>
      <c r="I33" s="24">
        <v>65.912999999999997</v>
      </c>
      <c r="J33">
        <f t="shared" si="4"/>
        <v>65.913160250671439</v>
      </c>
      <c r="L33">
        <f t="shared" si="0"/>
        <v>724</v>
      </c>
      <c r="M33">
        <f t="shared" si="3"/>
        <v>3.351</v>
      </c>
    </row>
    <row r="37" spans="3:13">
      <c r="C37" s="26">
        <v>41039</v>
      </c>
    </row>
    <row r="38" spans="3:13">
      <c r="C38">
        <v>30.4</v>
      </c>
      <c r="D38">
        <v>512</v>
      </c>
    </row>
    <row r="39" spans="3:13">
      <c r="C39">
        <v>30.1</v>
      </c>
      <c r="D39">
        <v>507</v>
      </c>
    </row>
    <row r="40" spans="3:13">
      <c r="C40">
        <v>29.8</v>
      </c>
      <c r="D40">
        <v>501</v>
      </c>
    </row>
    <row r="41" spans="3:13">
      <c r="C41">
        <v>29.3</v>
      </c>
      <c r="D41">
        <v>494</v>
      </c>
    </row>
    <row r="43" spans="3:13">
      <c r="C43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校正用</vt:lpstr>
      <vt:lpstr>LEVD1_36V薄_FW設定值</vt:lpstr>
      <vt:lpstr> NTC Thermistor</vt:lpstr>
      <vt:lpstr>實測電流</vt:lpstr>
      <vt:lpstr>CHG DSG OP</vt:lpstr>
      <vt:lpstr>Voltage</vt:lpstr>
      <vt:lpstr>Sheet1</vt:lpstr>
    </vt:vector>
  </TitlesOfParts>
  <Company>Dynapack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Hsinno.Lin</dc:creator>
  <cp:lastModifiedBy>Hsinmo.Lin(林欣模)</cp:lastModifiedBy>
  <dcterms:created xsi:type="dcterms:W3CDTF">2012-03-12T07:54:12Z</dcterms:created>
  <dcterms:modified xsi:type="dcterms:W3CDTF">2012-05-24T09:30:39Z</dcterms:modified>
</cp:coreProperties>
</file>