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lexuanxi/Desktop/"/>
    </mc:Choice>
  </mc:AlternateContent>
  <xr:revisionPtr revIDLastSave="0" documentId="13_ncr:1_{35E3241E-AA3C-1948-81E2-A415B19CAE35}" xr6:coauthVersionLast="47" xr6:coauthVersionMax="47" xr10:uidLastSave="{00000000-0000-0000-0000-000000000000}"/>
  <bookViews>
    <workbookView xWindow="3800" yWindow="780" windowWidth="27900" windowHeight="17060" xr2:uid="{00000000-000D-0000-FFFF-FFFF00000000}"/>
  </bookViews>
  <sheets>
    <sheet name="Returns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2" l="1"/>
  <c r="J17" i="2"/>
  <c r="K17" i="2"/>
  <c r="L17" i="2"/>
  <c r="H17" i="2"/>
  <c r="E17" i="2"/>
  <c r="D17" i="2"/>
  <c r="D65" i="3"/>
  <c r="O65" i="3"/>
  <c r="R60" i="3"/>
  <c r="N65" i="3"/>
  <c r="R62" i="3"/>
  <c r="E54" i="3"/>
  <c r="R57" i="3"/>
  <c r="R58" i="3"/>
  <c r="R59" i="3"/>
  <c r="R61" i="3"/>
  <c r="R63" i="3"/>
  <c r="R64" i="3"/>
  <c r="R56" i="3"/>
  <c r="L65" i="3"/>
  <c r="M65" i="3"/>
  <c r="K65" i="3"/>
  <c r="R65" i="3" s="1"/>
  <c r="R54" i="3"/>
  <c r="L54" i="3"/>
  <c r="M54" i="3"/>
  <c r="N54" i="3"/>
  <c r="O54" i="3"/>
  <c r="K54" i="3"/>
  <c r="R50" i="3"/>
  <c r="R51" i="3"/>
  <c r="R52" i="3"/>
  <c r="R53" i="3"/>
  <c r="R49" i="3"/>
  <c r="L44" i="3"/>
  <c r="M44" i="3"/>
  <c r="N44" i="3"/>
  <c r="O44" i="3"/>
  <c r="K44" i="3"/>
  <c r="H39" i="3"/>
  <c r="P36" i="3"/>
  <c r="H30" i="3"/>
  <c r="L7" i="2"/>
  <c r="K7" i="2"/>
  <c r="J7" i="2"/>
  <c r="I7" i="2"/>
  <c r="H7" i="2"/>
  <c r="F12" i="2"/>
  <c r="E12" i="2"/>
  <c r="D12" i="2"/>
  <c r="C12" i="2"/>
  <c r="B12" i="2"/>
  <c r="F9" i="2"/>
  <c r="E9" i="2"/>
  <c r="D9" i="2"/>
  <c r="C9" i="2"/>
  <c r="B9" i="2"/>
  <c r="D10" i="2"/>
  <c r="T15" i="1"/>
  <c r="U7" i="1"/>
  <c r="U4" i="1"/>
  <c r="E65" i="3"/>
  <c r="F65" i="3"/>
  <c r="G65" i="3"/>
  <c r="C65" i="3"/>
  <c r="D54" i="3"/>
  <c r="F54" i="3"/>
  <c r="G54" i="3"/>
  <c r="C54" i="3"/>
  <c r="G44" i="3"/>
  <c r="F44" i="3"/>
  <c r="E44" i="3"/>
  <c r="D44" i="3"/>
  <c r="C44" i="3"/>
  <c r="G28" i="3"/>
  <c r="F28" i="3"/>
  <c r="E28" i="3"/>
  <c r="D28" i="3"/>
  <c r="C28" i="3"/>
  <c r="L16" i="2"/>
  <c r="U11" i="1"/>
  <c r="L15" i="2"/>
  <c r="L14" i="2"/>
  <c r="L13" i="2"/>
  <c r="L12" i="2"/>
  <c r="L11" i="2"/>
  <c r="L10" i="2"/>
  <c r="L9" i="2"/>
  <c r="L6" i="2"/>
  <c r="L5" i="2"/>
  <c r="L4" i="2"/>
  <c r="L3" i="2"/>
  <c r="L8" i="2"/>
  <c r="L2" i="2"/>
  <c r="H16" i="2"/>
  <c r="K15" i="2"/>
  <c r="K13" i="2"/>
  <c r="K12" i="2"/>
  <c r="K11" i="2"/>
  <c r="K10" i="2"/>
  <c r="K9" i="2"/>
  <c r="K8" i="2"/>
  <c r="K4" i="2"/>
  <c r="K3" i="2"/>
  <c r="K16" i="2"/>
  <c r="K14" i="2"/>
  <c r="K6" i="2"/>
  <c r="K5" i="2"/>
  <c r="K2" i="2"/>
  <c r="J16" i="2"/>
  <c r="J15" i="2"/>
  <c r="J12" i="2"/>
  <c r="J11" i="2"/>
  <c r="J9" i="2"/>
  <c r="J6" i="2"/>
  <c r="J5" i="2"/>
  <c r="J4" i="2"/>
  <c r="J3" i="2"/>
  <c r="J14" i="2"/>
  <c r="J13" i="2"/>
  <c r="J10" i="2"/>
  <c r="J8" i="2"/>
  <c r="J2" i="2"/>
  <c r="I14" i="2"/>
  <c r="I12" i="2"/>
  <c r="I11" i="2"/>
  <c r="I9" i="2"/>
  <c r="I6" i="2"/>
  <c r="I4" i="2"/>
  <c r="I16" i="2"/>
  <c r="I15" i="2"/>
  <c r="I13" i="2"/>
  <c r="I10" i="2"/>
  <c r="I8" i="2"/>
  <c r="I5" i="2"/>
  <c r="I3" i="2"/>
  <c r="I2" i="2"/>
  <c r="H13" i="2"/>
  <c r="H12" i="2"/>
  <c r="H11" i="2"/>
  <c r="H10" i="2"/>
  <c r="H9" i="2"/>
  <c r="H8" i="2"/>
  <c r="H15" i="2"/>
  <c r="H14" i="2"/>
  <c r="H6" i="2"/>
  <c r="H5" i="2"/>
  <c r="H4" i="2"/>
  <c r="H3" i="2"/>
  <c r="H2" i="2"/>
  <c r="S17" i="2"/>
  <c r="T17" i="2"/>
  <c r="U17" i="2"/>
  <c r="V17" i="2"/>
  <c r="W17" i="2"/>
  <c r="X17" i="2"/>
  <c r="Y17" i="2"/>
  <c r="Z17" i="2"/>
  <c r="AA17" i="2"/>
  <c r="R17" i="2"/>
  <c r="B2" i="2"/>
  <c r="F16" i="2"/>
  <c r="F13" i="2"/>
  <c r="F11" i="2"/>
  <c r="F8" i="2"/>
  <c r="F7" i="2"/>
  <c r="F6" i="2"/>
  <c r="F5" i="2"/>
  <c r="F4" i="2"/>
  <c r="F17" i="2"/>
  <c r="F15" i="2"/>
  <c r="F14" i="2"/>
  <c r="F10" i="2"/>
  <c r="F3" i="2"/>
  <c r="F2" i="2"/>
  <c r="E5" i="2"/>
  <c r="E13" i="2"/>
  <c r="E15" i="2"/>
  <c r="E16" i="2"/>
  <c r="E14" i="2"/>
  <c r="E11" i="2"/>
  <c r="E10" i="2"/>
  <c r="E8" i="2"/>
  <c r="E7" i="2"/>
  <c r="E6" i="2"/>
  <c r="E4" i="2"/>
  <c r="E3" i="2"/>
  <c r="E2" i="2"/>
  <c r="D16" i="2"/>
  <c r="D15" i="2"/>
  <c r="D14" i="2"/>
  <c r="D13" i="2"/>
  <c r="D11" i="2"/>
  <c r="D8" i="2"/>
  <c r="D7" i="2"/>
  <c r="D6" i="2"/>
  <c r="D5" i="2"/>
  <c r="D4" i="2"/>
  <c r="D3" i="2"/>
  <c r="D2" i="2"/>
  <c r="C17" i="2"/>
  <c r="B17" i="2"/>
  <c r="B13" i="2"/>
  <c r="B14" i="2"/>
  <c r="C14" i="2"/>
  <c r="C15" i="2"/>
  <c r="C16" i="2"/>
  <c r="C13" i="2"/>
  <c r="C11" i="2"/>
  <c r="C10" i="2"/>
  <c r="C8" i="2"/>
  <c r="C7" i="2"/>
  <c r="C4" i="2"/>
  <c r="C6" i="2"/>
  <c r="C5" i="2"/>
  <c r="C3" i="2"/>
  <c r="C2" i="2"/>
  <c r="B16" i="2"/>
  <c r="B15" i="2"/>
  <c r="B11" i="2"/>
  <c r="B10" i="2"/>
  <c r="B8" i="2"/>
  <c r="B7" i="2"/>
  <c r="B6" i="2"/>
  <c r="B5" i="2"/>
  <c r="B4" i="2"/>
  <c r="B3" i="2"/>
  <c r="R15" i="1"/>
  <c r="U15" i="1" s="1"/>
  <c r="R5" i="1"/>
  <c r="U5" i="1" s="1"/>
  <c r="R14" i="1"/>
  <c r="U14" i="1" s="1"/>
  <c r="R13" i="1"/>
  <c r="U13" i="1" s="1"/>
  <c r="R12" i="1"/>
  <c r="U12" i="1" s="1"/>
  <c r="R11" i="1"/>
  <c r="R3" i="1"/>
  <c r="T3" i="1" s="1"/>
  <c r="R7" i="1"/>
  <c r="R6" i="1"/>
  <c r="U6" i="1" s="1"/>
  <c r="R4" i="1"/>
  <c r="H44" i="3" l="1"/>
  <c r="H34" i="3"/>
  <c r="H33" i="3"/>
  <c r="T5" i="1"/>
  <c r="T6" i="1"/>
  <c r="T7" i="1"/>
  <c r="U3" i="1"/>
  <c r="H32" i="3"/>
  <c r="H36" i="3"/>
  <c r="H41" i="3"/>
  <c r="H40" i="3"/>
  <c r="H43" i="3"/>
  <c r="H42" i="3"/>
  <c r="H37" i="3"/>
  <c r="H35" i="3"/>
  <c r="H38" i="3"/>
  <c r="H31" i="3"/>
  <c r="T13" i="1"/>
  <c r="T14" i="1"/>
  <c r="T12" i="1"/>
  <c r="T4" i="1"/>
  <c r="T11" i="1"/>
</calcChain>
</file>

<file path=xl/sharedStrings.xml><?xml version="1.0" encoding="utf-8"?>
<sst xmlns="http://schemas.openxmlformats.org/spreadsheetml/2006/main" count="271" uniqueCount="92">
  <si>
    <t>Date</t>
  </si>
  <si>
    <t>EA</t>
  </si>
  <si>
    <t>TTWO</t>
  </si>
  <si>
    <t>ATVI</t>
    <phoneticPr fontId="2" type="noConversion"/>
  </si>
  <si>
    <t>9766.T</t>
  </si>
  <si>
    <t>T-1</t>
    <phoneticPr fontId="2" type="noConversion"/>
  </si>
  <si>
    <t>T-2</t>
    <phoneticPr fontId="2" type="noConversion"/>
  </si>
  <si>
    <t>T</t>
    <phoneticPr fontId="2" type="noConversion"/>
  </si>
  <si>
    <t>T+1</t>
    <phoneticPr fontId="2" type="noConversion"/>
  </si>
  <si>
    <t>T+2</t>
    <phoneticPr fontId="2" type="noConversion"/>
  </si>
  <si>
    <t>Average</t>
    <phoneticPr fontId="2" type="noConversion"/>
  </si>
  <si>
    <t>2357.TW</t>
  </si>
  <si>
    <t>263750.KQ</t>
  </si>
  <si>
    <t>9684.T</t>
  </si>
  <si>
    <t>HAS</t>
  </si>
  <si>
    <t>TBCH</t>
  </si>
  <si>
    <t>MTG-A.ST</t>
  </si>
  <si>
    <t>AMC</t>
  </si>
  <si>
    <t>LGF-A</t>
  </si>
  <si>
    <t>DIS</t>
  </si>
  <si>
    <t>7832.T</t>
  </si>
  <si>
    <t>CAR2</t>
    <phoneticPr fontId="2" type="noConversion"/>
  </si>
  <si>
    <t>PINS</t>
  </si>
  <si>
    <t>PERI</t>
  </si>
  <si>
    <t>ROKU</t>
  </si>
  <si>
    <t>TTEK</t>
  </si>
  <si>
    <t>PARA</t>
  </si>
  <si>
    <t>2498.TW</t>
  </si>
  <si>
    <t>3293.TWO</t>
  </si>
  <si>
    <t>300315.SZ</t>
  </si>
  <si>
    <t>0777.HK</t>
  </si>
  <si>
    <t>Cumulative Abnormal return</t>
    <phoneticPr fontId="2" type="noConversion"/>
  </si>
  <si>
    <t>^GSPC</t>
  </si>
  <si>
    <t>U</t>
  </si>
  <si>
    <t>603444.SS</t>
  </si>
  <si>
    <t>3765.T</t>
  </si>
  <si>
    <t>192080.KS</t>
  </si>
  <si>
    <t>293490.KQ</t>
  </si>
  <si>
    <t>T</t>
  </si>
  <si>
    <t>Activision Blizzard, Inc.</t>
    <phoneticPr fontId="2" type="noConversion"/>
  </si>
  <si>
    <t>HTC Corporation</t>
    <phoneticPr fontId="2" type="noConversion"/>
  </si>
  <si>
    <t>Hasbro, Inc.</t>
    <phoneticPr fontId="2" type="noConversion"/>
  </si>
  <si>
    <t>Electronic Arts Inc.</t>
    <phoneticPr fontId="2" type="noConversion"/>
  </si>
  <si>
    <t>The Turtle Beach Corporation</t>
    <phoneticPr fontId="2" type="noConversion"/>
  </si>
  <si>
    <t>Paramount Global</t>
    <phoneticPr fontId="2" type="noConversion"/>
  </si>
  <si>
    <t>ASUSTeK Computer Inc.</t>
    <phoneticPr fontId="2" type="noConversion"/>
  </si>
  <si>
    <t>Roku, Inc.</t>
    <phoneticPr fontId="2" type="noConversion"/>
  </si>
  <si>
    <t>The Walt Disney Company</t>
    <phoneticPr fontId="2" type="noConversion"/>
  </si>
  <si>
    <t>Konami Group Corporation</t>
    <phoneticPr fontId="2" type="noConversion"/>
  </si>
  <si>
    <t>MTG-A.ST</t>
    <phoneticPr fontId="2" type="noConversion"/>
  </si>
  <si>
    <t>Modern Times Group MTG AB</t>
    <phoneticPr fontId="2" type="noConversion"/>
  </si>
  <si>
    <t>Pearl Abyss Corp.</t>
    <phoneticPr fontId="2" type="noConversion"/>
  </si>
  <si>
    <t>Take-Two Interactive Software, Inc.</t>
    <phoneticPr fontId="2" type="noConversion"/>
  </si>
  <si>
    <t>Ourpalm Co., Ltd.</t>
    <phoneticPr fontId="2" type="noConversion"/>
  </si>
  <si>
    <t>International Games System Co.,Ltd.</t>
    <phoneticPr fontId="2" type="noConversion"/>
  </si>
  <si>
    <t>AMC Entertainment Holdings, Inc.</t>
    <phoneticPr fontId="2" type="noConversion"/>
  </si>
  <si>
    <t>Perion Network Ltd.</t>
    <phoneticPr fontId="2" type="noConversion"/>
  </si>
  <si>
    <t>Pinterest, Inc.</t>
    <phoneticPr fontId="2" type="noConversion"/>
  </si>
  <si>
    <t>Kakao Games Corp.</t>
    <phoneticPr fontId="2" type="noConversion"/>
  </si>
  <si>
    <t>Lions Gate Entertainment Corp.</t>
    <phoneticPr fontId="2" type="noConversion"/>
  </si>
  <si>
    <t>BANDAI NAMCO Holdings Inc.</t>
    <phoneticPr fontId="2" type="noConversion"/>
  </si>
  <si>
    <t>G-bits Network Technology (Xiamen) Co., Ltd.</t>
    <phoneticPr fontId="2" type="noConversion"/>
  </si>
  <si>
    <t>Square Enix Holdings Co., Ltd.</t>
    <phoneticPr fontId="2" type="noConversion"/>
  </si>
  <si>
    <t>Tetra Tech, Inc.</t>
    <phoneticPr fontId="2" type="noConversion"/>
  </si>
  <si>
    <t>7974.T</t>
  </si>
  <si>
    <t>7974.T</t>
    <phoneticPr fontId="2" type="noConversion"/>
  </si>
  <si>
    <t>Nintendo Co., Ltd.</t>
    <phoneticPr fontId="2" type="noConversion"/>
  </si>
  <si>
    <t>ATVI</t>
  </si>
  <si>
    <t>2357.TW</t>
    <phoneticPr fontId="2" type="noConversion"/>
  </si>
  <si>
    <t>EA</t>
    <phoneticPr fontId="2" type="noConversion"/>
  </si>
  <si>
    <t>Average</t>
  </si>
  <si>
    <t>T-2</t>
  </si>
  <si>
    <t>T-1</t>
  </si>
  <si>
    <t>T+1</t>
  </si>
  <si>
    <t>T+2</t>
  </si>
  <si>
    <t>DIS</t>
    <phoneticPr fontId="2" type="noConversion"/>
  </si>
  <si>
    <t>002354.SZ</t>
  </si>
  <si>
    <t>Unity Software Inc.</t>
  </si>
  <si>
    <t>Tianyu Digital Technology (Dalian) Group Co., Ltd.</t>
  </si>
  <si>
    <t>GungHo Online Entertainment, Inc.</t>
  </si>
  <si>
    <t>NETDRAGON</t>
  </si>
  <si>
    <t>DoubleUGames Co., Ltd.</t>
  </si>
  <si>
    <t>Ticker</t>
  </si>
  <si>
    <t>Unadjusted</t>
    <phoneticPr fontId="2" type="noConversion"/>
  </si>
  <si>
    <t>No rounding result</t>
    <phoneticPr fontId="2" type="noConversion"/>
  </si>
  <si>
    <t>adj_average</t>
    <phoneticPr fontId="2" type="noConversion"/>
  </si>
  <si>
    <t>adj_Average(with rounding)</t>
    <phoneticPr fontId="2" type="noConversion"/>
  </si>
  <si>
    <t>average_except_ATVI</t>
  </si>
  <si>
    <t>average_except_ATVI</t>
    <phoneticPr fontId="2" type="noConversion"/>
  </si>
  <si>
    <t>average</t>
  </si>
  <si>
    <t>average</t>
    <phoneticPr fontId="2" type="noConversion"/>
  </si>
  <si>
    <t>After_Rounding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</si>
</sst>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.0000000_ "/>
  </numFmts>
  <fonts count="7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8"/>
      <color theme="1"/>
      <name val="Calibri"/>
      <family val="2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5" fillId="0" borderId="0" xfId="0" applyNumberFormat="1" applyFont="1" applyAlignment="1">
      <alignment horizontal="center" vertical="center" wrapText="1"/>
    </xf>
    <xf numFmtId="10" fontId="5" fillId="0" borderId="3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0" fontId="5" fillId="0" borderId="6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0" fontId="5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ACARs (Treatment Group)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Returns!$T$2</c:f>
              <c:strCache>
                <c:ptCount val="1"/>
                <c:pt idx="0">
                  <c:v>Cumulative Abnormal return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Returns!$A$3:$A$7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Returns!$T$3:$T$7</c:f>
              <c:numCache>
                <c:formatCode>General</c:formatCode>
                <c:ptCount val="5"/>
                <c:pt idx="0">
                  <c:v>-2.3135315446286115E-3</c:v>
                </c:pt>
                <c:pt idx="1">
                  <c:v>2.3221385769930619E-3</c:v>
                </c:pt>
                <c:pt idx="2">
                  <c:v>4.2426078824456023E-2</c:v>
                </c:pt>
                <c:pt idx="3">
                  <c:v>2.7690048400445311E-2</c:v>
                </c:pt>
                <c:pt idx="4">
                  <c:v>2.6898687971185664E-2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5-E549-A41E-A80D16E4D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75984"/>
        <c:axId val="1996231087"/>
      </c:lineChart>
      <c:catAx>
        <c:axId val="1607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231087"/>
        <c:crosses val="autoZero"/>
        <c:auto val="1"/>
        <c:lblAlgn val="ctr"/>
        <c:lblOffset val="100"/>
        <c:noMultiLvlLbl val="0"/>
      </c:catAx>
      <c:valAx>
        <c:axId val="1996231087"/>
        <c:scaling>
          <c:orientation val="minMax"/>
          <c:max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77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ACARs (Control Group)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Returns!$T$10</c:f>
              <c:strCache>
                <c:ptCount val="1"/>
                <c:pt idx="0">
                  <c:v>CAR2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Returns!$A$11:$A$15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Returns!$T$11:$T$15</c:f>
              <c:numCache>
                <c:formatCode>General</c:formatCode>
                <c:ptCount val="5"/>
                <c:pt idx="0">
                  <c:v>2.3378377378917509E-4</c:v>
                </c:pt>
                <c:pt idx="1">
                  <c:v>-1.4367824085927366E-3</c:v>
                </c:pt>
                <c:pt idx="2">
                  <c:v>-1.7334648253497513E-3</c:v>
                </c:pt>
                <c:pt idx="3">
                  <c:v>-5.5691308436752809E-3</c:v>
                </c:pt>
                <c:pt idx="4">
                  <c:v>-1.8886615913817316E-3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A-0F41-992B-AF0B6CD50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25200"/>
        <c:axId val="32890080"/>
      </c:lineChart>
      <c:catAx>
        <c:axId val="328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90080"/>
        <c:crosses val="autoZero"/>
        <c:auto val="1"/>
        <c:lblAlgn val="ctr"/>
        <c:lblOffset val="100"/>
        <c:noMultiLvlLbl val="0"/>
      </c:catAx>
      <c:valAx>
        <c:axId val="32890080"/>
        <c:scaling>
          <c:orientation val="minMax"/>
          <c:max val="0.05"/>
          <c:min val="-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25200"/>
        <c:crosses val="autoZero"/>
        <c:crossBetween val="between"/>
        <c:majorUnit val="0.01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ACARs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Returns!$T$2</c:f>
              <c:strCache>
                <c:ptCount val="1"/>
                <c:pt idx="0">
                  <c:v>Cumulative Abnormal return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EC-4F41-82AD-014E0F332C05}"/>
                </c:ext>
              </c:extLst>
            </c:dLbl>
            <c:dLbl>
              <c:idx val="1"/>
              <c:layout>
                <c:manualLayout>
                  <c:x val="0.31318082788671014"/>
                  <c:y val="-0.6481481481481481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Treatment</a:t>
                    </a:r>
                  </a:p>
                </c:rich>
              </c:tx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9EC-4F41-82AD-014E0F332C0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EC-4F41-82AD-014E0F332C0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9EC-4F41-82AD-014E0F332C0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EC-4F41-82AD-014E0F332C0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Returns!$A$3:$A$7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Returns!$T$3:$T$7</c:f>
              <c:numCache>
                <c:formatCode>General</c:formatCode>
                <c:ptCount val="5"/>
                <c:pt idx="0">
                  <c:v>-2.3135315446286115E-3</c:v>
                </c:pt>
                <c:pt idx="1">
                  <c:v>2.3221385769930619E-3</c:v>
                </c:pt>
                <c:pt idx="2">
                  <c:v>4.2426078824456023E-2</c:v>
                </c:pt>
                <c:pt idx="3">
                  <c:v>2.7690048400445311E-2</c:v>
                </c:pt>
                <c:pt idx="4">
                  <c:v>2.6898687971185664E-2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EC-4F41-82AD-014E0F332C05}"/>
            </c:ext>
          </c:extLst>
        </c:ser>
        <c:ser>
          <c:idx val="0"/>
          <c:order val="1"/>
          <c:tx>
            <c:strRef>
              <c:f>Returns!$T$10</c:f>
              <c:strCache>
                <c:ptCount val="1"/>
                <c:pt idx="0">
                  <c:v>CAR2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49019607843137253"/>
                  <c:y val="-0.53497942386831276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Control</a:t>
                    </a:r>
                  </a:p>
                </c:rich>
              </c:tx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89EC-4F41-82AD-014E0F332C0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9EC-4F41-82AD-014E0F332C0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EC-4F41-82AD-014E0F332C0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EC-4F41-82AD-014E0F332C0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9EC-4F41-82AD-014E0F332C0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Returns!$A$11:$A$15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Returns!$T$11:$T$15</c:f>
              <c:numCache>
                <c:formatCode>General</c:formatCode>
                <c:ptCount val="5"/>
                <c:pt idx="0">
                  <c:v>2.3378377378917509E-4</c:v>
                </c:pt>
                <c:pt idx="1">
                  <c:v>-1.4367824085927366E-3</c:v>
                </c:pt>
                <c:pt idx="2">
                  <c:v>-1.7334648253497513E-3</c:v>
                </c:pt>
                <c:pt idx="3">
                  <c:v>-5.5691308436752809E-3</c:v>
                </c:pt>
                <c:pt idx="4">
                  <c:v>-1.8886615913817316E-3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C-4F41-82AD-014E0F332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25200"/>
        <c:axId val="32890080"/>
      </c:lineChart>
      <c:catAx>
        <c:axId val="328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90080"/>
        <c:crosses val="autoZero"/>
        <c:auto val="1"/>
        <c:lblAlgn val="ctr"/>
        <c:lblOffset val="100"/>
        <c:noMultiLvlLbl val="0"/>
      </c:catAx>
      <c:valAx>
        <c:axId val="32890080"/>
        <c:scaling>
          <c:orientation val="minMax"/>
          <c:max val="0.05"/>
          <c:min val="-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25200"/>
        <c:crosses val="autoZero"/>
        <c:crossBetween val="between"/>
        <c:majorUnit val="0.01"/>
        <c:minorUnit val="0.01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AARs </a:t>
            </a:r>
            <a:r>
              <a:rPr lang="en-US" altLang="zh-CN" baseline="0"/>
              <a:t>(Treatment Group)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adj_Average(with rounding)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Sheet1!$B$17:$F$17</c:f>
              <c:numCache>
                <c:formatCode>0.00%</c:formatCode>
                <c:ptCount val="5"/>
                <c:pt idx="0">
                  <c:v>-2.2990598613796759E-3</c:v>
                </c:pt>
                <c:pt idx="1">
                  <c:v>4.6363046148580203E-3</c:v>
                </c:pt>
                <c:pt idx="2">
                  <c:v>4.0106064531526799E-2</c:v>
                </c:pt>
                <c:pt idx="3">
                  <c:v>-1.4735043018645807E-2</c:v>
                </c:pt>
                <c:pt idx="4">
                  <c:v>-7.9065171960758616E-4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5-B946-9BCE-ABF1DDCB9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603376"/>
        <c:axId val="1597062256"/>
      </c:barChart>
      <c:catAx>
        <c:axId val="15976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7062256"/>
        <c:crosses val="autoZero"/>
        <c:auto val="1"/>
        <c:lblAlgn val="ctr"/>
        <c:lblOffset val="100"/>
        <c:noMultiLvlLbl val="0"/>
      </c:catAx>
      <c:valAx>
        <c:axId val="15970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760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AARs (Control Group)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Sheet1!$H$1:$L$1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Sheet1!$H$17:$L$17</c:f>
              <c:numCache>
                <c:formatCode>0.00%</c:formatCode>
                <c:ptCount val="5"/>
                <c:pt idx="0">
                  <c:v>2.4888668155539684E-4</c:v>
                </c:pt>
                <c:pt idx="1">
                  <c:v>-1.6521462385372318E-3</c:v>
                </c:pt>
                <c:pt idx="2">
                  <c:v>-3.0221105588856942E-4</c:v>
                </c:pt>
                <c:pt idx="3">
                  <c:v>-3.8245668186458071E-3</c:v>
                </c:pt>
                <c:pt idx="4">
                  <c:v>3.6801194151251083E-3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3-204F-BA4F-30E97AE42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78112"/>
        <c:axId val="166687840"/>
      </c:barChart>
      <c:catAx>
        <c:axId val="16607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87840"/>
        <c:crosses val="autoZero"/>
        <c:auto val="1"/>
        <c:lblAlgn val="ctr"/>
        <c:lblOffset val="100"/>
        <c:noMultiLvlLbl val="0"/>
      </c:catAx>
      <c:valAx>
        <c:axId val="166687840"/>
        <c:scaling>
          <c:orientation val="minMax"/>
          <c:max val="0.05"/>
          <c:min val="-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78112"/>
        <c:crosses val="autoZero"/>
        <c:crossBetween val="between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6"/>
            </a:solidFill>
          </c:spPr>
          <c:invertIfNegative val="0"/>
          <c:dLbls>
            <c:dLbl>
              <c:idx val="0"/>
              <c:layout>
                <c:manualLayout>
                  <c:x val="0.66448801742919394"/>
                  <c:y val="-0.31378600823045266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Control</a:t>
                    </a:r>
                  </a:p>
                </c:rich>
              </c:tx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0B3-424B-93A2-F9376B0A61F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B3-424B-93A2-F9376B0A61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B3-424B-93A2-F9376B0A61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B3-424B-93A2-F9376B0A61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B3-424B-93A2-F9376B0A61F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Sheet1!$H$1:$L$1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Sheet1!$H$17:$L$17</c:f>
              <c:numCache>
                <c:formatCode>0.00%</c:formatCode>
                <c:ptCount val="5"/>
                <c:pt idx="0">
                  <c:v>2.4888668155539684E-4</c:v>
                </c:pt>
                <c:pt idx="1">
                  <c:v>-1.6521462385372318E-3</c:v>
                </c:pt>
                <c:pt idx="2">
                  <c:v>-3.0221105588856942E-4</c:v>
                </c:pt>
                <c:pt idx="3">
                  <c:v>-3.8245668186458071E-3</c:v>
                </c:pt>
                <c:pt idx="4">
                  <c:v>3.6801194151251083E-3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B3-424B-93A2-F9376B0A61F2}"/>
            </c:ext>
          </c:extLst>
        </c:ser>
        <c:ser>
          <c:idx val="0"/>
          <c:order val="1"/>
          <c:tx>
            <c:strRef>
              <c:f>Sheet1!$A$17</c:f>
              <c:strCache>
                <c:ptCount val="1"/>
                <c:pt idx="0">
                  <c:v>adj_Average(with rounding)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0B3-424B-93A2-F9376B0A61F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0B3-424B-93A2-F9376B0A61F2}"/>
                </c:ext>
              </c:extLst>
            </c:dLbl>
            <c:dLbl>
              <c:idx val="2"/>
              <c:layout>
                <c:manualLayout>
                  <c:x val="0.2886710239651417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Treatment</a:t>
                    </a:r>
                    <a:r>
                      <a:rPr lang="en-US" altLang="zh-CN" baseline="0"/>
                      <a:t> </a:t>
                    </a:r>
                    <a:endParaRPr lang="en-US" altLang="zh-CN"/>
                  </a:p>
                </c:rich>
              </c:tx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40B3-424B-93A2-F9376B0A61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0B3-424B-93A2-F9376B0A61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21794512205582142"/>
                      <c:h val="5.354938271604938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F-40B3-424B-93A2-F9376B0A61F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Sheet1!$B$1:$F$1</c:f>
              <c:strCache>
                <c:ptCount val="5"/>
                <c:pt idx="0">
                  <c:v>T-2</c:v>
                </c:pt>
                <c:pt idx="1">
                  <c:v>T-1</c:v>
                </c:pt>
                <c:pt idx="2">
                  <c:v>T</c:v>
                </c:pt>
                <c:pt idx="3">
                  <c:v>T+1</c:v>
                </c:pt>
                <c:pt idx="4">
                  <c:v>T+2</c:v>
                </c:pt>
              </c:strCache>
            </c:strRef>
          </c:cat>
          <c:val>
            <c:numRef>
              <c:f>Sheet1!$B$17:$F$17</c:f>
              <c:numCache>
                <c:formatCode>0.00%</c:formatCode>
                <c:ptCount val="5"/>
                <c:pt idx="0">
                  <c:v>-2.2990598613796759E-3</c:v>
                </c:pt>
                <c:pt idx="1">
                  <c:v>4.6363046148580203E-3</c:v>
                </c:pt>
                <c:pt idx="2">
                  <c:v>4.0106064531526799E-2</c:v>
                </c:pt>
                <c:pt idx="3">
                  <c:v>-1.4735043018645807E-2</c:v>
                </c:pt>
                <c:pt idx="4">
                  <c:v>-7.9065171960758616E-4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3-424B-93A2-F9376B0A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603376"/>
        <c:axId val="1597062256"/>
      </c:barChart>
      <c:catAx>
        <c:axId val="15976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7062256"/>
        <c:crosses val="autoZero"/>
        <c:auto val="1"/>
        <c:lblAlgn val="ctr"/>
        <c:lblOffset val="100"/>
        <c:noMultiLvlLbl val="0"/>
      </c:catAx>
      <c:valAx>
        <c:axId val="15970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76033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198546</xdr:colOff>
      <xdr:row>16</xdr:row>
      <xdr:rowOff>61173</xdr:rowOff>
    </xdr:from>
    <xdr:to>
      <xdr:col>3</xdr:col>
      <xdr:colOff>595357</xdr:colOff>
      <xdr:row>30</xdr:row>
      <xdr:rowOff>132749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04503F-BF5E-190B-0D4C-A28B77A99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984036</xdr:colOff>
      <xdr:row>16</xdr:row>
      <xdr:rowOff>49230</xdr:rowOff>
    </xdr:from>
    <xdr:to>
      <xdr:col>7</xdr:col>
      <xdr:colOff>167925</xdr:colOff>
      <xdr:row>30</xdr:row>
      <xdr:rowOff>120806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AB1348-E02D-587A-0E2F-9EF678D21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556516</xdr:colOff>
      <xdr:row>16</xdr:row>
      <xdr:rowOff>42809</xdr:rowOff>
    </xdr:from>
    <xdr:to>
      <xdr:col>11</xdr:col>
      <xdr:colOff>396810</xdr:colOff>
      <xdr:row>30</xdr:row>
      <xdr:rowOff>114385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EE702A-A6D0-8444-8149-A93AA94F5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182191</xdr:colOff>
      <xdr:row>23</xdr:row>
      <xdr:rowOff>107949</xdr:rowOff>
    </xdr:from>
    <xdr:to>
      <xdr:col>2</xdr:col>
      <xdr:colOff>976285</xdr:colOff>
      <xdr:row>37</xdr:row>
      <xdr:rowOff>84306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7F2A2E-96BB-536E-ECCB-553E892CA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1146916</xdr:colOff>
      <xdr:row>23</xdr:row>
      <xdr:rowOff>114300</xdr:rowOff>
    </xdr:from>
    <xdr:to>
      <xdr:col>7</xdr:col>
      <xdr:colOff>374281</xdr:colOff>
      <xdr:row>37</xdr:row>
      <xdr:rowOff>90657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93280B8-C8B1-E92F-7BD9-586E58151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617197</xdr:colOff>
      <xdr:row>23</xdr:row>
      <xdr:rowOff>94954</xdr:rowOff>
    </xdr:from>
    <xdr:to>
      <xdr:col>11</xdr:col>
      <xdr:colOff>1945404</xdr:colOff>
      <xdr:row>37</xdr:row>
      <xdr:rowOff>71311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E5AE6E9-9AB1-D746-91D1-609D627EE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"/>
  <sheetViews>
    <sheetView tabSelected="1" topLeftCell="K1" zoomScale="109" zoomScaleNormal="90" workbookViewId="0">
      <selection activeCell="T5" sqref="T5"/>
    </sheetView>
  </sheetViews>
  <sheetFormatPr baseColWidth="10" defaultColWidth="8.83203125" defaultRowHeight="14"/>
  <cols>
    <col min="1" max="1" width="22" bestFit="1" customWidth="1"/>
    <col min="2" max="2" width="14.33203125" customWidth="1"/>
    <col min="3" max="3" width="19.6640625" customWidth="1"/>
    <col min="4" max="4" width="17.5" bestFit="1" customWidth="1"/>
    <col min="5" max="5" width="15.83203125" customWidth="1"/>
    <col min="6" max="6" width="18.83203125" customWidth="1"/>
    <col min="7" max="7" width="19.6640625" customWidth="1"/>
    <col min="8" max="8" width="15.83203125" customWidth="1"/>
    <col min="9" max="9" width="16.5" customWidth="1"/>
    <col min="10" max="10" width="14.33203125" customWidth="1"/>
    <col min="11" max="11" width="16.5" customWidth="1"/>
    <col min="12" max="12" width="17.5" customWidth="1"/>
    <col min="13" max="13" width="14.6640625" customWidth="1"/>
    <col min="14" max="14" width="18" customWidth="1"/>
    <col min="15" max="15" width="13.5" customWidth="1"/>
    <col min="16" max="16" width="15.6640625" customWidth="1"/>
    <col min="18" max="18" width="14.1640625" bestFit="1" customWidth="1"/>
    <col min="19" max="19" width="21.83203125" customWidth="1"/>
    <col min="20" max="20" width="29.83203125" bestFit="1" customWidth="1"/>
    <col min="21" max="21" width="20.83203125" bestFit="1" customWidth="1"/>
  </cols>
  <sheetData>
    <row r="1" spans="1:22">
      <c r="A1" s="4"/>
      <c r="B1" s="5" t="s">
        <v>39</v>
      </c>
      <c r="C1" s="5" t="s">
        <v>50</v>
      </c>
      <c r="D1" s="5" t="s">
        <v>40</v>
      </c>
      <c r="E1" s="5" t="s">
        <v>41</v>
      </c>
      <c r="F1" s="5" t="s">
        <v>42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77</v>
      </c>
      <c r="L1" s="5" t="s">
        <v>48</v>
      </c>
      <c r="M1" s="5" t="s">
        <v>51</v>
      </c>
      <c r="N1" s="5" t="s">
        <v>52</v>
      </c>
      <c r="O1" s="5" t="s">
        <v>53</v>
      </c>
      <c r="P1" s="5" t="s">
        <v>54</v>
      </c>
      <c r="Q1" s="4"/>
      <c r="R1" s="4"/>
      <c r="S1" s="4"/>
      <c r="T1" s="3" t="s">
        <v>84</v>
      </c>
    </row>
    <row r="2" spans="1:22">
      <c r="A2" s="1" t="s">
        <v>0</v>
      </c>
      <c r="B2" s="1" t="s">
        <v>3</v>
      </c>
      <c r="C2" s="1" t="s">
        <v>49</v>
      </c>
      <c r="D2" s="1" t="s">
        <v>27</v>
      </c>
      <c r="E2" s="1" t="s">
        <v>14</v>
      </c>
      <c r="F2" s="1" t="s">
        <v>69</v>
      </c>
      <c r="G2" s="1" t="s">
        <v>15</v>
      </c>
      <c r="H2" s="1" t="s">
        <v>26</v>
      </c>
      <c r="I2" s="1" t="s">
        <v>68</v>
      </c>
      <c r="J2" s="1" t="s">
        <v>24</v>
      </c>
      <c r="K2" s="1" t="s">
        <v>33</v>
      </c>
      <c r="L2" s="1" t="s">
        <v>4</v>
      </c>
      <c r="M2" s="1" t="s">
        <v>12</v>
      </c>
      <c r="N2" s="1" t="s">
        <v>2</v>
      </c>
      <c r="O2" s="1" t="s">
        <v>29</v>
      </c>
      <c r="P2" s="1" t="s">
        <v>28</v>
      </c>
      <c r="Q2" s="4"/>
      <c r="R2" s="3" t="s">
        <v>10</v>
      </c>
      <c r="S2" s="1" t="s">
        <v>32</v>
      </c>
      <c r="T2" s="3" t="s">
        <v>31</v>
      </c>
      <c r="U2" s="3" t="s">
        <v>85</v>
      </c>
      <c r="V2" s="3"/>
    </row>
    <row r="3" spans="1:22">
      <c r="A3" s="2" t="s">
        <v>6</v>
      </c>
      <c r="B3" s="4">
        <v>-3.2648125700000001E-3</v>
      </c>
      <c r="C3">
        <v>1.503759398496252E-2</v>
      </c>
      <c r="D3" s="4">
        <v>-1.5845030339268321E-2</v>
      </c>
      <c r="E3" s="4">
        <v>4.043349447846456E-3</v>
      </c>
      <c r="F3" s="4">
        <v>-1.1476537945432909E-2</v>
      </c>
      <c r="G3" s="4">
        <v>-1.152483311333163E-2</v>
      </c>
      <c r="H3" s="4">
        <v>-1.092897250444658E-2</v>
      </c>
      <c r="I3" s="4">
        <v>-2.3333328064265801E-2</v>
      </c>
      <c r="J3" s="4">
        <v>1.996758745782001E-2</v>
      </c>
      <c r="K3">
        <v>-2.2194859255542099E-3</v>
      </c>
      <c r="L3" s="4">
        <v>-1.013098253208311E-2</v>
      </c>
      <c r="M3">
        <v>2E-3</v>
      </c>
      <c r="N3" s="4">
        <v>2.1696356942877419E-3</v>
      </c>
      <c r="O3" s="4">
        <v>-3.0534393935621629E-2</v>
      </c>
      <c r="P3" s="4">
        <v>-1.639270903646572E-3</v>
      </c>
      <c r="Q3" s="4"/>
      <c r="R3" s="4">
        <f>AVERAGE(B3:P3)</f>
        <v>-5.1786320832489354E-3</v>
      </c>
      <c r="S3" s="4">
        <v>-2.8651005386203239E-3</v>
      </c>
      <c r="T3" s="4">
        <f>R3-S3</f>
        <v>-2.3135315446286115E-3</v>
      </c>
      <c r="U3">
        <f>R3-S3</f>
        <v>-2.3135315446286115E-3</v>
      </c>
    </row>
    <row r="4" spans="1:22">
      <c r="A4" s="2" t="s">
        <v>5</v>
      </c>
      <c r="B4" s="4">
        <v>3.2755064899999999E-3</v>
      </c>
      <c r="C4">
        <v>0</v>
      </c>
      <c r="D4" s="4">
        <v>-1.0733493245802309E-2</v>
      </c>
      <c r="E4" s="4">
        <v>-7.4346686044362009E-3</v>
      </c>
      <c r="F4" s="4">
        <v>1.037144778986376E-2</v>
      </c>
      <c r="G4" s="4">
        <v>1.524664413543309E-2</v>
      </c>
      <c r="H4" s="4">
        <v>-3.0693406118985629E-3</v>
      </c>
      <c r="I4" s="4">
        <v>-3.4129530800145469E-3</v>
      </c>
      <c r="J4" s="4">
        <v>8.0216469340229191E-2</v>
      </c>
      <c r="K4">
        <v>-1.235788460983644E-2</v>
      </c>
      <c r="L4" s="4">
        <v>2.8656256728623042E-3</v>
      </c>
      <c r="M4">
        <v>-9.9800399201597223E-3</v>
      </c>
      <c r="N4" s="4">
        <v>5.2377958461653504E-3</v>
      </c>
      <c r="O4" s="4">
        <v>1.7322855931722891E-2</v>
      </c>
      <c r="P4" s="4">
        <v>1.8062477547166281E-2</v>
      </c>
      <c r="Q4" s="4"/>
      <c r="R4" s="4">
        <f>AVERAGE(B4:P4)</f>
        <v>7.0406961787530054E-3</v>
      </c>
      <c r="S4" s="4">
        <v>2.405026057131332E-3</v>
      </c>
      <c r="T4" s="4">
        <f>R4+R3-S4-S3</f>
        <v>2.3221385769930619E-3</v>
      </c>
      <c r="U4">
        <f>R4-S4</f>
        <v>4.6356701216216734E-3</v>
      </c>
    </row>
    <row r="5" spans="1:22">
      <c r="A5" s="2" t="s">
        <v>7</v>
      </c>
      <c r="B5" s="4">
        <v>0.10024183796</v>
      </c>
      <c r="C5">
        <v>3.7037037037037E-2</v>
      </c>
      <c r="D5" s="4">
        <v>4.8824607598366487E-2</v>
      </c>
      <c r="E5" s="4">
        <v>1.1391836895474411E-2</v>
      </c>
      <c r="F5" s="4">
        <v>5.2014741414502241E-2</v>
      </c>
      <c r="G5" s="4">
        <v>1.0600696889943251E-2</v>
      </c>
      <c r="H5" s="4">
        <v>3.6330175159023703E-2</v>
      </c>
      <c r="I5" s="4">
        <v>1.3698673147763961E-2</v>
      </c>
      <c r="J5" s="4">
        <v>0.1113893804722805</v>
      </c>
      <c r="K5">
        <v>9.6596614083793941E-2</v>
      </c>
      <c r="L5" s="4">
        <v>1.9458506680653409E-2</v>
      </c>
      <c r="M5">
        <v>4.8387096774193512E-2</v>
      </c>
      <c r="N5" s="4">
        <v>4.7311361977820487E-2</v>
      </c>
      <c r="O5" s="4">
        <v>3.7151667136368527E-2</v>
      </c>
      <c r="P5" s="4">
        <v>3.2258036323051582E-2</v>
      </c>
      <c r="Q5" s="4"/>
      <c r="R5" s="4">
        <f>AVERAGE(B5:P5)</f>
        <v>4.6846151303351534E-2</v>
      </c>
      <c r="S5" s="4">
        <v>6.7422110558885704E-3</v>
      </c>
      <c r="T5" s="4">
        <f>R3+R4+R5-S5-S4-S3</f>
        <v>4.2426078824456023E-2</v>
      </c>
      <c r="U5">
        <f>R5-S5</f>
        <v>4.0103940247462964E-2</v>
      </c>
    </row>
    <row r="6" spans="1:22">
      <c r="A6" s="2" t="s">
        <v>8</v>
      </c>
      <c r="B6" s="4">
        <v>-1.088031651E-2</v>
      </c>
      <c r="C6">
        <v>7.1428571428571166E-3</v>
      </c>
      <c r="D6" s="4">
        <v>-5.1724006389749499E-3</v>
      </c>
      <c r="E6" s="4">
        <v>1.234470310960134E-3</v>
      </c>
      <c r="F6" s="4">
        <v>-1.354385446902329E-2</v>
      </c>
      <c r="G6" s="4">
        <v>7.867146493800492E-3</v>
      </c>
      <c r="H6" s="4">
        <v>-1.723129538706436E-2</v>
      </c>
      <c r="I6" s="4">
        <v>1.6891276678256959E-3</v>
      </c>
      <c r="J6" s="4">
        <v>1.1799010818608791E-2</v>
      </c>
      <c r="K6">
        <v>-2.966706276143372E-3</v>
      </c>
      <c r="L6" s="4">
        <v>-1.401495278857001E-2</v>
      </c>
      <c r="M6">
        <v>0</v>
      </c>
      <c r="N6" s="4">
        <v>-5.5058164580742419E-3</v>
      </c>
      <c r="O6" s="4">
        <v>-6.7164152548609302E-2</v>
      </c>
      <c r="P6" s="4">
        <v>-3.1250714380662852E-3</v>
      </c>
      <c r="Q6" s="4"/>
      <c r="R6" s="4">
        <f>AVERAGE(B6:P6)</f>
        <v>-7.3247969386982387E-3</v>
      </c>
      <c r="S6" s="4">
        <v>7.4112334853124739E-3</v>
      </c>
      <c r="T6" s="4">
        <f>R6+R5+R4+R3-S6-S5-S4-S3</f>
        <v>2.7690048400445311E-2</v>
      </c>
      <c r="U6">
        <f>R6-S6</f>
        <v>-1.4736030424010713E-2</v>
      </c>
    </row>
    <row r="7" spans="1:22">
      <c r="A7" s="2" t="s">
        <v>9</v>
      </c>
      <c r="B7" s="4">
        <v>-5.1111111100000002E-3</v>
      </c>
      <c r="C7">
        <v>-1.418439716312059E-2</v>
      </c>
      <c r="D7" s="4">
        <v>1.213172883333935E-2</v>
      </c>
      <c r="E7" s="4">
        <v>7.3971778018127043E-3</v>
      </c>
      <c r="F7" s="4">
        <v>9.1533576337192724E-3</v>
      </c>
      <c r="G7" s="4">
        <v>-1.0407622579203579E-2</v>
      </c>
      <c r="H7" s="4">
        <v>1.6928556105063611E-2</v>
      </c>
      <c r="I7" s="4">
        <v>-3.3726652788316209E-3</v>
      </c>
      <c r="J7" s="4">
        <v>1.1792972699822271E-3</v>
      </c>
      <c r="K7">
        <v>7.209891565327764E-2</v>
      </c>
      <c r="L7" s="4">
        <v>1.7056969273009589E-2</v>
      </c>
      <c r="M7">
        <v>2.3076923076922991E-2</v>
      </c>
      <c r="N7" s="4">
        <v>-4.2022738160825126E-3</v>
      </c>
      <c r="O7" s="4">
        <v>-1.4400024414062519E-2</v>
      </c>
      <c r="P7" s="4">
        <v>7.8370641463154644E-3</v>
      </c>
      <c r="Q7" s="4"/>
      <c r="R7" s="4">
        <f>AVERAGE(B7:P7)</f>
        <v>7.6787930288094684E-3</v>
      </c>
      <c r="S7" s="4">
        <v>8.4701534580691185E-3</v>
      </c>
      <c r="T7" s="4">
        <f>SUM(R3:R7)-SUM(S3:S7)</f>
        <v>2.6898687971185664E-2</v>
      </c>
      <c r="U7">
        <f>R7-S7</f>
        <v>-7.9136042925965003E-4</v>
      </c>
    </row>
    <row r="8" spans="1:2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2">
      <c r="A9" s="4"/>
      <c r="B9" s="5" t="s">
        <v>55</v>
      </c>
      <c r="C9" s="5" t="s">
        <v>56</v>
      </c>
      <c r="D9" s="5" t="s">
        <v>57</v>
      </c>
      <c r="E9" s="5" t="s">
        <v>58</v>
      </c>
      <c r="F9" s="5" t="s">
        <v>59</v>
      </c>
      <c r="G9" s="5" t="s">
        <v>78</v>
      </c>
      <c r="H9" s="5" t="s">
        <v>60</v>
      </c>
      <c r="I9" s="5" t="s">
        <v>61</v>
      </c>
      <c r="J9" s="5" t="s">
        <v>62</v>
      </c>
      <c r="K9" s="5" t="s">
        <v>79</v>
      </c>
      <c r="L9" s="5" t="s">
        <v>80</v>
      </c>
      <c r="M9" s="5" t="s">
        <v>47</v>
      </c>
      <c r="N9" s="5" t="s">
        <v>63</v>
      </c>
      <c r="O9" s="5" t="s">
        <v>81</v>
      </c>
      <c r="P9" s="5" t="s">
        <v>66</v>
      </c>
      <c r="Q9" s="4"/>
      <c r="R9" s="4"/>
      <c r="S9" s="4"/>
      <c r="T9" s="4"/>
    </row>
    <row r="10" spans="1:22">
      <c r="A10" s="1" t="s">
        <v>0</v>
      </c>
      <c r="B10" s="1" t="s">
        <v>17</v>
      </c>
      <c r="C10" s="6" t="s">
        <v>23</v>
      </c>
      <c r="D10" s="1" t="s">
        <v>22</v>
      </c>
      <c r="E10" s="1" t="s">
        <v>37</v>
      </c>
      <c r="F10" s="1" t="s">
        <v>18</v>
      </c>
      <c r="G10" s="1" t="s">
        <v>76</v>
      </c>
      <c r="H10" s="1" t="s">
        <v>20</v>
      </c>
      <c r="I10" s="1" t="s">
        <v>34</v>
      </c>
      <c r="J10" s="1" t="s">
        <v>13</v>
      </c>
      <c r="K10" s="1" t="s">
        <v>35</v>
      </c>
      <c r="L10" s="1" t="s">
        <v>30</v>
      </c>
      <c r="M10" s="1" t="s">
        <v>75</v>
      </c>
      <c r="N10" s="1" t="s">
        <v>25</v>
      </c>
      <c r="O10" s="1" t="s">
        <v>36</v>
      </c>
      <c r="P10" s="1" t="s">
        <v>65</v>
      </c>
      <c r="Q10" s="4"/>
      <c r="R10" s="3" t="s">
        <v>10</v>
      </c>
      <c r="S10" s="1" t="s">
        <v>32</v>
      </c>
      <c r="T10" s="3" t="s">
        <v>21</v>
      </c>
      <c r="U10" s="3" t="s">
        <v>85</v>
      </c>
    </row>
    <row r="11" spans="1:22">
      <c r="A11" s="2" t="s">
        <v>6</v>
      </c>
      <c r="B11" s="4">
        <v>-2.097905580110504E-2</v>
      </c>
      <c r="C11" s="7">
        <v>4.1379344265520368E-2</v>
      </c>
      <c r="D11" s="4">
        <v>9.191176212782759E-3</v>
      </c>
      <c r="E11">
        <v>-3.7643207855973859E-2</v>
      </c>
      <c r="F11" s="4">
        <v>2.8669723892701619E-2</v>
      </c>
      <c r="G11">
        <v>-2.1116190181930231E-2</v>
      </c>
      <c r="H11" s="4">
        <v>-1.8627814992221329E-2</v>
      </c>
      <c r="I11" s="4">
        <v>-6.3808595951742042E-3</v>
      </c>
      <c r="J11" s="4">
        <v>1.5598412017932E-3</v>
      </c>
      <c r="K11">
        <v>-7.94098326131365E-3</v>
      </c>
      <c r="L11">
        <v>-6.8306217442251072E-3</v>
      </c>
      <c r="M11" s="4">
        <v>-1.1268654488535419E-3</v>
      </c>
      <c r="N11" s="4">
        <v>-3.0628724576492461E-3</v>
      </c>
      <c r="O11">
        <v>-2.4213698924210329E-3</v>
      </c>
      <c r="P11">
        <v>5.8600041856020626E-3</v>
      </c>
      <c r="Q11" s="4"/>
      <c r="R11" s="4">
        <f>AVERAGE(B11:P11)</f>
        <v>-2.6313167648311488E-3</v>
      </c>
      <c r="S11" s="4">
        <v>-2.8651005386203239E-3</v>
      </c>
      <c r="T11" s="4">
        <f>R11-S11</f>
        <v>2.3378377378917509E-4</v>
      </c>
      <c r="U11">
        <f>R11-S11</f>
        <v>2.3378377378917509E-4</v>
      </c>
    </row>
    <row r="12" spans="1:22">
      <c r="A12" s="2" t="s">
        <v>5</v>
      </c>
      <c r="B12" s="4">
        <v>9.5238458542596938E-3</v>
      </c>
      <c r="C12" s="7">
        <v>2.1883159984099839E-2</v>
      </c>
      <c r="D12" s="4">
        <v>2.1857728333249948E-3</v>
      </c>
      <c r="E12">
        <v>-1.7006802721088451E-2</v>
      </c>
      <c r="F12" s="4">
        <v>-2.229705369930501E-3</v>
      </c>
      <c r="G12">
        <v>-4.622455166284678E-3</v>
      </c>
      <c r="H12" s="4">
        <v>-1.61341561336058E-2</v>
      </c>
      <c r="I12" s="4">
        <v>1.487133904573668E-3</v>
      </c>
      <c r="J12" s="4">
        <v>-3.2705572215543381E-3</v>
      </c>
      <c r="K12">
        <v>-1.154127665814841E-2</v>
      </c>
      <c r="L12">
        <v>8.2531200342335076E-3</v>
      </c>
      <c r="M12" s="4">
        <v>-6.092042780491469E-3</v>
      </c>
      <c r="N12" s="4">
        <v>3.0969543931478771E-2</v>
      </c>
      <c r="O12">
        <v>4.8542562641198383E-3</v>
      </c>
      <c r="P12">
        <v>-7.2429386337453661E-3</v>
      </c>
      <c r="Q12" s="4"/>
      <c r="R12" s="4">
        <f>AVERAGE(B12:P12)</f>
        <v>7.3445987474942017E-4</v>
      </c>
      <c r="S12" s="4">
        <v>2.405026057131332E-3</v>
      </c>
      <c r="T12" s="4">
        <f>R12+R11-S12-S11</f>
        <v>-1.4367824085927366E-3</v>
      </c>
      <c r="U12">
        <f t="shared" ref="U12:U15" si="0">R12-S12</f>
        <v>-1.6705661823819117E-3</v>
      </c>
    </row>
    <row r="13" spans="1:22">
      <c r="A13" s="2" t="s">
        <v>7</v>
      </c>
      <c r="B13" s="4">
        <v>3.5377357217415861E-2</v>
      </c>
      <c r="C13" s="7">
        <v>1.267954147534511E-2</v>
      </c>
      <c r="D13" s="4">
        <v>4.0348985863919003E-2</v>
      </c>
      <c r="E13">
        <v>4.3299999999999998E-2</v>
      </c>
      <c r="F13" s="4">
        <v>-2.681561745618288E-2</v>
      </c>
      <c r="G13">
        <v>1.083593982167463E-2</v>
      </c>
      <c r="H13" s="4">
        <v>9.6469695390299925E-4</v>
      </c>
      <c r="I13" s="4">
        <v>-2.128419915292612E-2</v>
      </c>
      <c r="J13" s="4">
        <v>-1.6875022374718499E-2</v>
      </c>
      <c r="K13">
        <v>1.5065665413027669E-3</v>
      </c>
      <c r="L13">
        <v>9.5497523081293778E-3</v>
      </c>
      <c r="M13" s="4">
        <v>1.5777452408624489E-2</v>
      </c>
      <c r="N13" s="4">
        <v>-5.9005110935181904E-3</v>
      </c>
      <c r="O13">
        <v>4.8310431895450812E-3</v>
      </c>
      <c r="P13">
        <v>-7.6130561155403056E-3</v>
      </c>
      <c r="Q13" s="4"/>
      <c r="R13" s="4">
        <f>AVERAGE(B13:P13)</f>
        <v>6.4455286391315557E-3</v>
      </c>
      <c r="S13" s="4">
        <v>6.7422110558885704E-3</v>
      </c>
      <c r="T13" s="4">
        <f>R11+R12+R13-S13-S12-S11</f>
        <v>-1.7334648253497513E-3</v>
      </c>
      <c r="U13">
        <f t="shared" si="0"/>
        <v>-2.9668241675701468E-4</v>
      </c>
    </row>
    <row r="14" spans="1:22">
      <c r="A14" s="2" t="s">
        <v>8</v>
      </c>
      <c r="B14" s="4">
        <v>2.2778694907823471E-3</v>
      </c>
      <c r="C14" s="7">
        <v>9.182021248310468E-3</v>
      </c>
      <c r="D14" s="4">
        <v>5.2410766642831952E-3</v>
      </c>
      <c r="E14">
        <v>3.32E-2</v>
      </c>
      <c r="F14" s="4">
        <v>2.0665936209809169E-2</v>
      </c>
      <c r="G14">
        <v>-3.062791419238942E-2</v>
      </c>
      <c r="H14" s="4">
        <v>6.1033562943080266E-3</v>
      </c>
      <c r="I14" s="4">
        <v>-1.264368376813574E-2</v>
      </c>
      <c r="J14" s="4">
        <v>2.0661214145107909E-3</v>
      </c>
      <c r="K14">
        <v>-1.27867412445456E-2</v>
      </c>
      <c r="L14">
        <v>5.4054931625100444E-3</v>
      </c>
      <c r="M14" s="4">
        <v>7.375223072167536E-3</v>
      </c>
      <c r="N14" s="4">
        <v>-1.918760988239621E-3</v>
      </c>
      <c r="O14">
        <v>1.3221082580311849E-2</v>
      </c>
      <c r="P14">
        <v>6.8724320611210921E-3</v>
      </c>
      <c r="Q14" s="4"/>
      <c r="R14" s="4">
        <f>AVERAGE(B14:P14)</f>
        <v>3.5755674669869435E-3</v>
      </c>
      <c r="S14" s="4">
        <v>7.4112334853124739E-3</v>
      </c>
      <c r="T14" s="4">
        <f>R14+R13+R12+R11-S14-S13-S12-S11</f>
        <v>-5.5691308436752809E-3</v>
      </c>
      <c r="U14">
        <f t="shared" si="0"/>
        <v>-3.8356660183255305E-3</v>
      </c>
    </row>
    <row r="15" spans="1:22">
      <c r="A15" s="2" t="s">
        <v>9</v>
      </c>
      <c r="B15" s="4">
        <v>9.0909437699751017E-3</v>
      </c>
      <c r="C15" s="7">
        <v>-1.26826324418805E-2</v>
      </c>
      <c r="D15" s="4">
        <v>-4.86622505281509E-3</v>
      </c>
      <c r="E15">
        <v>4.8154093097913409E-2</v>
      </c>
      <c r="F15" s="4">
        <v>-4.4994331055421277E-3</v>
      </c>
      <c r="G15">
        <v>1.579777343409838E-2</v>
      </c>
      <c r="H15" s="4">
        <v>1.756074832050292E-2</v>
      </c>
      <c r="I15" s="4">
        <v>9.7322990802051201E-3</v>
      </c>
      <c r="J15" s="4">
        <v>9.8335108240430458E-3</v>
      </c>
      <c r="K15">
        <v>2.0571377912935281E-2</v>
      </c>
      <c r="L15">
        <v>8.0644692940801121E-3</v>
      </c>
      <c r="M15" s="4">
        <v>3.549621100158884E-3</v>
      </c>
      <c r="N15" s="4">
        <v>7.8693942513419213E-3</v>
      </c>
      <c r="O15">
        <v>3.440096693276562E-2</v>
      </c>
      <c r="P15">
        <v>1.9682433237657952E-2</v>
      </c>
      <c r="Q15" s="4"/>
      <c r="R15" s="4">
        <f>AVERAGE(B15:P15)</f>
        <v>1.2150622710362668E-2</v>
      </c>
      <c r="S15" s="4">
        <v>8.4701534580691185E-3</v>
      </c>
      <c r="T15" s="4">
        <f>SUM(R11:R15)-SUM(S11:S15)</f>
        <v>-1.8886615913817316E-3</v>
      </c>
      <c r="U15">
        <f t="shared" si="0"/>
        <v>3.6804692522935493E-3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C6AC-202C-7245-9F83-060A4F3EE132}">
  <dimension ref="A1:AF50"/>
  <sheetViews>
    <sheetView zoomScale="107" zoomScaleNormal="107" workbookViewId="0">
      <selection activeCell="B11" sqref="B11"/>
    </sheetView>
  </sheetViews>
  <sheetFormatPr baseColWidth="10" defaultRowHeight="14"/>
  <cols>
    <col min="1" max="1" width="20.83203125" bestFit="1" customWidth="1"/>
    <col min="2" max="2" width="29.83203125" bestFit="1" customWidth="1"/>
    <col min="3" max="3" width="19" customWidth="1"/>
    <col min="7" max="7" width="19.6640625" bestFit="1" customWidth="1"/>
    <col min="10" max="10" width="11" bestFit="1" customWidth="1"/>
    <col min="12" max="12" width="29.83203125" bestFit="1" customWidth="1"/>
  </cols>
  <sheetData>
    <row r="1" spans="1:32">
      <c r="A1" s="15" t="s">
        <v>82</v>
      </c>
      <c r="B1" s="15" t="s">
        <v>71</v>
      </c>
      <c r="C1" s="15" t="s">
        <v>72</v>
      </c>
      <c r="D1" s="15" t="s">
        <v>38</v>
      </c>
      <c r="E1" s="15" t="s">
        <v>73</v>
      </c>
      <c r="F1" s="16" t="s">
        <v>74</v>
      </c>
      <c r="H1" s="15" t="s">
        <v>71</v>
      </c>
      <c r="I1" s="15" t="s">
        <v>72</v>
      </c>
      <c r="J1" s="15" t="s">
        <v>38</v>
      </c>
      <c r="K1" s="15" t="s">
        <v>73</v>
      </c>
      <c r="L1" s="15" t="s">
        <v>74</v>
      </c>
      <c r="M1" s="15" t="s">
        <v>82</v>
      </c>
      <c r="N1" s="2"/>
      <c r="O1" s="2"/>
      <c r="Q1" s="15" t="s">
        <v>82</v>
      </c>
      <c r="R1" s="15" t="s">
        <v>71</v>
      </c>
      <c r="S1" s="15" t="s">
        <v>72</v>
      </c>
      <c r="T1" s="15" t="s">
        <v>38</v>
      </c>
      <c r="U1" s="15" t="s">
        <v>73</v>
      </c>
      <c r="V1" s="16" t="s">
        <v>74</v>
      </c>
      <c r="W1" s="15" t="s">
        <v>71</v>
      </c>
      <c r="X1" s="15" t="s">
        <v>72</v>
      </c>
      <c r="Y1" s="15" t="s">
        <v>38</v>
      </c>
      <c r="Z1" s="15" t="s">
        <v>73</v>
      </c>
      <c r="AA1" s="15" t="s">
        <v>74</v>
      </c>
      <c r="AB1" s="15" t="s">
        <v>82</v>
      </c>
      <c r="AC1" s="10"/>
      <c r="AD1" s="10"/>
      <c r="AE1" s="10"/>
      <c r="AF1" s="10"/>
    </row>
    <row r="2" spans="1:32">
      <c r="A2" s="17" t="s">
        <v>67</v>
      </c>
      <c r="B2" s="13">
        <f>-0.33%-$B$20</f>
        <v>-4.3489946137967609E-4</v>
      </c>
      <c r="C2" s="13">
        <f>0.33%-$C$20</f>
        <v>8.9497394286866799E-4</v>
      </c>
      <c r="D2" s="13">
        <f>10.02%-$D$20</f>
        <v>9.3457788944111428E-2</v>
      </c>
      <c r="E2" s="13">
        <f>-1.09%-$E$20</f>
        <v>-1.8311233485312474E-2</v>
      </c>
      <c r="F2" s="18">
        <f>-0.51%-$F$20</f>
        <v>-1.3570153458069119E-2</v>
      </c>
      <c r="H2" s="13">
        <f>-2.1%-$B$20</f>
        <v>-1.8134899461379677E-2</v>
      </c>
      <c r="I2" s="13">
        <f>0.95%-$C$20</f>
        <v>7.0949739428686678E-3</v>
      </c>
      <c r="J2" s="13">
        <f>3.54%-$D$20</f>
        <v>2.8657788944111431E-2</v>
      </c>
      <c r="K2" s="13">
        <f>0.23%-$E$20</f>
        <v>-5.111233485312474E-3</v>
      </c>
      <c r="L2" s="13">
        <f>0.91%-$F$20</f>
        <v>6.2984654193088199E-4</v>
      </c>
      <c r="M2" s="17" t="s">
        <v>17</v>
      </c>
      <c r="N2" s="10"/>
      <c r="O2" s="10"/>
      <c r="P2" s="10"/>
      <c r="Q2" s="17" t="s">
        <v>67</v>
      </c>
      <c r="R2" s="13">
        <v>-3.3E-3</v>
      </c>
      <c r="S2" s="13">
        <v>3.3E-3</v>
      </c>
      <c r="T2" s="13">
        <v>0.1002</v>
      </c>
      <c r="U2" s="13">
        <v>-1.09E-2</v>
      </c>
      <c r="V2" s="18">
        <v>-5.1000000000000004E-3</v>
      </c>
      <c r="W2" s="13">
        <v>-2.1000000000000001E-2</v>
      </c>
      <c r="X2" s="13">
        <v>9.4999999999999998E-3</v>
      </c>
      <c r="Y2" s="13">
        <v>3.5400000000000001E-2</v>
      </c>
      <c r="Z2" s="13">
        <v>2.3E-3</v>
      </c>
      <c r="AA2" s="13">
        <v>9.1000000000000004E-3</v>
      </c>
      <c r="AB2" s="17" t="s">
        <v>17</v>
      </c>
      <c r="AC2" s="10"/>
      <c r="AD2" s="10"/>
      <c r="AE2" s="10"/>
      <c r="AF2" s="10"/>
    </row>
    <row r="3" spans="1:32">
      <c r="A3" s="17" t="s">
        <v>11</v>
      </c>
      <c r="B3" s="13">
        <f>-2.33%-$B$20</f>
        <v>-2.0434899461379677E-2</v>
      </c>
      <c r="C3" s="13">
        <f>-0.34%-$C$20</f>
        <v>-5.8050260571313322E-3</v>
      </c>
      <c r="D3" s="13">
        <f>1.37%-$D$20</f>
        <v>6.95778894411143E-3</v>
      </c>
      <c r="E3" s="13">
        <f>0.17%-$E$20</f>
        <v>-5.7112334853124738E-3</v>
      </c>
      <c r="F3" s="18">
        <f>-0.34%-$F$20</f>
        <v>-1.1870153458069119E-2</v>
      </c>
      <c r="H3" s="13">
        <f>-1.86%-$B$20</f>
        <v>-1.5734899461379678E-2</v>
      </c>
      <c r="I3" s="13">
        <f>-1.61%-$C$20</f>
        <v>-1.8505026057131332E-2</v>
      </c>
      <c r="J3" s="13">
        <f>0.1%-$D$20</f>
        <v>-5.7422110558885704E-3</v>
      </c>
      <c r="K3" s="13">
        <f>0.61%-$E$20</f>
        <v>-1.3112334853124744E-3</v>
      </c>
      <c r="L3" s="13">
        <f>1.76%-$F$20</f>
        <v>9.1298465419308826E-3</v>
      </c>
      <c r="M3" s="17" t="s">
        <v>20</v>
      </c>
      <c r="N3" s="11"/>
      <c r="O3" s="11"/>
      <c r="P3" s="10"/>
      <c r="Q3" s="17" t="s">
        <v>11</v>
      </c>
      <c r="R3" s="13">
        <v>-2.3300000000000001E-2</v>
      </c>
      <c r="S3" s="13">
        <v>-3.3999999999999998E-3</v>
      </c>
      <c r="T3" s="13">
        <v>1.37E-2</v>
      </c>
      <c r="U3" s="13">
        <v>1.6999999999999999E-3</v>
      </c>
      <c r="V3" s="18">
        <v>-3.3999999999999998E-3</v>
      </c>
      <c r="W3" s="13">
        <v>-1.8599999999999998E-2</v>
      </c>
      <c r="X3" s="13">
        <v>-1.61E-2</v>
      </c>
      <c r="Y3" s="13">
        <v>1E-3</v>
      </c>
      <c r="Z3" s="13">
        <v>6.1000000000000004E-3</v>
      </c>
      <c r="AA3" s="13">
        <v>1.7600000000000001E-2</v>
      </c>
      <c r="AB3" s="17" t="s">
        <v>20</v>
      </c>
      <c r="AC3" s="10"/>
      <c r="AD3" s="10"/>
      <c r="AE3" s="10"/>
      <c r="AF3" s="10"/>
    </row>
    <row r="4" spans="1:32">
      <c r="A4" s="17" t="s">
        <v>1</v>
      </c>
      <c r="B4" s="13">
        <f>-1.15%-$B$20</f>
        <v>-8.6348994613796755E-3</v>
      </c>
      <c r="C4" s="13">
        <f>1.04%-$C$20</f>
        <v>7.9949739428686675E-3</v>
      </c>
      <c r="D4" s="13">
        <f>5.2%-$D$20</f>
        <v>4.5257788944111435E-2</v>
      </c>
      <c r="E4" s="13">
        <f>-1.35%-$E$20</f>
        <v>-2.0911233485312476E-2</v>
      </c>
      <c r="F4" s="18">
        <f>0.92%-$F$20</f>
        <v>7.2984654193088139E-4</v>
      </c>
      <c r="H4" s="13">
        <f>-0.24%-$B$20</f>
        <v>4.651005386203241E-4</v>
      </c>
      <c r="I4" s="13">
        <f>0.49%-$C$20</f>
        <v>2.4949739428686678E-3</v>
      </c>
      <c r="J4" s="13">
        <f>0.48%-$D$20</f>
        <v>-1.9422110558885708E-3</v>
      </c>
      <c r="K4" s="13">
        <f>1.32%-$E$20</f>
        <v>5.788766514687526E-3</v>
      </c>
      <c r="L4" s="13">
        <f>3.44%-$F$20</f>
        <v>2.5929846541930882E-2</v>
      </c>
      <c r="M4" s="17" t="s">
        <v>36</v>
      </c>
      <c r="N4" s="10"/>
      <c r="O4" s="10"/>
      <c r="P4" s="10"/>
      <c r="Q4" s="17" t="s">
        <v>1</v>
      </c>
      <c r="R4" s="13">
        <v>-1.15E-2</v>
      </c>
      <c r="S4" s="13">
        <v>1.04E-2</v>
      </c>
      <c r="T4" s="13">
        <v>5.1999999999999998E-2</v>
      </c>
      <c r="U4" s="13">
        <v>-1.35E-2</v>
      </c>
      <c r="V4" s="18">
        <v>9.1999999999999998E-3</v>
      </c>
      <c r="W4" s="13">
        <v>-2.3999999999999998E-3</v>
      </c>
      <c r="X4" s="13">
        <v>4.8999999999999998E-3</v>
      </c>
      <c r="Y4" s="13">
        <v>4.7999999999999996E-3</v>
      </c>
      <c r="Z4" s="13">
        <v>1.32E-2</v>
      </c>
      <c r="AA4" s="13">
        <v>3.44E-2</v>
      </c>
      <c r="AB4" s="17" t="s">
        <v>36</v>
      </c>
      <c r="AC4" s="10"/>
      <c r="AD4" s="10"/>
      <c r="AE4" s="10"/>
      <c r="AF4" s="10"/>
    </row>
    <row r="5" spans="1:32">
      <c r="A5" s="17" t="s">
        <v>14</v>
      </c>
      <c r="B5" s="13">
        <f>0.4%-$B$20</f>
        <v>6.8651005386203244E-3</v>
      </c>
      <c r="C5" s="13">
        <f>-0.74%-$C$20</f>
        <v>-9.8050260571313323E-3</v>
      </c>
      <c r="D5" s="13">
        <f>1.14%-$D$20</f>
        <v>4.6577889441114283E-3</v>
      </c>
      <c r="E5" s="13">
        <f>0.12%-$E$20</f>
        <v>-6.2112334853124743E-3</v>
      </c>
      <c r="F5" s="18">
        <f>0.74%-$F$20</f>
        <v>-1.0701534580691181E-3</v>
      </c>
      <c r="H5" s="13">
        <f>-0.79%-$B$20</f>
        <v>-5.0348994613796764E-3</v>
      </c>
      <c r="I5" s="13">
        <f>-1.15%-$C$20</f>
        <v>-1.3905026057131332E-2</v>
      </c>
      <c r="J5" s="13">
        <f>0.15%-$D$20</f>
        <v>-5.2422110558885699E-3</v>
      </c>
      <c r="K5" s="13">
        <f>-1.28%-$E$20</f>
        <v>-2.0211233485312473E-2</v>
      </c>
      <c r="L5" s="13">
        <f>2.06%-$F$20</f>
        <v>1.2129846541930882E-2</v>
      </c>
      <c r="M5" s="17" t="s">
        <v>35</v>
      </c>
      <c r="N5" s="10"/>
      <c r="O5" s="10"/>
      <c r="P5" s="10"/>
      <c r="Q5" s="17" t="s">
        <v>14</v>
      </c>
      <c r="R5" s="13">
        <v>4.0000000000000001E-3</v>
      </c>
      <c r="S5" s="13">
        <v>-7.4000000000000003E-3</v>
      </c>
      <c r="T5" s="13">
        <v>1.14E-2</v>
      </c>
      <c r="U5" s="13">
        <v>1.1999999999999999E-3</v>
      </c>
      <c r="V5" s="18">
        <v>7.4000000000000003E-3</v>
      </c>
      <c r="W5" s="13">
        <v>-7.9000000000000008E-3</v>
      </c>
      <c r="X5" s="13">
        <v>-1.15E-2</v>
      </c>
      <c r="Y5" s="13">
        <v>1.5E-3</v>
      </c>
      <c r="Z5" s="13">
        <v>-1.2800000000000001E-2</v>
      </c>
      <c r="AA5" s="13">
        <v>2.06E-2</v>
      </c>
      <c r="AB5" s="17" t="s">
        <v>35</v>
      </c>
      <c r="AC5" s="10"/>
      <c r="AD5" s="10"/>
      <c r="AE5" s="10"/>
      <c r="AF5" s="10"/>
    </row>
    <row r="6" spans="1:32">
      <c r="A6" s="17" t="s">
        <v>27</v>
      </c>
      <c r="B6" s="13">
        <f>-1.58%-$B$20</f>
        <v>-1.2934899461379677E-2</v>
      </c>
      <c r="C6" s="13">
        <f>-1.07%-$C$20</f>
        <v>-1.3105026057131333E-2</v>
      </c>
      <c r="D6" s="13">
        <f>4.88%-$D$20</f>
        <v>4.2057788944111427E-2</v>
      </c>
      <c r="E6" s="13">
        <f>-0.52%-$E$20</f>
        <v>-1.2611233485312474E-2</v>
      </c>
      <c r="F6" s="18">
        <f>1.21%-$F$20</f>
        <v>3.6298465419308812E-3</v>
      </c>
      <c r="H6" s="13">
        <f>-0.64%-$B$20</f>
        <v>-3.5348994613796764E-3</v>
      </c>
      <c r="I6" s="13">
        <f>0.15%-$C$20</f>
        <v>-9.0502605713133196E-4</v>
      </c>
      <c r="J6" s="13">
        <f>-2.13%-$D$20</f>
        <v>-2.8042211055888569E-2</v>
      </c>
      <c r="K6" s="13">
        <f>-1.26%-$E$20</f>
        <v>-2.0011233485312474E-2</v>
      </c>
      <c r="L6" s="13">
        <f>0.97%-$F$20</f>
        <v>1.2298465419308818E-3</v>
      </c>
      <c r="M6" s="17" t="s">
        <v>34</v>
      </c>
      <c r="N6" s="10"/>
      <c r="O6" s="10"/>
      <c r="P6" s="10"/>
      <c r="Q6" s="17" t="s">
        <v>27</v>
      </c>
      <c r="R6" s="13">
        <v>-1.5800000000000002E-2</v>
      </c>
      <c r="S6" s="13">
        <v>-1.0699999999999999E-2</v>
      </c>
      <c r="T6" s="13">
        <v>4.8800000000000003E-2</v>
      </c>
      <c r="U6" s="13">
        <v>-5.1999999999999998E-3</v>
      </c>
      <c r="V6" s="18">
        <v>1.21E-2</v>
      </c>
      <c r="W6" s="13">
        <v>-6.4000000000000003E-3</v>
      </c>
      <c r="X6" s="13">
        <v>1.5E-3</v>
      </c>
      <c r="Y6" s="13">
        <v>-2.1299999999999999E-2</v>
      </c>
      <c r="Z6" s="13">
        <v>-1.26E-2</v>
      </c>
      <c r="AA6" s="13">
        <v>9.7000000000000003E-3</v>
      </c>
      <c r="AB6" s="17" t="s">
        <v>34</v>
      </c>
      <c r="AC6" s="10"/>
      <c r="AD6" s="10"/>
      <c r="AE6" s="10"/>
    </row>
    <row r="7" spans="1:32">
      <c r="A7" s="17" t="s">
        <v>28</v>
      </c>
      <c r="B7" s="13">
        <f>-0.16%-$B$20</f>
        <v>1.2651005386203238E-3</v>
      </c>
      <c r="C7" s="13">
        <f>1.81%-$C$20</f>
        <v>1.569497394286867E-2</v>
      </c>
      <c r="D7" s="13">
        <f>3.23%-$D$20</f>
        <v>2.5557788944111433E-2</v>
      </c>
      <c r="E7" s="13">
        <f>-0.31%-$E$20</f>
        <v>-1.0511233485312474E-2</v>
      </c>
      <c r="F7" s="18">
        <f>0.78%-$F$20</f>
        <v>-6.7015345806911795E-4</v>
      </c>
      <c r="H7" s="13">
        <f>-0.0376432078559739-$B$20</f>
        <v>-3.4778107317353577E-2</v>
      </c>
      <c r="I7" s="13">
        <f>-0.0170068027210885-$C$20</f>
        <v>-1.9411828778219831E-2</v>
      </c>
      <c r="J7" s="13">
        <f>0.0433-$D$20</f>
        <v>3.6557788944111429E-2</v>
      </c>
      <c r="K7" s="13">
        <f>0.0332-$E$20</f>
        <v>2.5788766514687526E-2</v>
      </c>
      <c r="L7" s="13">
        <f>0.0481540930979134-$F$20</f>
        <v>3.9683939639844283E-2</v>
      </c>
      <c r="M7" s="17" t="s">
        <v>37</v>
      </c>
      <c r="N7" s="10"/>
      <c r="O7" s="10"/>
      <c r="P7" s="10"/>
      <c r="Q7" s="17" t="s">
        <v>28</v>
      </c>
      <c r="R7" s="13">
        <v>-1.6000000000000001E-3</v>
      </c>
      <c r="S7" s="13">
        <v>1.8100000000000002E-2</v>
      </c>
      <c r="T7" s="13">
        <v>3.2300000000000002E-2</v>
      </c>
      <c r="U7" s="13">
        <v>-3.0999999999999999E-3</v>
      </c>
      <c r="V7" s="18">
        <v>7.7999999999999996E-3</v>
      </c>
      <c r="W7" s="13">
        <v>-3.7643207855973859E-2</v>
      </c>
      <c r="X7" s="13">
        <v>-1.7006802721088451E-2</v>
      </c>
      <c r="Y7" s="13">
        <v>4.3299999999999998E-2</v>
      </c>
      <c r="Z7" s="13">
        <v>3.32E-2</v>
      </c>
      <c r="AA7" s="13">
        <v>4.8154093097913409E-2</v>
      </c>
      <c r="AB7" s="17" t="s">
        <v>37</v>
      </c>
      <c r="AC7" s="10"/>
      <c r="AD7" s="10"/>
      <c r="AE7" s="10"/>
    </row>
    <row r="8" spans="1:32">
      <c r="A8" s="17" t="s">
        <v>4</v>
      </c>
      <c r="B8" s="13">
        <f>-1.01%-$B$20</f>
        <v>-7.2348994613796753E-3</v>
      </c>
      <c r="C8" s="13">
        <f>0.29%-$C$20</f>
        <v>4.949739428686678E-4</v>
      </c>
      <c r="D8" s="13">
        <f>1.95%-$D$20</f>
        <v>1.275778894411143E-2</v>
      </c>
      <c r="E8" s="13">
        <f>-1.4%-$E$20</f>
        <v>-2.1411233485312473E-2</v>
      </c>
      <c r="F8" s="18">
        <f>1.71%-$F$20</f>
        <v>8.6298465419308822E-3</v>
      </c>
      <c r="H8" s="13">
        <f>2.87%-$B$20</f>
        <v>3.1565100538620321E-2</v>
      </c>
      <c r="I8" s="13">
        <f>-0.22%-$C$20</f>
        <v>-4.6050260571313326E-3</v>
      </c>
      <c r="J8" s="13">
        <f>-2.68%-$D$20</f>
        <v>-3.3542211055888574E-2</v>
      </c>
      <c r="K8" s="13">
        <f>2.07%-$E$20</f>
        <v>1.3288766514687526E-2</v>
      </c>
      <c r="L8" s="13">
        <f>-0.45%-$F$20</f>
        <v>-1.2970153458069119E-2</v>
      </c>
      <c r="M8" s="17" t="s">
        <v>18</v>
      </c>
      <c r="N8" s="10"/>
      <c r="O8" s="10"/>
      <c r="P8" s="10"/>
      <c r="Q8" s="17" t="s">
        <v>4</v>
      </c>
      <c r="R8" s="13">
        <v>-1.01E-2</v>
      </c>
      <c r="S8" s="13">
        <v>2.8999999999999998E-3</v>
      </c>
      <c r="T8" s="13">
        <v>1.95E-2</v>
      </c>
      <c r="U8" s="13">
        <v>-1.4E-2</v>
      </c>
      <c r="V8" s="18">
        <v>1.7100000000000001E-2</v>
      </c>
      <c r="W8" s="13">
        <v>2.87E-2</v>
      </c>
      <c r="X8" s="13">
        <v>-2.2000000000000001E-3</v>
      </c>
      <c r="Y8" s="13">
        <v>-2.6800000000000001E-2</v>
      </c>
      <c r="Z8" s="13">
        <v>2.07E-2</v>
      </c>
      <c r="AA8" s="13">
        <v>-4.4999999999999997E-3</v>
      </c>
      <c r="AB8" s="17" t="s">
        <v>18</v>
      </c>
      <c r="AC8" s="10"/>
      <c r="AD8" s="10"/>
      <c r="AE8" s="10"/>
    </row>
    <row r="9" spans="1:32">
      <c r="A9" s="17" t="s">
        <v>16</v>
      </c>
      <c r="B9" s="13">
        <f>0.015037594-$B$20</f>
        <v>1.7902694538620322E-2</v>
      </c>
      <c r="C9" s="13">
        <f>0-$C$20</f>
        <v>-2.405026057131332E-3</v>
      </c>
      <c r="D9" s="13">
        <f>0.037037037037037-$D$20</f>
        <v>3.0294825981148431E-2</v>
      </c>
      <c r="E9" s="13">
        <f>0.007142857-$E$20</f>
        <v>-2.6837648531247409E-4</v>
      </c>
      <c r="F9" s="18">
        <f>-0.014184397-$F$20</f>
        <v>-2.265455045806912E-2</v>
      </c>
      <c r="H9" s="13">
        <f>-0.68%-$B$20</f>
        <v>-3.9348994613796762E-3</v>
      </c>
      <c r="I9" s="13">
        <f>0.83%-$C$20</f>
        <v>5.8949739428686681E-3</v>
      </c>
      <c r="J9" s="13">
        <f>0.95%-$D$20</f>
        <v>2.7577889441114294E-3</v>
      </c>
      <c r="K9" s="13">
        <f>0.54%-$E$20</f>
        <v>-2.0112334853124737E-3</v>
      </c>
      <c r="L9" s="13">
        <f>0.81%-$F$20</f>
        <v>-3.7015345806911716E-4</v>
      </c>
      <c r="M9" s="17" t="s">
        <v>30</v>
      </c>
      <c r="N9" s="10"/>
      <c r="O9" s="10"/>
      <c r="P9" s="10"/>
      <c r="Q9" s="17" t="s">
        <v>16</v>
      </c>
      <c r="R9" s="13">
        <v>1.503759398496252E-2</v>
      </c>
      <c r="S9" s="13">
        <v>0</v>
      </c>
      <c r="T9" s="13">
        <v>3.7037037037037E-2</v>
      </c>
      <c r="U9" s="13">
        <v>7.1428571428571166E-3</v>
      </c>
      <c r="V9" s="18">
        <v>-1.418439716312059E-2</v>
      </c>
      <c r="W9" s="13">
        <v>-6.7999999999999996E-3</v>
      </c>
      <c r="X9" s="13">
        <v>8.3000000000000001E-3</v>
      </c>
      <c r="Y9" s="13">
        <v>9.4999999999999998E-3</v>
      </c>
      <c r="Z9" s="13">
        <v>5.4000000000000003E-3</v>
      </c>
      <c r="AA9" s="13">
        <v>8.0999999999999996E-3</v>
      </c>
      <c r="AB9" s="17" t="s">
        <v>30</v>
      </c>
      <c r="AC9" s="10"/>
      <c r="AD9" s="10"/>
      <c r="AE9" s="10"/>
    </row>
    <row r="10" spans="1:32">
      <c r="A10" s="17" t="s">
        <v>29</v>
      </c>
      <c r="B10" s="13">
        <f>-3.05%-$B$20</f>
        <v>-2.7634899461379675E-2</v>
      </c>
      <c r="C10" s="13">
        <f>1.73%-$C$20</f>
        <v>1.4894973942868667E-2</v>
      </c>
      <c r="D10" s="13">
        <f>3.72%-$D$20</f>
        <v>3.0457788944111434E-2</v>
      </c>
      <c r="E10" s="13">
        <f>-6.72%-$E$20</f>
        <v>-7.461123348531247E-2</v>
      </c>
      <c r="F10" s="18">
        <f>-1.44%-$F$20</f>
        <v>-2.2870153458069118E-2</v>
      </c>
      <c r="H10" s="13">
        <f>0.59%-$B$20</f>
        <v>8.7651005386203233E-3</v>
      </c>
      <c r="I10" s="13">
        <f>-0.72%-$C$20</f>
        <v>-9.6050260571313318E-3</v>
      </c>
      <c r="J10" s="13">
        <f>-0.76%-$D$20</f>
        <v>-1.434221105588857E-2</v>
      </c>
      <c r="K10" s="13">
        <f>0.69%-$E$20</f>
        <v>-5.1123348531247406E-4</v>
      </c>
      <c r="L10" s="13">
        <f>1.97%-$F$20</f>
        <v>1.122984654193088E-2</v>
      </c>
      <c r="M10" s="17" t="s">
        <v>64</v>
      </c>
      <c r="N10" s="10"/>
      <c r="O10" s="10"/>
      <c r="P10" s="10"/>
      <c r="Q10" s="17" t="s">
        <v>29</v>
      </c>
      <c r="R10" s="13">
        <v>-3.0499999999999999E-2</v>
      </c>
      <c r="S10" s="13">
        <v>1.7299999999999999E-2</v>
      </c>
      <c r="T10" s="13">
        <v>3.7199999999999997E-2</v>
      </c>
      <c r="U10" s="13">
        <v>-6.7199999999999996E-2</v>
      </c>
      <c r="V10" s="18">
        <v>-1.44E-2</v>
      </c>
      <c r="W10" s="13">
        <v>5.8999999999999999E-3</v>
      </c>
      <c r="X10" s="13">
        <v>-7.1999999999999998E-3</v>
      </c>
      <c r="Y10" s="13">
        <v>-7.6E-3</v>
      </c>
      <c r="Z10" s="13">
        <v>6.8999999999999999E-3</v>
      </c>
      <c r="AA10" s="13">
        <v>1.9699999999999999E-2</v>
      </c>
      <c r="AB10" s="17" t="s">
        <v>64</v>
      </c>
      <c r="AC10" s="10"/>
      <c r="AD10" s="10"/>
      <c r="AE10" s="10"/>
    </row>
    <row r="11" spans="1:32">
      <c r="A11" s="17" t="s">
        <v>26</v>
      </c>
      <c r="B11" s="13">
        <f>-1.09%-$B$20</f>
        <v>-8.0348994613796756E-3</v>
      </c>
      <c r="C11" s="13">
        <f>-0.31%-$C$20</f>
        <v>-5.5050260571313323E-3</v>
      </c>
      <c r="D11" s="13">
        <f>3.63%-$D$20</f>
        <v>2.9557788944111429E-2</v>
      </c>
      <c r="E11" s="13">
        <f>-1.72%-$E$20</f>
        <v>-2.4611233485312474E-2</v>
      </c>
      <c r="F11" s="18">
        <f>1.69%-$F$20</f>
        <v>8.4298465419308799E-3</v>
      </c>
      <c r="H11" s="13">
        <f>4.14%-$B$20</f>
        <v>4.4265100538620324E-2</v>
      </c>
      <c r="I11" s="13">
        <f>2.19%-$C$20</f>
        <v>1.9494973942868667E-2</v>
      </c>
      <c r="J11" s="13">
        <f>1.27%-$D$20</f>
        <v>5.9577889441114291E-3</v>
      </c>
      <c r="K11" s="13">
        <f>0.92%-$E$20</f>
        <v>1.7887665146875259E-3</v>
      </c>
      <c r="L11" s="13">
        <f>-1.27%-$F$20</f>
        <v>-2.1170153458069118E-2</v>
      </c>
      <c r="M11" s="17" t="s">
        <v>23</v>
      </c>
      <c r="N11" s="10"/>
      <c r="O11" s="10"/>
      <c r="P11" s="10"/>
      <c r="Q11" s="17" t="s">
        <v>26</v>
      </c>
      <c r="R11" s="13">
        <v>-1.09E-2</v>
      </c>
      <c r="S11" s="13">
        <v>-3.0999999999999999E-3</v>
      </c>
      <c r="T11" s="13">
        <v>3.6299999999999999E-2</v>
      </c>
      <c r="U11" s="13">
        <v>-1.72E-2</v>
      </c>
      <c r="V11" s="18">
        <v>1.6899999999999998E-2</v>
      </c>
      <c r="W11" s="13">
        <v>4.1399999999999999E-2</v>
      </c>
      <c r="X11" s="13">
        <v>2.1899999999999999E-2</v>
      </c>
      <c r="Y11" s="13">
        <v>1.2699999999999999E-2</v>
      </c>
      <c r="Z11" s="13">
        <v>9.1999999999999998E-3</v>
      </c>
      <c r="AA11" s="13">
        <v>-1.2699999999999999E-2</v>
      </c>
      <c r="AB11" s="17" t="s">
        <v>23</v>
      </c>
      <c r="AC11" s="10"/>
      <c r="AD11" s="10"/>
      <c r="AE11" s="10"/>
    </row>
    <row r="12" spans="1:32">
      <c r="A12" s="17" t="s">
        <v>12</v>
      </c>
      <c r="B12" s="13">
        <f>0.002-$B$20</f>
        <v>4.8651005386203244E-3</v>
      </c>
      <c r="C12" s="13">
        <f>-0.00998003992015972-$C$20</f>
        <v>-1.2385065977291053E-2</v>
      </c>
      <c r="D12" s="13">
        <f>0.0483870967741935-$D$20</f>
        <v>4.1644885718304929E-2</v>
      </c>
      <c r="E12" s="13">
        <f>0-$E$20</f>
        <v>-7.4112334853124739E-3</v>
      </c>
      <c r="F12" s="18">
        <f>0.023076923076923-$F$20</f>
        <v>1.460676961885388E-2</v>
      </c>
      <c r="H12" s="13">
        <f>0.92%-$B$20</f>
        <v>1.2065100538620324E-2</v>
      </c>
      <c r="I12" s="13">
        <f>0.22%-$C$20</f>
        <v>-2.0502605713133186E-4</v>
      </c>
      <c r="J12" s="13">
        <f>4.03%-$D$20</f>
        <v>3.3557788944111433E-2</v>
      </c>
      <c r="K12" s="13">
        <f>0.52%-$E$20</f>
        <v>-2.2112334853124742E-3</v>
      </c>
      <c r="L12" s="13">
        <f>-0.49%-$F$20</f>
        <v>-1.3370153458069118E-2</v>
      </c>
      <c r="M12" s="17" t="s">
        <v>22</v>
      </c>
      <c r="N12" s="10"/>
      <c r="O12" s="10"/>
      <c r="P12" s="10"/>
      <c r="Q12" s="17" t="s">
        <v>12</v>
      </c>
      <c r="R12" s="13">
        <v>2E-3</v>
      </c>
      <c r="S12" s="13">
        <v>-9.9800399201597223E-3</v>
      </c>
      <c r="T12" s="13">
        <v>4.8387096774193512E-2</v>
      </c>
      <c r="U12" s="13">
        <v>0</v>
      </c>
      <c r="V12" s="18">
        <v>2.3076923076922991E-2</v>
      </c>
      <c r="W12" s="13">
        <v>9.1999999999999998E-3</v>
      </c>
      <c r="X12" s="13">
        <v>2.2000000000000001E-3</v>
      </c>
      <c r="Y12" s="13">
        <v>4.0300000000000002E-2</v>
      </c>
      <c r="Z12" s="13">
        <v>5.1999999999999998E-3</v>
      </c>
      <c r="AA12" s="13">
        <v>-4.8999999999999998E-3</v>
      </c>
      <c r="AB12" s="17" t="s">
        <v>22</v>
      </c>
      <c r="AC12" s="10"/>
      <c r="AD12" s="10"/>
      <c r="AE12" s="10"/>
    </row>
    <row r="13" spans="1:32">
      <c r="A13" s="17" t="s">
        <v>24</v>
      </c>
      <c r="B13" s="13">
        <f>2%-$B$20</f>
        <v>2.2865100538620325E-2</v>
      </c>
      <c r="C13" s="13">
        <f>8.02%-$C$20</f>
        <v>7.7794973942868662E-2</v>
      </c>
      <c r="D13" s="13">
        <f>11.14%-$D$20</f>
        <v>0.10465778894411143</v>
      </c>
      <c r="E13" s="13">
        <f>1.18%-$E$20</f>
        <v>4.3887665146875258E-3</v>
      </c>
      <c r="F13" s="18">
        <f>0.12%-$F$20</f>
        <v>-7.2701534580691188E-3</v>
      </c>
      <c r="H13" s="13">
        <f>0.16%-$B$20</f>
        <v>4.4651005386203242E-3</v>
      </c>
      <c r="I13" s="13">
        <f>-0.33%-$C$20</f>
        <v>-5.705026057131332E-3</v>
      </c>
      <c r="J13" s="13">
        <f>-1.69%-$D$20</f>
        <v>-2.3642211055888568E-2</v>
      </c>
      <c r="K13" s="13">
        <f>0.21%-$E$20</f>
        <v>-5.3112334853124745E-3</v>
      </c>
      <c r="L13" s="13">
        <f>0.98%-$F$20</f>
        <v>1.3298465419308812E-3</v>
      </c>
      <c r="M13" s="17" t="s">
        <v>13</v>
      </c>
      <c r="N13" s="10"/>
      <c r="O13" s="10"/>
      <c r="P13" s="10"/>
      <c r="Q13" s="17" t="s">
        <v>24</v>
      </c>
      <c r="R13" s="13">
        <v>0.02</v>
      </c>
      <c r="S13" s="13">
        <v>8.0199999999999994E-2</v>
      </c>
      <c r="T13" s="13">
        <v>0.1114</v>
      </c>
      <c r="U13" s="13">
        <v>1.18E-2</v>
      </c>
      <c r="V13" s="18">
        <v>1.1999999999999999E-3</v>
      </c>
      <c r="W13" s="13">
        <v>1.6000000000000001E-3</v>
      </c>
      <c r="X13" s="13">
        <v>-3.3E-3</v>
      </c>
      <c r="Y13" s="13">
        <v>-1.6899999999999998E-2</v>
      </c>
      <c r="Z13" s="13">
        <v>2.0999999999999999E-3</v>
      </c>
      <c r="AA13" s="13">
        <v>9.7999999999999997E-3</v>
      </c>
      <c r="AB13" s="17" t="s">
        <v>13</v>
      </c>
      <c r="AC13" s="10"/>
      <c r="AD13" s="10"/>
      <c r="AE13" s="10"/>
    </row>
    <row r="14" spans="1:32">
      <c r="A14" s="17" t="s">
        <v>2</v>
      </c>
      <c r="B14" s="13">
        <f>0.22%-$B$20</f>
        <v>5.065100538620324E-3</v>
      </c>
      <c r="C14" s="13">
        <f>0.52%-$C$20</f>
        <v>2.7949739428686678E-3</v>
      </c>
      <c r="D14" s="13">
        <f>4.73%-$D$20</f>
        <v>4.0557788944111432E-2</v>
      </c>
      <c r="E14" s="13">
        <f>-0.55%-$E$20</f>
        <v>-1.2911233485312475E-2</v>
      </c>
      <c r="F14" s="18">
        <f>-0.42%-$F$20</f>
        <v>-1.2670153458069117E-2</v>
      </c>
      <c r="H14" s="13">
        <f>-0.31%-$B$20</f>
        <v>-2.34899461379676E-4</v>
      </c>
      <c r="I14" s="13">
        <f>3.1%-$C$20</f>
        <v>2.8594973942868668E-2</v>
      </c>
      <c r="J14" s="13">
        <f>-0.59%-$D$20</f>
        <v>-1.264221105588857E-2</v>
      </c>
      <c r="K14" s="13">
        <f>-0.19%-$E$20</f>
        <v>-9.3112334853124746E-3</v>
      </c>
      <c r="L14" s="13">
        <f>0.79%-$F$20</f>
        <v>-5.7015345806911769E-4</v>
      </c>
      <c r="M14" s="17" t="s">
        <v>25</v>
      </c>
      <c r="N14" s="10"/>
      <c r="O14" s="10"/>
      <c r="P14" s="10"/>
      <c r="Q14" s="17" t="s">
        <v>2</v>
      </c>
      <c r="R14" s="13">
        <v>2.2000000000000001E-3</v>
      </c>
      <c r="S14" s="13">
        <v>5.1999999999999998E-3</v>
      </c>
      <c r="T14" s="13">
        <v>4.7300000000000002E-2</v>
      </c>
      <c r="U14" s="13">
        <v>-5.4999999999999997E-3</v>
      </c>
      <c r="V14" s="18">
        <v>-4.1999999999999997E-3</v>
      </c>
      <c r="W14" s="13">
        <v>-3.0999999999999999E-3</v>
      </c>
      <c r="X14" s="13">
        <v>3.1E-2</v>
      </c>
      <c r="Y14" s="13">
        <v>-5.8999999999999999E-3</v>
      </c>
      <c r="Z14" s="13">
        <v>-1.9E-3</v>
      </c>
      <c r="AA14" s="13">
        <v>7.9000000000000008E-3</v>
      </c>
      <c r="AB14" s="17" t="s">
        <v>25</v>
      </c>
      <c r="AC14" s="10"/>
      <c r="AD14" s="10"/>
      <c r="AE14" s="10"/>
    </row>
    <row r="15" spans="1:32">
      <c r="A15" s="17" t="s">
        <v>15</v>
      </c>
      <c r="B15" s="13">
        <f>-1.15%-$B$20</f>
        <v>-8.6348994613796755E-3</v>
      </c>
      <c r="C15" s="13">
        <f>1.52%-$C$20</f>
        <v>1.2794973942868668E-2</v>
      </c>
      <c r="D15" s="13">
        <f>1.06%-$D$20</f>
        <v>3.8577889441114297E-3</v>
      </c>
      <c r="E15" s="13">
        <f>0.79%-$E$20</f>
        <v>4.8876651468752683E-4</v>
      </c>
      <c r="F15" s="18">
        <f>-1.04%-$F$20</f>
        <v>-1.8870153458069118E-2</v>
      </c>
      <c r="H15" s="13">
        <f>-0.11%-$B$20</f>
        <v>1.7651005386203238E-3</v>
      </c>
      <c r="I15" s="13">
        <f>-0.61%-$C$20</f>
        <v>-8.5050260571313315E-3</v>
      </c>
      <c r="J15" s="13">
        <f>1.58%-$D$20</f>
        <v>9.057788944111432E-3</v>
      </c>
      <c r="K15" s="13">
        <f>0.74%-$E$20</f>
        <v>-1.1233485312473618E-5</v>
      </c>
      <c r="L15" s="13">
        <f>0.35%-$F$20</f>
        <v>-4.9701534580691188E-3</v>
      </c>
      <c r="M15" s="17" t="s">
        <v>19</v>
      </c>
      <c r="N15" s="10"/>
      <c r="O15" s="10"/>
      <c r="P15" s="10"/>
      <c r="Q15" s="17" t="s">
        <v>15</v>
      </c>
      <c r="R15" s="13">
        <v>-1.15E-2</v>
      </c>
      <c r="S15" s="13">
        <v>1.52E-2</v>
      </c>
      <c r="T15" s="13">
        <v>1.06E-2</v>
      </c>
      <c r="U15" s="13">
        <v>7.9000000000000008E-3</v>
      </c>
      <c r="V15" s="18">
        <v>-1.04E-2</v>
      </c>
      <c r="W15" s="13">
        <v>-1.1000000000000001E-3</v>
      </c>
      <c r="X15" s="13">
        <v>-6.1000000000000004E-3</v>
      </c>
      <c r="Y15" s="13">
        <v>1.5800000000000002E-2</v>
      </c>
      <c r="Z15" s="13">
        <v>7.4000000000000003E-3</v>
      </c>
      <c r="AA15" s="13">
        <v>3.5000000000000001E-3</v>
      </c>
      <c r="AB15" s="17" t="s">
        <v>19</v>
      </c>
      <c r="AC15" s="10"/>
      <c r="AD15" s="10"/>
      <c r="AE15" s="10"/>
    </row>
    <row r="16" spans="1:32" ht="15" thickBot="1">
      <c r="A16" s="19" t="s">
        <v>33</v>
      </c>
      <c r="B16" s="14">
        <f>-0.22%-$B$20</f>
        <v>6.6510053862032376E-4</v>
      </c>
      <c r="C16" s="14">
        <f>-1.24%-$C$20</f>
        <v>-1.4805026057131332E-2</v>
      </c>
      <c r="D16" s="14">
        <f>9.66%-$D$20</f>
        <v>8.9857788944111436E-2</v>
      </c>
      <c r="E16" s="14">
        <f>-0.3%-$E$20</f>
        <v>-1.0411233485312473E-2</v>
      </c>
      <c r="F16" s="20">
        <f>7.21%-$F$20</f>
        <v>6.3629846541930879E-2</v>
      </c>
      <c r="H16" s="14">
        <f>-2.11%-$B$20</f>
        <v>-1.8234899461379673E-2</v>
      </c>
      <c r="I16" s="14">
        <f>-0.46%-$C$20</f>
        <v>-7.0050260571313319E-3</v>
      </c>
      <c r="J16" s="14">
        <f>1.08%-$D$20</f>
        <v>4.0577889441114302E-3</v>
      </c>
      <c r="K16" s="14">
        <f>-3.06%-$E$20</f>
        <v>-3.8011233485312476E-2</v>
      </c>
      <c r="L16" s="14">
        <f>1.58%-$F$20</f>
        <v>7.3298465419308831E-3</v>
      </c>
      <c r="M16" s="19" t="s">
        <v>76</v>
      </c>
      <c r="N16" s="10"/>
      <c r="O16" s="10"/>
      <c r="P16" s="10"/>
      <c r="Q16" s="19" t="s">
        <v>33</v>
      </c>
      <c r="R16" s="14">
        <v>-2.2000000000000001E-3</v>
      </c>
      <c r="S16" s="14">
        <v>-1.24E-2</v>
      </c>
      <c r="T16" s="14">
        <v>9.6600000000000005E-2</v>
      </c>
      <c r="U16" s="14">
        <v>-3.0000000000000001E-3</v>
      </c>
      <c r="V16" s="20">
        <v>7.2099999999999997E-2</v>
      </c>
      <c r="W16" s="14">
        <v>-2.1100000000000001E-2</v>
      </c>
      <c r="X16" s="14">
        <v>-4.5999999999999999E-3</v>
      </c>
      <c r="Y16" s="14">
        <v>1.0800000000000001E-2</v>
      </c>
      <c r="Z16" s="14">
        <v>-3.0599999999999999E-2</v>
      </c>
      <c r="AA16" s="14">
        <v>1.5800000000000002E-2</v>
      </c>
      <c r="AB16" s="19" t="s">
        <v>76</v>
      </c>
      <c r="AC16" s="10"/>
      <c r="AD16" s="10"/>
      <c r="AE16" s="10"/>
    </row>
    <row r="17" spans="1:31" ht="15" thickBot="1">
      <c r="A17" s="21" t="s">
        <v>86</v>
      </c>
      <c r="B17" s="20">
        <f>AVERAGE(B2:B16)</f>
        <v>-2.2990598613796759E-3</v>
      </c>
      <c r="C17" s="20">
        <f t="shared" ref="C17:E17" si="0">AVERAGE(C2:C16)</f>
        <v>4.6363046148580203E-3</v>
      </c>
      <c r="D17" s="20">
        <f>AVERAGE(D2:D16)</f>
        <v>4.0106064531526799E-2</v>
      </c>
      <c r="E17" s="20">
        <f>AVERAGE(E2:E16)</f>
        <v>-1.4735043018645807E-2</v>
      </c>
      <c r="F17" s="20">
        <f>AVERAGE(F2:F16)</f>
        <v>-7.9065171960758616E-4</v>
      </c>
      <c r="G17" s="21" t="s">
        <v>86</v>
      </c>
      <c r="H17" s="20">
        <f>AVERAGE(H2:H16)</f>
        <v>2.4888668155539684E-4</v>
      </c>
      <c r="I17" s="20">
        <f t="shared" ref="I17:L17" si="1">AVERAGE(I2:I16)</f>
        <v>-1.6521462385372318E-3</v>
      </c>
      <c r="J17" s="20">
        <f t="shared" si="1"/>
        <v>-3.0221105588856942E-4</v>
      </c>
      <c r="K17" s="20">
        <f t="shared" si="1"/>
        <v>-3.8245668186458071E-3</v>
      </c>
      <c r="L17" s="20">
        <f t="shared" si="1"/>
        <v>3.6801194151251083E-3</v>
      </c>
      <c r="M17" s="10"/>
      <c r="N17" s="10"/>
      <c r="O17" s="10"/>
      <c r="P17" s="10"/>
      <c r="Q17" s="21" t="s">
        <v>70</v>
      </c>
      <c r="R17" s="20">
        <f>AVERAGE(R2:R16)</f>
        <v>-5.1641604010024987E-3</v>
      </c>
      <c r="S17" s="20">
        <f t="shared" ref="S17:AA17" si="2">AVERAGE(S2:S16)</f>
        <v>7.0413306719893523E-3</v>
      </c>
      <c r="T17" s="20">
        <f t="shared" si="2"/>
        <v>4.6848275587415375E-2</v>
      </c>
      <c r="U17" s="20">
        <f t="shared" si="2"/>
        <v>-7.3238095238095241E-3</v>
      </c>
      <c r="V17" s="20">
        <f t="shared" si="2"/>
        <v>7.6795017275868276E-3</v>
      </c>
      <c r="W17" s="20">
        <f t="shared" si="2"/>
        <v>-2.6162138570649239E-3</v>
      </c>
      <c r="X17" s="20">
        <f t="shared" si="2"/>
        <v>7.5287981859410344E-4</v>
      </c>
      <c r="Y17" s="20">
        <f t="shared" si="2"/>
        <v>6.4400000000000013E-3</v>
      </c>
      <c r="Z17" s="20">
        <f t="shared" si="2"/>
        <v>3.5866666666666677E-3</v>
      </c>
      <c r="AA17" s="20">
        <f t="shared" si="2"/>
        <v>1.2150272873194227E-2</v>
      </c>
      <c r="AB17" s="22"/>
      <c r="AC17" s="10"/>
      <c r="AD17" s="10"/>
      <c r="AE17" s="10"/>
    </row>
    <row r="18" spans="1:3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P18" s="10"/>
      <c r="Q18" s="23" t="s">
        <v>83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10"/>
      <c r="AD18" s="10"/>
      <c r="AE18" s="10"/>
    </row>
    <row r="19" spans="1:31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P19" s="10"/>
      <c r="Q19" s="4"/>
      <c r="R19" s="4"/>
      <c r="S19" s="4"/>
      <c r="T19" s="4"/>
      <c r="U19" s="4"/>
      <c r="V19" s="4"/>
      <c r="W19" s="4"/>
      <c r="AC19" s="10"/>
      <c r="AD19" s="10"/>
      <c r="AE19" s="10"/>
    </row>
    <row r="20" spans="1:31">
      <c r="A20" s="1" t="s">
        <v>32</v>
      </c>
      <c r="B20" s="10">
        <v>-2.8651005386203239E-3</v>
      </c>
      <c r="C20" s="10">
        <v>2.405026057131332E-3</v>
      </c>
      <c r="D20" s="10">
        <v>6.7422110558885704E-3</v>
      </c>
      <c r="E20" s="10">
        <v>7.4112334853124739E-3</v>
      </c>
      <c r="F20" s="10">
        <v>8.4701534580691185E-3</v>
      </c>
      <c r="G20" s="24"/>
      <c r="H20" s="10"/>
      <c r="I20" s="10"/>
      <c r="J20" s="10"/>
      <c r="K20" s="10"/>
      <c r="L20" s="10"/>
      <c r="M20" s="10"/>
      <c r="N20" s="10"/>
      <c r="P20" s="10"/>
      <c r="Q20" s="4"/>
      <c r="R20" s="4"/>
      <c r="S20" s="4"/>
      <c r="Y20" s="4"/>
      <c r="Z20" s="4"/>
      <c r="AA20" s="4"/>
      <c r="AB20" s="4"/>
      <c r="AC20" s="10"/>
      <c r="AD20" s="10"/>
      <c r="AE20" s="10"/>
    </row>
    <row r="21" spans="1:31">
      <c r="A21" s="8"/>
      <c r="B21" s="10"/>
      <c r="C21" s="10"/>
      <c r="D21" s="10"/>
      <c r="E21" s="10"/>
      <c r="F21" s="10"/>
      <c r="G21" s="12"/>
      <c r="H21" s="10"/>
      <c r="P21" s="10"/>
      <c r="Q21" s="4"/>
      <c r="R21" s="4"/>
      <c r="S21" s="4"/>
      <c r="T21" s="4"/>
      <c r="U21" s="4"/>
      <c r="V21" s="4"/>
      <c r="W21" s="4"/>
      <c r="X21" s="4"/>
      <c r="Y21" s="4"/>
      <c r="AE21" s="10"/>
    </row>
    <row r="22" spans="1:31">
      <c r="A22" s="3"/>
      <c r="B22" s="10"/>
      <c r="C22" s="10"/>
      <c r="D22" s="10"/>
      <c r="E22" s="10"/>
      <c r="F22" s="10"/>
      <c r="G22" s="12"/>
      <c r="H22" s="10"/>
      <c r="I22" s="10"/>
      <c r="J22" s="10"/>
      <c r="K22" s="10"/>
      <c r="L22" s="10"/>
      <c r="M22" s="10"/>
      <c r="N22" s="10"/>
      <c r="O22" s="12"/>
      <c r="P22" s="10"/>
    </row>
    <row r="23" spans="1:3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0"/>
    </row>
    <row r="24" spans="1:3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0"/>
    </row>
    <row r="25" spans="1:31">
      <c r="O25" s="12"/>
      <c r="P25" s="9"/>
    </row>
    <row r="26" spans="1:31">
      <c r="O26" s="12"/>
      <c r="P26" s="9"/>
    </row>
    <row r="27" spans="1:31">
      <c r="O27" s="12"/>
    </row>
    <row r="28" spans="1:31">
      <c r="C28" s="12"/>
      <c r="D28" s="12"/>
      <c r="E28" s="12"/>
      <c r="F28" s="12"/>
      <c r="G28" s="12"/>
      <c r="H28" s="12"/>
      <c r="O28" s="12"/>
    </row>
    <row r="29" spans="1:31">
      <c r="O29" s="12"/>
    </row>
    <row r="30" spans="1:3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3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1:1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</sheetData>
  <sortState xmlns:xlrd2="http://schemas.microsoft.com/office/spreadsheetml/2017/richdata2" ref="A1:O25">
    <sortCondition sortBy="cellColor" ref="O25"/>
  </sortState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EC74-FF8B-9D41-AACE-C97BABA691AA}">
  <dimension ref="A1:R65"/>
  <sheetViews>
    <sheetView topLeftCell="C16" zoomScale="75" workbookViewId="0">
      <selection activeCell="K65" sqref="K65"/>
    </sheetView>
  </sheetViews>
  <sheetFormatPr baseColWidth="10" defaultRowHeight="14"/>
  <cols>
    <col min="2" max="3" width="28.6640625" bestFit="1" customWidth="1"/>
    <col min="4" max="4" width="17.5" bestFit="1" customWidth="1"/>
    <col min="5" max="5" width="14.1640625" bestFit="1" customWidth="1"/>
    <col min="6" max="6" width="23.1640625" bestFit="1" customWidth="1"/>
    <col min="7" max="7" width="32" bestFit="1" customWidth="1"/>
    <col min="8" max="8" width="18.6640625" bestFit="1" customWidth="1"/>
    <col min="9" max="9" width="24.1640625" bestFit="1" customWidth="1"/>
    <col min="10" max="10" width="23.1640625" bestFit="1" customWidth="1"/>
  </cols>
  <sheetData>
    <row r="1" spans="1:12">
      <c r="A1" s="4"/>
      <c r="B1" s="5" t="s">
        <v>39</v>
      </c>
    </row>
    <row r="2" spans="1:12">
      <c r="A2" s="1" t="s">
        <v>0</v>
      </c>
      <c r="B2" s="1" t="s">
        <v>3</v>
      </c>
    </row>
    <row r="3" spans="1:12">
      <c r="A3" s="2" t="s">
        <v>6</v>
      </c>
      <c r="B3" s="4">
        <v>-3.2648125700000001E-3</v>
      </c>
    </row>
    <row r="4" spans="1:12">
      <c r="A4" s="2" t="s">
        <v>5</v>
      </c>
      <c r="B4" s="4">
        <v>3.2755064899999999E-3</v>
      </c>
    </row>
    <row r="5" spans="1:12">
      <c r="A5" s="2" t="s">
        <v>7</v>
      </c>
      <c r="B5" s="4">
        <v>0.10024183796</v>
      </c>
    </row>
    <row r="6" spans="1:12">
      <c r="A6" s="2" t="s">
        <v>8</v>
      </c>
      <c r="B6" s="4">
        <v>-1.088031651E-2</v>
      </c>
    </row>
    <row r="7" spans="1:12">
      <c r="A7" s="2" t="s">
        <v>9</v>
      </c>
      <c r="B7" s="4">
        <v>-5.1111111100000002E-3</v>
      </c>
    </row>
    <row r="9" spans="1:12">
      <c r="C9" s="5" t="s">
        <v>44</v>
      </c>
      <c r="D9" s="5" t="s">
        <v>77</v>
      </c>
      <c r="E9" s="5" t="s">
        <v>41</v>
      </c>
      <c r="F9" s="5" t="s">
        <v>43</v>
      </c>
      <c r="G9" s="5" t="s">
        <v>45</v>
      </c>
    </row>
    <row r="10" spans="1:12">
      <c r="C10" s="1" t="s">
        <v>26</v>
      </c>
      <c r="D10" s="1" t="s">
        <v>33</v>
      </c>
      <c r="E10" s="1" t="s">
        <v>14</v>
      </c>
      <c r="F10" s="1" t="s">
        <v>15</v>
      </c>
      <c r="G10" s="1" t="s">
        <v>68</v>
      </c>
      <c r="H10" s="4"/>
      <c r="I10" s="4"/>
      <c r="J10" s="4"/>
      <c r="K10" s="4"/>
      <c r="L10" s="4"/>
    </row>
    <row r="11" spans="1:12">
      <c r="C11" s="4">
        <v>-1.092897250444658E-2</v>
      </c>
      <c r="D11">
        <v>-2.2194859255542099E-3</v>
      </c>
      <c r="E11" s="4">
        <v>4.043349447846456E-3</v>
      </c>
      <c r="F11" s="4">
        <v>-1.152483311333163E-2</v>
      </c>
      <c r="G11" s="4">
        <v>-2.3333328064265801E-2</v>
      </c>
    </row>
    <row r="12" spans="1:12">
      <c r="C12" s="4">
        <v>-3.0693406118985629E-3</v>
      </c>
      <c r="D12">
        <v>-1.235788460983644E-2</v>
      </c>
      <c r="E12" s="4">
        <v>-7.4346686044362009E-3</v>
      </c>
      <c r="F12" s="4">
        <v>1.524664413543309E-2</v>
      </c>
      <c r="G12" s="4">
        <v>-3.4129530800145469E-3</v>
      </c>
    </row>
    <row r="13" spans="1:12">
      <c r="C13" s="4">
        <v>3.6330175159023703E-2</v>
      </c>
      <c r="D13">
        <v>9.6596614083793941E-2</v>
      </c>
      <c r="E13" s="4">
        <v>1.1391836895474411E-2</v>
      </c>
      <c r="F13" s="4">
        <v>1.0600696889943251E-2</v>
      </c>
      <c r="G13" s="4">
        <v>1.3698673147763961E-2</v>
      </c>
    </row>
    <row r="14" spans="1:12">
      <c r="C14" s="4">
        <v>-1.723129538706436E-2</v>
      </c>
      <c r="D14">
        <v>-2.966706276143372E-3</v>
      </c>
      <c r="E14" s="4">
        <v>1.234470310960134E-3</v>
      </c>
      <c r="F14" s="4">
        <v>7.867146493800492E-3</v>
      </c>
      <c r="G14" s="4">
        <v>1.6891276678256959E-3</v>
      </c>
    </row>
    <row r="15" spans="1:12">
      <c r="C15" s="4">
        <v>1.6928556105063611E-2</v>
      </c>
      <c r="D15">
        <v>7.209891565327764E-2</v>
      </c>
      <c r="E15" s="4">
        <v>7.3971778018127043E-3</v>
      </c>
      <c r="F15" s="4">
        <v>-1.0407622579203579E-2</v>
      </c>
      <c r="G15" s="4">
        <v>-3.3726652788316209E-3</v>
      </c>
    </row>
    <row r="17" spans="2:16">
      <c r="B17" s="5" t="s">
        <v>50</v>
      </c>
      <c r="C17" s="5" t="s">
        <v>48</v>
      </c>
      <c r="D17" s="5" t="s">
        <v>51</v>
      </c>
      <c r="E17" s="5" t="s">
        <v>52</v>
      </c>
      <c r="F17" s="5" t="s">
        <v>53</v>
      </c>
      <c r="G17" s="5" t="s">
        <v>54</v>
      </c>
      <c r="H17" s="5" t="s">
        <v>40</v>
      </c>
      <c r="I17" s="5" t="s">
        <v>46</v>
      </c>
      <c r="J17" s="5" t="s">
        <v>42</v>
      </c>
    </row>
    <row r="18" spans="2:16">
      <c r="B18" s="1" t="s">
        <v>49</v>
      </c>
      <c r="C18" s="1" t="s">
        <v>4</v>
      </c>
      <c r="D18" s="1" t="s">
        <v>12</v>
      </c>
      <c r="E18" s="1" t="s">
        <v>2</v>
      </c>
      <c r="F18" s="1" t="s">
        <v>29</v>
      </c>
      <c r="G18" s="1" t="s">
        <v>28</v>
      </c>
      <c r="H18" s="1" t="s">
        <v>27</v>
      </c>
      <c r="I18" s="1" t="s">
        <v>24</v>
      </c>
      <c r="J18" s="1" t="s">
        <v>69</v>
      </c>
    </row>
    <row r="19" spans="2:16">
      <c r="B19" s="4">
        <v>1.503759398496252E-2</v>
      </c>
      <c r="C19" s="4">
        <v>-1.013098253208311E-2</v>
      </c>
      <c r="D19" s="4">
        <v>2E-3</v>
      </c>
      <c r="E19" s="4">
        <v>2.1696356942877419E-3</v>
      </c>
      <c r="F19" s="4">
        <v>-3.0534393935621629E-2</v>
      </c>
      <c r="G19" s="4">
        <v>-1.639270903646572E-3</v>
      </c>
      <c r="H19" s="4">
        <v>-1.5845030339268321E-2</v>
      </c>
      <c r="I19" s="4">
        <v>1.996758745782001E-2</v>
      </c>
      <c r="J19" s="4">
        <v>-1.1476537945432909E-2</v>
      </c>
    </row>
    <row r="20" spans="2:16">
      <c r="B20" s="4">
        <v>0</v>
      </c>
      <c r="C20" s="4">
        <v>2.8656256728623042E-3</v>
      </c>
      <c r="D20" s="4">
        <v>-9.9800399201597223E-3</v>
      </c>
      <c r="E20" s="4">
        <v>5.2377958461653504E-3</v>
      </c>
      <c r="F20" s="4">
        <v>1.7322855931722891E-2</v>
      </c>
      <c r="G20" s="4">
        <v>1.8062477547166281E-2</v>
      </c>
      <c r="H20" s="4">
        <v>-1.0733493245802309E-2</v>
      </c>
      <c r="I20" s="4">
        <v>8.0216469340229191E-2</v>
      </c>
      <c r="J20" s="4">
        <v>1.037144778986376E-2</v>
      </c>
    </row>
    <row r="21" spans="2:16">
      <c r="B21" s="4">
        <v>3.7037037037037E-2</v>
      </c>
      <c r="C21" s="4">
        <v>1.9458506680653409E-2</v>
      </c>
      <c r="D21" s="4">
        <v>4.8387096774193512E-2</v>
      </c>
      <c r="E21" s="4">
        <v>4.7311361977820487E-2</v>
      </c>
      <c r="F21" s="4">
        <v>3.7151667136368527E-2</v>
      </c>
      <c r="G21" s="4">
        <v>3.2258036323051582E-2</v>
      </c>
      <c r="H21" s="4">
        <v>4.8824607598366487E-2</v>
      </c>
      <c r="I21" s="4">
        <v>0.1113893804722805</v>
      </c>
      <c r="J21" s="4">
        <v>5.2014741414502241E-2</v>
      </c>
    </row>
    <row r="22" spans="2:16">
      <c r="B22" s="4">
        <v>7.1428571428571166E-3</v>
      </c>
      <c r="C22" s="4">
        <v>-1.401495278857001E-2</v>
      </c>
      <c r="D22" s="4">
        <v>0</v>
      </c>
      <c r="E22" s="4">
        <v>-5.5058164580742419E-3</v>
      </c>
      <c r="F22" s="4">
        <v>-6.7164152548609302E-2</v>
      </c>
      <c r="G22" s="4">
        <v>-3.1250714380662852E-3</v>
      </c>
      <c r="H22" s="4">
        <v>-5.1724006389749499E-3</v>
      </c>
      <c r="I22" s="4">
        <v>1.1799010818608791E-2</v>
      </c>
      <c r="J22" s="4">
        <v>-1.354385446902329E-2</v>
      </c>
    </row>
    <row r="23" spans="2:16">
      <c r="B23" s="4">
        <v>-1.418439716312059E-2</v>
      </c>
      <c r="C23" s="4">
        <v>1.7056969273009589E-2</v>
      </c>
      <c r="D23" s="4">
        <v>2.3076923076922991E-2</v>
      </c>
      <c r="E23" s="4">
        <v>-4.2022738160825126E-3</v>
      </c>
      <c r="F23" s="4">
        <v>-1.4400024414062519E-2</v>
      </c>
      <c r="G23" s="4">
        <v>7.8370641463154644E-3</v>
      </c>
      <c r="H23" s="4">
        <v>1.213172883333935E-2</v>
      </c>
      <c r="I23" s="4">
        <v>1.1792972699822271E-3</v>
      </c>
      <c r="J23" s="4">
        <v>9.1533576337192724E-3</v>
      </c>
    </row>
    <row r="27" spans="2:16">
      <c r="J27" t="s">
        <v>91</v>
      </c>
    </row>
    <row r="28" spans="2:16">
      <c r="B28" t="s">
        <v>67</v>
      </c>
      <c r="C28">
        <f>-0.33%-$B$20</f>
        <v>-3.3E-3</v>
      </c>
      <c r="D28">
        <f>0.33%-$C$20</f>
        <v>4.343743271376958E-4</v>
      </c>
      <c r="E28">
        <f>10.02%-$D$20</f>
        <v>0.11018003992015972</v>
      </c>
      <c r="F28">
        <f>-1.09%-$E$20</f>
        <v>-1.613779584616535E-2</v>
      </c>
      <c r="G28">
        <f>-0.51%-$F$20</f>
        <v>-2.2422855931722892E-2</v>
      </c>
      <c r="J28" s="9" t="s">
        <v>67</v>
      </c>
      <c r="K28" s="9">
        <v>-1.8337593984962521E-2</v>
      </c>
      <c r="L28" s="9">
        <v>4.343743271376958E-4</v>
      </c>
      <c r="M28" s="9">
        <v>0.11018003992015972</v>
      </c>
      <c r="N28" s="9">
        <v>-1.613779584616535E-2</v>
      </c>
      <c r="O28" s="9">
        <v>-2.2422855931722892E-2</v>
      </c>
      <c r="P28" s="9"/>
    </row>
    <row r="29" spans="2:16">
      <c r="J29" s="9"/>
      <c r="K29" s="9"/>
      <c r="L29" s="9"/>
      <c r="M29" s="9"/>
      <c r="N29" s="9"/>
      <c r="O29" s="9"/>
      <c r="P29" s="9"/>
    </row>
    <row r="30" spans="2:16">
      <c r="B30" t="s">
        <v>11</v>
      </c>
      <c r="C30" s="4">
        <v>-2.3333328064265801E-2</v>
      </c>
      <c r="D30" s="4">
        <v>-3.4129530800145469E-3</v>
      </c>
      <c r="E30" s="4">
        <v>1.3698673147763961E-2</v>
      </c>
      <c r="F30" s="4">
        <v>1.6891276678256959E-3</v>
      </c>
      <c r="G30" s="4">
        <v>-3.3726652788316209E-3</v>
      </c>
      <c r="H30">
        <f>CORREL($C$28:$G$28,C30:G30)</f>
        <v>0.62773223446541038</v>
      </c>
      <c r="J30" s="9" t="s">
        <v>11</v>
      </c>
      <c r="K30" s="9">
        <v>-2.3333328064265801E-2</v>
      </c>
      <c r="L30" s="9">
        <v>-3.4129530800145469E-3</v>
      </c>
      <c r="M30" s="9">
        <v>1.3698673147763961E-2</v>
      </c>
      <c r="N30" s="9">
        <v>1.6891276678256959E-3</v>
      </c>
      <c r="O30" s="9">
        <v>-3.3726652788316209E-3</v>
      </c>
      <c r="P30" s="9">
        <v>0.71221377598059332</v>
      </c>
    </row>
    <row r="31" spans="2:16">
      <c r="B31" t="s">
        <v>1</v>
      </c>
      <c r="C31" s="4">
        <v>-1.1476537945432909E-2</v>
      </c>
      <c r="D31" s="4">
        <v>1.037144778986376E-2</v>
      </c>
      <c r="E31" s="4">
        <v>5.2014741414502241E-2</v>
      </c>
      <c r="F31" s="4">
        <v>-1.354385446902329E-2</v>
      </c>
      <c r="G31" s="4">
        <v>9.1533576337192724E-3</v>
      </c>
      <c r="H31">
        <f t="shared" ref="H31:H43" si="0">CORREL($C$28:$G$28,C31:G31)</f>
        <v>0.89242834301538498</v>
      </c>
      <c r="J31" s="9" t="s">
        <v>1</v>
      </c>
      <c r="K31" s="9">
        <v>-1.1476537945432909E-2</v>
      </c>
      <c r="L31" s="9">
        <v>1.037144778986376E-2</v>
      </c>
      <c r="M31" s="9">
        <v>5.2014741414502241E-2</v>
      </c>
      <c r="N31" s="9">
        <v>-1.354385446902329E-2</v>
      </c>
      <c r="O31" s="9">
        <v>9.1533576337192724E-3</v>
      </c>
      <c r="P31" s="9">
        <v>0.92031413472684465</v>
      </c>
    </row>
    <row r="32" spans="2:16">
      <c r="B32" t="s">
        <v>14</v>
      </c>
      <c r="C32" s="4">
        <v>-1.5845030339268321E-2</v>
      </c>
      <c r="D32" s="4">
        <v>-1.0733493245802309E-2</v>
      </c>
      <c r="E32" s="4">
        <v>4.8824607598366487E-2</v>
      </c>
      <c r="F32" s="4">
        <v>-5.1724006389749499E-3</v>
      </c>
      <c r="G32" s="4">
        <v>1.213172883333935E-2</v>
      </c>
      <c r="H32">
        <f t="shared" si="0"/>
        <v>0.84258579458499194</v>
      </c>
      <c r="J32" s="9" t="s">
        <v>14</v>
      </c>
      <c r="K32" s="9">
        <v>-1.5845030339268321E-2</v>
      </c>
      <c r="L32" s="9">
        <v>-1.0733493245802309E-2</v>
      </c>
      <c r="M32" s="9">
        <v>4.8824607598366487E-2</v>
      </c>
      <c r="N32" s="9">
        <v>-5.1724006389749499E-3</v>
      </c>
      <c r="O32" s="9">
        <v>1.213172883333935E-2</v>
      </c>
      <c r="P32" s="9">
        <v>0.87440874857183071</v>
      </c>
    </row>
    <row r="33" spans="2:16">
      <c r="B33" t="s">
        <v>27</v>
      </c>
      <c r="C33" s="4">
        <v>-1.639270903646572E-3</v>
      </c>
      <c r="D33" s="4">
        <v>1.8062477547166281E-2</v>
      </c>
      <c r="E33" s="4">
        <v>3.2258036323051582E-2</v>
      </c>
      <c r="F33" s="4">
        <v>-3.1250714380662852E-3</v>
      </c>
      <c r="G33" s="4">
        <v>7.8370641463154644E-3</v>
      </c>
      <c r="H33">
        <f t="shared" si="0"/>
        <v>0.8389318158589727</v>
      </c>
      <c r="J33" s="9" t="s">
        <v>27</v>
      </c>
      <c r="K33" s="9">
        <v>-1.639270903646572E-3</v>
      </c>
      <c r="L33" s="9">
        <v>1.8062477547166281E-2</v>
      </c>
      <c r="M33" s="9">
        <v>3.2258036323051582E-2</v>
      </c>
      <c r="N33" s="9">
        <v>-3.1250714380662852E-3</v>
      </c>
      <c r="O33" s="9">
        <v>7.8370641463154644E-3</v>
      </c>
      <c r="P33" s="9">
        <v>0.87141872611199689</v>
      </c>
    </row>
    <row r="34" spans="2:16">
      <c r="B34" t="s">
        <v>28</v>
      </c>
      <c r="C34" s="4">
        <v>-1.639270903646572E-3</v>
      </c>
      <c r="D34" s="4">
        <v>1.8062477547166281E-2</v>
      </c>
      <c r="E34" s="4">
        <v>3.2258036323051582E-2</v>
      </c>
      <c r="F34" s="4">
        <v>-3.1250714380662852E-3</v>
      </c>
      <c r="G34" s="4">
        <v>7.8370641463154644E-3</v>
      </c>
      <c r="H34">
        <f t="shared" si="0"/>
        <v>0.8389318158589727</v>
      </c>
      <c r="J34" s="9" t="s">
        <v>28</v>
      </c>
      <c r="K34" s="9">
        <v>-1.639270903646572E-3</v>
      </c>
      <c r="L34" s="9">
        <v>1.8062477547166281E-2</v>
      </c>
      <c r="M34" s="9">
        <v>3.2258036323051582E-2</v>
      </c>
      <c r="N34" s="9">
        <v>-3.1250714380662852E-3</v>
      </c>
      <c r="O34" s="9">
        <v>7.8370641463154644E-3</v>
      </c>
      <c r="P34" s="9">
        <v>0.87141872611199689</v>
      </c>
    </row>
    <row r="35" spans="2:16">
      <c r="B35" t="s">
        <v>4</v>
      </c>
      <c r="C35" s="4">
        <v>-1.013098253208311E-2</v>
      </c>
      <c r="D35" s="4">
        <v>2.8656256728623042E-3</v>
      </c>
      <c r="E35" s="4">
        <v>1.9458506680653409E-2</v>
      </c>
      <c r="F35" s="4">
        <v>-1.401495278857001E-2</v>
      </c>
      <c r="G35" s="4">
        <v>1.7056969273009589E-2</v>
      </c>
      <c r="H35">
        <f t="shared" si="0"/>
        <v>0.54324597877161629</v>
      </c>
      <c r="J35" s="9" t="s">
        <v>4</v>
      </c>
      <c r="K35" s="9">
        <v>-1.013098253208311E-2</v>
      </c>
      <c r="L35" s="9">
        <v>2.8656256728623042E-3</v>
      </c>
      <c r="M35" s="9">
        <v>1.9458506680653409E-2</v>
      </c>
      <c r="N35" s="9">
        <v>-1.401495278857001E-2</v>
      </c>
      <c r="O35" s="9">
        <v>1.7056969273009589E-2</v>
      </c>
      <c r="P35" s="9">
        <v>0.58588966259359654</v>
      </c>
    </row>
    <row r="36" spans="2:16">
      <c r="B36" t="s">
        <v>16</v>
      </c>
      <c r="C36" s="4">
        <v>1.503759398496252E-2</v>
      </c>
      <c r="D36" s="4">
        <v>0</v>
      </c>
      <c r="E36" s="4">
        <v>3.7037037037037E-2</v>
      </c>
      <c r="F36" s="4">
        <v>7.1428571428571166E-3</v>
      </c>
      <c r="G36" s="4">
        <v>-1.418439716312059E-2</v>
      </c>
      <c r="H36">
        <f t="shared" si="0"/>
        <v>0.86934075905224928</v>
      </c>
      <c r="J36" s="9" t="s">
        <v>16</v>
      </c>
      <c r="K36" s="9">
        <v>1.503759398496252E-2</v>
      </c>
      <c r="L36" s="9">
        <v>0</v>
      </c>
      <c r="M36" s="9">
        <v>3.7037037037037E-2</v>
      </c>
      <c r="N36" s="9">
        <v>7.1428571428571166E-3</v>
      </c>
      <c r="O36" s="9">
        <v>-1.418439716312059E-2</v>
      </c>
      <c r="P36" s="9">
        <f>CORREL(K28:O28,K36:O36)</f>
        <v>0.82398592451712604</v>
      </c>
    </row>
    <row r="37" spans="2:16">
      <c r="B37" t="s">
        <v>29</v>
      </c>
      <c r="C37" s="4">
        <v>-3.0534393935621629E-2</v>
      </c>
      <c r="D37" s="4">
        <v>1.7322855931722891E-2</v>
      </c>
      <c r="E37" s="4">
        <v>3.7151667136368527E-2</v>
      </c>
      <c r="F37" s="4">
        <v>-6.7164152548609302E-2</v>
      </c>
      <c r="G37" s="4">
        <v>-1.4400024414062519E-2</v>
      </c>
      <c r="H37">
        <f t="shared" si="0"/>
        <v>0.71655692290974216</v>
      </c>
      <c r="J37" s="9" t="s">
        <v>29</v>
      </c>
      <c r="K37" s="9">
        <v>-3.0534393935621629E-2</v>
      </c>
      <c r="L37" s="9">
        <v>1.7322855931722891E-2</v>
      </c>
      <c r="M37" s="9">
        <v>3.7151667136368527E-2</v>
      </c>
      <c r="N37" s="9">
        <v>-6.7164152548609302E-2</v>
      </c>
      <c r="O37" s="9">
        <v>-1.4400024414062519E-2</v>
      </c>
      <c r="P37" s="9">
        <v>0.72776425137347955</v>
      </c>
    </row>
    <row r="38" spans="2:16">
      <c r="B38" t="s">
        <v>26</v>
      </c>
      <c r="C38" s="4">
        <v>-1.092897250444658E-2</v>
      </c>
      <c r="D38" s="4">
        <v>-3.0693406118985629E-3</v>
      </c>
      <c r="E38" s="4">
        <v>3.6330175159023703E-2</v>
      </c>
      <c r="F38" s="4">
        <v>-1.723129538706436E-2</v>
      </c>
      <c r="G38" s="4">
        <v>1.6928556105063611E-2</v>
      </c>
      <c r="H38">
        <f t="shared" si="0"/>
        <v>0.75492521425628267</v>
      </c>
      <c r="J38" s="9" t="s">
        <v>26</v>
      </c>
      <c r="K38" s="9">
        <v>-1.092897250444658E-2</v>
      </c>
      <c r="L38" s="9">
        <v>-3.0693406118985629E-3</v>
      </c>
      <c r="M38" s="9">
        <v>3.6330175159023703E-2</v>
      </c>
      <c r="N38" s="9">
        <v>-1.723129538706436E-2</v>
      </c>
      <c r="O38" s="9">
        <v>1.6928556105063611E-2</v>
      </c>
      <c r="P38" s="9">
        <v>0.78053881294302896</v>
      </c>
    </row>
    <row r="39" spans="2:16">
      <c r="B39" t="s">
        <v>12</v>
      </c>
      <c r="C39" s="4">
        <v>2E-3</v>
      </c>
      <c r="D39" s="4">
        <v>-9.9800399201597223E-3</v>
      </c>
      <c r="E39" s="4">
        <v>4.8387096774193512E-2</v>
      </c>
      <c r="F39" s="4">
        <v>0</v>
      </c>
      <c r="G39" s="4">
        <v>2.3076923076922991E-2</v>
      </c>
      <c r="H39">
        <f>CORREL($C$28:$G$28,C39:G39)</f>
        <v>0.77089644714556715</v>
      </c>
      <c r="J39" s="9" t="s">
        <v>12</v>
      </c>
      <c r="K39" s="9">
        <v>2E-3</v>
      </c>
      <c r="L39" s="9">
        <v>-9.9800399201597223E-3</v>
      </c>
      <c r="M39" s="9">
        <v>4.8387096774193512E-2</v>
      </c>
      <c r="N39" s="9">
        <v>0</v>
      </c>
      <c r="O39" s="9">
        <v>2.3076923076922991E-2</v>
      </c>
      <c r="P39" s="9">
        <v>0.78015848916653019</v>
      </c>
    </row>
    <row r="40" spans="2:16">
      <c r="B40" t="s">
        <v>24</v>
      </c>
      <c r="C40" s="4">
        <v>1.996758745782001E-2</v>
      </c>
      <c r="D40" s="4">
        <v>8.0216469340229191E-2</v>
      </c>
      <c r="E40" s="4">
        <v>0.1113893804722805</v>
      </c>
      <c r="F40" s="4">
        <v>1.1799010818608791E-2</v>
      </c>
      <c r="G40" s="4">
        <v>1.1792972699822271E-3</v>
      </c>
      <c r="H40">
        <f t="shared" si="0"/>
        <v>0.84725440762144577</v>
      </c>
      <c r="J40" s="9" t="s">
        <v>24</v>
      </c>
      <c r="K40" s="9">
        <v>1.996758745782001E-2</v>
      </c>
      <c r="L40" s="9">
        <v>8.0216469340229191E-2</v>
      </c>
      <c r="M40" s="9">
        <v>0.1113893804722805</v>
      </c>
      <c r="N40" s="9">
        <v>1.1799010818608791E-2</v>
      </c>
      <c r="O40" s="9">
        <v>1.1792972699822271E-3</v>
      </c>
      <c r="P40" s="9">
        <v>0.85828880210025127</v>
      </c>
    </row>
    <row r="41" spans="2:16">
      <c r="B41" t="s">
        <v>2</v>
      </c>
      <c r="C41" s="4">
        <v>2.1696356942877419E-3</v>
      </c>
      <c r="D41" s="4">
        <v>5.2377958461653504E-3</v>
      </c>
      <c r="E41" s="4">
        <v>4.7311361977820487E-2</v>
      </c>
      <c r="F41" s="4">
        <v>-5.5058164580742419E-3</v>
      </c>
      <c r="G41" s="4">
        <v>-4.2022738160825126E-3</v>
      </c>
      <c r="H41">
        <f t="shared" si="0"/>
        <v>0.99722460062234364</v>
      </c>
      <c r="J41" s="9" t="s">
        <v>2</v>
      </c>
      <c r="K41" s="9">
        <v>2.1696356942877419E-3</v>
      </c>
      <c r="L41" s="9">
        <v>5.2377958461653504E-3</v>
      </c>
      <c r="M41" s="9">
        <v>4.7311361977820487E-2</v>
      </c>
      <c r="N41" s="9">
        <v>-5.5058164580742419E-3</v>
      </c>
      <c r="O41" s="9">
        <v>-4.2022738160825126E-3</v>
      </c>
      <c r="P41" s="9">
        <v>0.99039741771720369</v>
      </c>
    </row>
    <row r="42" spans="2:16">
      <c r="B42" t="s">
        <v>15</v>
      </c>
      <c r="C42" s="4">
        <v>-1.152483311333163E-2</v>
      </c>
      <c r="D42" s="4">
        <v>1.524664413543309E-2</v>
      </c>
      <c r="E42" s="4">
        <v>1.0600696889943251E-2</v>
      </c>
      <c r="F42" s="4">
        <v>7.867146493800492E-3</v>
      </c>
      <c r="G42" s="4">
        <v>-1.0407622579203579E-2</v>
      </c>
      <c r="H42">
        <f t="shared" si="0"/>
        <v>0.42471274044333229</v>
      </c>
      <c r="J42" s="9" t="s">
        <v>15</v>
      </c>
      <c r="K42" s="9">
        <v>-1.152483311333163E-2</v>
      </c>
      <c r="L42" s="9">
        <v>1.524664413543309E-2</v>
      </c>
      <c r="M42" s="9">
        <v>1.0600696889943251E-2</v>
      </c>
      <c r="N42" s="9">
        <v>7.867146493800492E-3</v>
      </c>
      <c r="O42" s="9">
        <v>-1.0407622579203579E-2</v>
      </c>
      <c r="P42" s="9">
        <v>0.48740845609778949</v>
      </c>
    </row>
    <row r="43" spans="2:16">
      <c r="B43" t="s">
        <v>33</v>
      </c>
      <c r="C43" s="12">
        <v>-2.2194859255542099E-3</v>
      </c>
      <c r="D43" s="12">
        <v>-1.235788460983644E-2</v>
      </c>
      <c r="E43" s="12">
        <v>9.6596614083793941E-2</v>
      </c>
      <c r="F43" s="12">
        <v>-2.966706276143372E-3</v>
      </c>
      <c r="G43" s="12">
        <v>7.209891565327764E-2</v>
      </c>
      <c r="H43">
        <f t="shared" si="0"/>
        <v>0.6356431338255063</v>
      </c>
      <c r="J43" s="9" t="s">
        <v>33</v>
      </c>
      <c r="K43" s="9">
        <v>-2.2194859255542099E-3</v>
      </c>
      <c r="L43" s="9">
        <v>-1.235788460983644E-2</v>
      </c>
      <c r="M43" s="9">
        <v>9.6596614083793941E-2</v>
      </c>
      <c r="N43" s="9">
        <v>-2.966706276143372E-3</v>
      </c>
      <c r="O43" s="9">
        <v>7.209891565327764E-2</v>
      </c>
      <c r="P43" s="9">
        <v>0.66107922397570573</v>
      </c>
    </row>
    <row r="44" spans="2:16">
      <c r="B44" t="s">
        <v>88</v>
      </c>
      <c r="C44">
        <f>AVERAGE(C30:C43)</f>
        <v>-5.7212349307305043E-3</v>
      </c>
      <c r="D44">
        <f>AVERAGE(D30:D43)</f>
        <v>9.1308630244926834E-3</v>
      </c>
      <c r="E44">
        <f>AVERAGE(E30:E43)</f>
        <v>4.4522616501275016E-2</v>
      </c>
      <c r="F44">
        <f>AVERAGE(F30:F43)</f>
        <v>-7.3822270942500001E-3</v>
      </c>
      <c r="G44">
        <f>AVERAGE(G30:G43)</f>
        <v>8.6237780633317707E-3</v>
      </c>
      <c r="H44">
        <f>CORREL(C44:G44,C28:G28)</f>
        <v>0.91456666451896473</v>
      </c>
      <c r="J44" s="9" t="s">
        <v>87</v>
      </c>
      <c r="K44" s="9">
        <f>AVERAGE(K30:K43)</f>
        <v>-5.7212349307305043E-3</v>
      </c>
      <c r="L44" s="9">
        <f t="shared" ref="L44:O44" si="1">AVERAGE(L30:L43)</f>
        <v>9.1308630244926834E-3</v>
      </c>
      <c r="M44" s="9">
        <f t="shared" si="1"/>
        <v>4.4522616501275016E-2</v>
      </c>
      <c r="N44" s="9">
        <f t="shared" si="1"/>
        <v>-7.3822270942500001E-3</v>
      </c>
      <c r="O44" s="9">
        <f t="shared" si="1"/>
        <v>8.6237780633317707E-3</v>
      </c>
      <c r="P44" s="9">
        <v>0.93894582193484855</v>
      </c>
    </row>
    <row r="45" spans="2:16">
      <c r="J45" s="9"/>
      <c r="K45" s="9"/>
      <c r="L45" s="9"/>
      <c r="M45" s="9"/>
      <c r="N45" s="9"/>
      <c r="O45" s="9"/>
      <c r="P45" s="9"/>
    </row>
    <row r="46" spans="2:16">
      <c r="J46" s="9"/>
      <c r="K46" s="9"/>
      <c r="L46" s="9"/>
      <c r="M46" s="9"/>
      <c r="N46" s="9"/>
      <c r="O46" s="9"/>
      <c r="P46" s="9"/>
    </row>
    <row r="47" spans="2:16">
      <c r="J47" s="9"/>
      <c r="K47" s="9"/>
      <c r="L47" s="9"/>
      <c r="M47" s="9"/>
      <c r="N47" s="9"/>
      <c r="O47" s="9"/>
      <c r="P47" s="9"/>
    </row>
    <row r="48" spans="2:16">
      <c r="J48" s="9"/>
      <c r="K48" s="9"/>
      <c r="L48" s="9"/>
      <c r="M48" s="9"/>
      <c r="N48" s="9"/>
      <c r="O48" s="9"/>
      <c r="P48" s="9"/>
    </row>
    <row r="49" spans="2:18">
      <c r="B49" t="s">
        <v>11</v>
      </c>
      <c r="C49">
        <v>-2.3333328064265801E-2</v>
      </c>
      <c r="D49">
        <v>-3.4129530800145469E-3</v>
      </c>
      <c r="E49">
        <v>1.3698673147763961E-2</v>
      </c>
      <c r="F49">
        <v>1.6891276678256959E-3</v>
      </c>
      <c r="G49">
        <v>-3.3726652788316209E-3</v>
      </c>
      <c r="J49" s="9" t="s">
        <v>11</v>
      </c>
      <c r="K49" s="9">
        <v>-2.3333328064265801E-2</v>
      </c>
      <c r="L49" s="9">
        <v>-3.4129530800145469E-3</v>
      </c>
      <c r="M49" s="9">
        <v>1.3698673147763961E-2</v>
      </c>
      <c r="N49" s="9">
        <v>1.6891276678256959E-3</v>
      </c>
      <c r="O49" s="9">
        <v>-3.3726652788316209E-3</v>
      </c>
      <c r="P49" s="9">
        <v>0.71221377598059332</v>
      </c>
      <c r="R49">
        <f>CORREL(K49:O49,$K$28:$O$28)</f>
        <v>0.71221377598059332</v>
      </c>
    </row>
    <row r="50" spans="2:18">
      <c r="B50" t="s">
        <v>14</v>
      </c>
      <c r="C50">
        <v>-1.5845030339268321E-2</v>
      </c>
      <c r="D50">
        <v>-1.0733493245802309E-2</v>
      </c>
      <c r="E50">
        <v>4.8824607598366487E-2</v>
      </c>
      <c r="F50">
        <v>-5.1724006389749499E-3</v>
      </c>
      <c r="G50">
        <v>1.213172883333935E-2</v>
      </c>
      <c r="J50" s="9" t="s">
        <v>14</v>
      </c>
      <c r="K50" s="9">
        <v>-1.5845030339268321E-2</v>
      </c>
      <c r="L50" s="9">
        <v>-1.0733493245802309E-2</v>
      </c>
      <c r="M50" s="9">
        <v>4.8824607598366487E-2</v>
      </c>
      <c r="N50" s="9">
        <v>-5.1724006389749499E-3</v>
      </c>
      <c r="O50" s="9">
        <v>1.213172883333935E-2</v>
      </c>
      <c r="P50" s="9">
        <v>0.87440874857183071</v>
      </c>
      <c r="R50">
        <f t="shared" ref="R50:R54" si="2">CORREL(K50:O50,$K$28:$O$28)</f>
        <v>0.87440874857183071</v>
      </c>
    </row>
    <row r="51" spans="2:18">
      <c r="B51" t="s">
        <v>26</v>
      </c>
      <c r="C51">
        <v>-1.092897250444658E-2</v>
      </c>
      <c r="D51">
        <v>-3.0693406118985629E-3</v>
      </c>
      <c r="E51">
        <v>3.6330175159023703E-2</v>
      </c>
      <c r="F51">
        <v>-1.723129538706436E-2</v>
      </c>
      <c r="G51">
        <v>1.6928556105063611E-2</v>
      </c>
      <c r="J51" s="9" t="s">
        <v>26</v>
      </c>
      <c r="K51" s="9">
        <v>-1.092897250444658E-2</v>
      </c>
      <c r="L51" s="9">
        <v>-3.0693406118985629E-3</v>
      </c>
      <c r="M51" s="9">
        <v>3.6330175159023703E-2</v>
      </c>
      <c r="N51" s="9">
        <v>-1.723129538706436E-2</v>
      </c>
      <c r="O51" s="9">
        <v>1.6928556105063611E-2</v>
      </c>
      <c r="P51" s="9">
        <v>0.78053881294302896</v>
      </c>
      <c r="R51">
        <f t="shared" si="2"/>
        <v>0.78053881294302896</v>
      </c>
    </row>
    <row r="52" spans="2:18">
      <c r="B52" t="s">
        <v>15</v>
      </c>
      <c r="C52">
        <v>-1.152483311333163E-2</v>
      </c>
      <c r="D52">
        <v>1.524664413543309E-2</v>
      </c>
      <c r="E52">
        <v>1.0600696889943251E-2</v>
      </c>
      <c r="F52">
        <v>7.867146493800492E-3</v>
      </c>
      <c r="G52">
        <v>-1.0407622579203579E-2</v>
      </c>
      <c r="J52" s="9" t="s">
        <v>15</v>
      </c>
      <c r="K52" s="9">
        <v>-1.152483311333163E-2</v>
      </c>
      <c r="L52" s="9">
        <v>1.524664413543309E-2</v>
      </c>
      <c r="M52" s="9">
        <v>1.0600696889943251E-2</v>
      </c>
      <c r="N52" s="9">
        <v>7.867146493800492E-3</v>
      </c>
      <c r="O52" s="9">
        <v>-1.0407622579203579E-2</v>
      </c>
      <c r="P52" s="9">
        <v>0.48740845609778949</v>
      </c>
      <c r="R52">
        <f t="shared" si="2"/>
        <v>0.48740845609778949</v>
      </c>
    </row>
    <row r="53" spans="2:18">
      <c r="B53" t="s">
        <v>33</v>
      </c>
      <c r="C53">
        <v>-2.2194859255542099E-3</v>
      </c>
      <c r="D53">
        <v>-1.235788460983644E-2</v>
      </c>
      <c r="E53">
        <v>9.6596614083793941E-2</v>
      </c>
      <c r="F53">
        <v>-2.966706276143372E-3</v>
      </c>
      <c r="G53">
        <v>7.209891565327764E-2</v>
      </c>
      <c r="J53" s="9" t="s">
        <v>33</v>
      </c>
      <c r="K53" s="9">
        <v>-2.2194859255542099E-3</v>
      </c>
      <c r="L53" s="9">
        <v>-1.235788460983644E-2</v>
      </c>
      <c r="M53" s="9">
        <v>9.6596614083793941E-2</v>
      </c>
      <c r="N53" s="9">
        <v>-2.966706276143372E-3</v>
      </c>
      <c r="O53" s="9">
        <v>7.209891565327764E-2</v>
      </c>
      <c r="P53" s="9">
        <v>0.66107922397570573</v>
      </c>
      <c r="R53">
        <f t="shared" si="2"/>
        <v>0.66107922397570573</v>
      </c>
    </row>
    <row r="54" spans="2:18">
      <c r="B54" t="s">
        <v>90</v>
      </c>
      <c r="C54">
        <f>AVERAGE(C49:C53)</f>
        <v>-1.2770329989373308E-2</v>
      </c>
      <c r="D54">
        <f t="shared" ref="D54:G54" si="3">AVERAGE(D49:D53)</f>
        <v>-2.8654054824237538E-3</v>
      </c>
      <c r="E54">
        <f>AVERAGE(E49:E53)</f>
        <v>4.1210153375778269E-2</v>
      </c>
      <c r="F54">
        <f t="shared" si="3"/>
        <v>-3.1628256281112988E-3</v>
      </c>
      <c r="G54">
        <f t="shared" si="3"/>
        <v>1.7475782546729081E-2</v>
      </c>
      <c r="J54" s="9" t="s">
        <v>89</v>
      </c>
      <c r="K54" s="9">
        <f>AVERAGE(K49:K53)</f>
        <v>-1.2770329989373308E-2</v>
      </c>
      <c r="L54" s="9">
        <f t="shared" ref="L54:O54" si="4">AVERAGE(L49:L53)</f>
        <v>-2.8654054824237538E-3</v>
      </c>
      <c r="M54" s="9">
        <f t="shared" si="4"/>
        <v>4.1210153375778269E-2</v>
      </c>
      <c r="N54" s="9">
        <f t="shared" si="4"/>
        <v>-3.1628256281112988E-3</v>
      </c>
      <c r="O54" s="9">
        <f t="shared" si="4"/>
        <v>1.7475782546729081E-2</v>
      </c>
      <c r="P54" s="9">
        <v>0.82358344131597672</v>
      </c>
      <c r="R54">
        <f t="shared" si="2"/>
        <v>0.82358344131597672</v>
      </c>
    </row>
    <row r="55" spans="2:18">
      <c r="J55" s="9"/>
      <c r="K55" s="9"/>
      <c r="L55" s="9"/>
      <c r="M55" s="9"/>
      <c r="N55" s="9"/>
      <c r="O55" s="9"/>
      <c r="P55" s="9"/>
    </row>
    <row r="56" spans="2:18">
      <c r="B56" t="s">
        <v>1</v>
      </c>
      <c r="C56">
        <v>-1.1476537945432909E-2</v>
      </c>
      <c r="D56">
        <v>1.037144778986376E-2</v>
      </c>
      <c r="E56">
        <v>5.2014741414502241E-2</v>
      </c>
      <c r="F56">
        <v>-1.354385446902329E-2</v>
      </c>
      <c r="G56">
        <v>9.1533576337192724E-3</v>
      </c>
      <c r="J56" s="9" t="s">
        <v>1</v>
      </c>
      <c r="K56" s="9">
        <v>-1.1476537945432909E-2</v>
      </c>
      <c r="L56" s="9">
        <v>1.037144778986376E-2</v>
      </c>
      <c r="M56" s="9">
        <v>5.2014741414502241E-2</v>
      </c>
      <c r="N56" s="9">
        <v>-1.354385446902329E-2</v>
      </c>
      <c r="O56" s="9">
        <v>9.1533576337192724E-3</v>
      </c>
      <c r="P56" s="9">
        <v>0.92031413472684465</v>
      </c>
      <c r="R56">
        <f>CORREL(K56:O56,$K$28:$O$28)</f>
        <v>0.92031413472684465</v>
      </c>
    </row>
    <row r="57" spans="2:18">
      <c r="B57" t="s">
        <v>27</v>
      </c>
      <c r="C57">
        <v>-1.639270903646572E-3</v>
      </c>
      <c r="D57">
        <v>1.8062477547166281E-2</v>
      </c>
      <c r="E57">
        <v>3.2258036323051582E-2</v>
      </c>
      <c r="F57">
        <v>-3.1250714380662852E-3</v>
      </c>
      <c r="G57">
        <v>7.8370641463154644E-3</v>
      </c>
      <c r="J57" s="9" t="s">
        <v>27</v>
      </c>
      <c r="K57" s="9">
        <v>-1.639270903646572E-3</v>
      </c>
      <c r="L57" s="9">
        <v>1.8062477547166281E-2</v>
      </c>
      <c r="M57" s="9">
        <v>3.2258036323051582E-2</v>
      </c>
      <c r="N57" s="9">
        <v>-3.1250714380662852E-3</v>
      </c>
      <c r="O57" s="9">
        <v>7.8370641463154644E-3</v>
      </c>
      <c r="P57" s="9">
        <v>0.87141872611199689</v>
      </c>
      <c r="R57">
        <f t="shared" ref="R57:R64" si="5">CORREL(K57:O57,$K$28:$O$28)</f>
        <v>0.87141872611199689</v>
      </c>
    </row>
    <row r="58" spans="2:18">
      <c r="B58" t="s">
        <v>28</v>
      </c>
      <c r="C58">
        <v>-1.639270903646572E-3</v>
      </c>
      <c r="D58">
        <v>1.8062477547166281E-2</v>
      </c>
      <c r="E58">
        <v>3.2258036323051582E-2</v>
      </c>
      <c r="F58">
        <v>-3.1250714380662852E-3</v>
      </c>
      <c r="G58">
        <v>7.8370641463154644E-3</v>
      </c>
      <c r="J58" s="9" t="s">
        <v>28</v>
      </c>
      <c r="K58" s="9">
        <v>-1.639270903646572E-3</v>
      </c>
      <c r="L58" s="9">
        <v>1.8062477547166281E-2</v>
      </c>
      <c r="M58" s="9">
        <v>3.2258036323051582E-2</v>
      </c>
      <c r="N58" s="9">
        <v>-3.1250714380662852E-3</v>
      </c>
      <c r="O58" s="9">
        <v>7.8370641463154644E-3</v>
      </c>
      <c r="P58" s="9">
        <v>0.87141872611199689</v>
      </c>
      <c r="R58">
        <f t="shared" si="5"/>
        <v>0.87141872611199689</v>
      </c>
    </row>
    <row r="59" spans="2:18">
      <c r="B59" t="s">
        <v>4</v>
      </c>
      <c r="C59">
        <v>-1.013098253208311E-2</v>
      </c>
      <c r="D59">
        <v>2.8656256728623042E-3</v>
      </c>
      <c r="E59">
        <v>1.9458506680653409E-2</v>
      </c>
      <c r="F59">
        <v>-1.401495278857001E-2</v>
      </c>
      <c r="G59">
        <v>1.7056969273009589E-2</v>
      </c>
      <c r="J59" s="9" t="s">
        <v>4</v>
      </c>
      <c r="K59" s="9">
        <v>-1.013098253208311E-2</v>
      </c>
      <c r="L59" s="9">
        <v>2.8656256728623042E-3</v>
      </c>
      <c r="M59" s="9">
        <v>1.9458506680653409E-2</v>
      </c>
      <c r="N59" s="9">
        <v>-1.401495278857001E-2</v>
      </c>
      <c r="O59" s="9">
        <v>1.7056969273009589E-2</v>
      </c>
      <c r="P59" s="9">
        <v>0.58588966259359654</v>
      </c>
      <c r="R59">
        <f t="shared" si="5"/>
        <v>0.58588966259359654</v>
      </c>
    </row>
    <row r="60" spans="2:18">
      <c r="B60" t="s">
        <v>16</v>
      </c>
      <c r="C60">
        <v>1.503759398496252E-2</v>
      </c>
      <c r="D60">
        <v>0</v>
      </c>
      <c r="E60">
        <v>3.7037037037037E-2</v>
      </c>
      <c r="F60">
        <v>7.1428571428571166E-3</v>
      </c>
      <c r="G60">
        <v>-1.418439716312059E-2</v>
      </c>
      <c r="J60" s="9" t="s">
        <v>16</v>
      </c>
      <c r="K60" s="9">
        <v>1.503759398496252E-2</v>
      </c>
      <c r="L60" s="9">
        <v>0</v>
      </c>
      <c r="M60" s="9">
        <v>3.7037037037037E-2</v>
      </c>
      <c r="N60" s="9">
        <v>7.1428571428571166E-3</v>
      </c>
      <c r="O60" s="9">
        <v>-1.418439716312059E-2</v>
      </c>
      <c r="P60" s="9">
        <v>0.82398592451712604</v>
      </c>
      <c r="R60">
        <f>CORREL(K60:O60,$K$28:$O$28)</f>
        <v>0.82398592451712604</v>
      </c>
    </row>
    <row r="61" spans="2:18">
      <c r="B61" t="s">
        <v>29</v>
      </c>
      <c r="C61">
        <v>-3.0534393935621629E-2</v>
      </c>
      <c r="D61">
        <v>1.7322855931722891E-2</v>
      </c>
      <c r="E61">
        <v>3.7151667136368527E-2</v>
      </c>
      <c r="F61">
        <v>-6.7164152548609302E-2</v>
      </c>
      <c r="G61">
        <v>-1.4400024414062519E-2</v>
      </c>
      <c r="J61" s="9" t="s">
        <v>29</v>
      </c>
      <c r="K61" s="9">
        <v>-3.0534393935621629E-2</v>
      </c>
      <c r="L61" s="9">
        <v>1.7322855931722891E-2</v>
      </c>
      <c r="M61" s="9">
        <v>3.7151667136368527E-2</v>
      </c>
      <c r="N61" s="9">
        <v>-6.7164152548609302E-2</v>
      </c>
      <c r="O61" s="9">
        <v>-1.4400024414062519E-2</v>
      </c>
      <c r="P61" s="9">
        <v>0.72776425137347955</v>
      </c>
      <c r="R61">
        <f t="shared" si="5"/>
        <v>0.72776425137347955</v>
      </c>
    </row>
    <row r="62" spans="2:18">
      <c r="B62" t="s">
        <v>12</v>
      </c>
      <c r="C62">
        <v>2E-3</v>
      </c>
      <c r="D62">
        <v>-9.9800399201597223E-3</v>
      </c>
      <c r="E62">
        <v>4.8387096774193512E-2</v>
      </c>
      <c r="F62">
        <v>0</v>
      </c>
      <c r="G62">
        <v>2.3076923076922991E-2</v>
      </c>
      <c r="J62" s="9" t="s">
        <v>12</v>
      </c>
      <c r="K62" s="9">
        <v>2E-3</v>
      </c>
      <c r="L62" s="9">
        <v>-9.9800399201597223E-3</v>
      </c>
      <c r="M62" s="9">
        <v>4.8387096774193512E-2</v>
      </c>
      <c r="N62" s="9">
        <v>0</v>
      </c>
      <c r="O62" s="9">
        <v>2.3076923076922991E-2</v>
      </c>
      <c r="P62" s="9">
        <v>0.78015848916653019</v>
      </c>
      <c r="R62">
        <f>CORREL(K62:O62,$K$28:$O$28)</f>
        <v>0.78015848916653019</v>
      </c>
    </row>
    <row r="63" spans="2:18">
      <c r="B63" t="s">
        <v>24</v>
      </c>
      <c r="C63">
        <v>1.996758745782001E-2</v>
      </c>
      <c r="D63">
        <v>8.0216469340229191E-2</v>
      </c>
      <c r="E63">
        <v>0.1113893804722805</v>
      </c>
      <c r="F63">
        <v>1.1799010818608791E-2</v>
      </c>
      <c r="G63">
        <v>1.1792972699822271E-3</v>
      </c>
      <c r="J63" s="9" t="s">
        <v>24</v>
      </c>
      <c r="K63" s="9">
        <v>1.996758745782001E-2</v>
      </c>
      <c r="L63" s="9">
        <v>8.0216469340229191E-2</v>
      </c>
      <c r="M63" s="9">
        <v>0.1113893804722805</v>
      </c>
      <c r="N63" s="9">
        <v>1.1799010818608791E-2</v>
      </c>
      <c r="O63" s="9">
        <v>1.1792972699822271E-3</v>
      </c>
      <c r="P63" s="9">
        <v>0.85828880210025127</v>
      </c>
      <c r="R63">
        <f t="shared" si="5"/>
        <v>0.85828880210025127</v>
      </c>
    </row>
    <row r="64" spans="2:18">
      <c r="B64" t="s">
        <v>2</v>
      </c>
      <c r="C64">
        <v>2.1696356942877419E-3</v>
      </c>
      <c r="D64">
        <v>5.2377958461653504E-3</v>
      </c>
      <c r="E64">
        <v>4.7311361977820487E-2</v>
      </c>
      <c r="F64">
        <v>-5.5058164580742419E-3</v>
      </c>
      <c r="G64">
        <v>-4.2022738160825126E-3</v>
      </c>
      <c r="J64" s="9" t="s">
        <v>2</v>
      </c>
      <c r="K64" s="9">
        <v>2.1696356942877419E-3</v>
      </c>
      <c r="L64" s="9">
        <v>5.2377958461653504E-3</v>
      </c>
      <c r="M64" s="9">
        <v>4.7311361977820487E-2</v>
      </c>
      <c r="N64" s="9">
        <v>-5.5058164580742419E-3</v>
      </c>
      <c r="O64" s="9">
        <v>-4.2022738160825126E-3</v>
      </c>
      <c r="P64" s="9">
        <v>0.99039741771720369</v>
      </c>
      <c r="R64">
        <f t="shared" si="5"/>
        <v>0.99039741771720369</v>
      </c>
    </row>
    <row r="65" spans="2:18">
      <c r="B65" t="s">
        <v>90</v>
      </c>
      <c r="C65">
        <f>AVERAGE(C56:C64)</f>
        <v>-1.8050710092622803E-3</v>
      </c>
      <c r="D65">
        <f>AVERAGE(D56:D64)</f>
        <v>1.5795456639446259E-2</v>
      </c>
      <c r="E65">
        <f t="shared" ref="E65:G65" si="6">AVERAGE(E56:E64)</f>
        <v>4.636287379321765E-2</v>
      </c>
      <c r="F65">
        <f t="shared" si="6"/>
        <v>-9.7263390198826117E-3</v>
      </c>
      <c r="G65">
        <f t="shared" si="6"/>
        <v>3.7059977947777097E-3</v>
      </c>
      <c r="J65" s="9" t="s">
        <v>89</v>
      </c>
      <c r="K65" s="9">
        <f>AVERAGE(K56:K64)</f>
        <v>-1.8050710092622803E-3</v>
      </c>
      <c r="L65" s="9">
        <f t="shared" ref="L65:M65" si="7">AVERAGE(L56:L64)</f>
        <v>1.5795456639446259E-2</v>
      </c>
      <c r="M65" s="9">
        <f t="shared" si="7"/>
        <v>4.636287379321765E-2</v>
      </c>
      <c r="N65" s="9">
        <f>AVERAGE(N56:N64)</f>
        <v>-9.7263390198826117E-3</v>
      </c>
      <c r="O65" s="9">
        <f>AVERAGE(O56:O64)</f>
        <v>3.7059977947777097E-3</v>
      </c>
      <c r="P65" s="9">
        <v>0.94067253886398239</v>
      </c>
      <c r="R65">
        <f>CORREL(K65:O65,$K$28:$O$28)</f>
        <v>0.94067253886398239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Returns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XI, Lexuan [Student]</cp:lastModifiedBy>
  <dcterms:created xsi:type="dcterms:W3CDTF">2025-03-30T11:07:53Z</dcterms:created>
  <dcterms:modified xsi:type="dcterms:W3CDTF">2025-04-03T15:50:39Z</dcterms:modified>
</cp:coreProperties>
</file>